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3.xml" ContentType="application/vnd.openxmlformats-officedocument.spreadsheetml.comments+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chandoo\FREE Microsoft  Excel Course\10.V11 CLEAN,ANALYZE,PRESENT DATA IN EXCEL\"/>
    </mc:Choice>
  </mc:AlternateContent>
  <xr:revisionPtr revIDLastSave="0" documentId="13_ncr:1_{D7DB4EE6-A22A-4257-A4F2-FBCCF0E03A20}" xr6:coauthVersionLast="47" xr6:coauthVersionMax="47" xr10:uidLastSave="{00000000-0000-0000-0000-000000000000}"/>
  <bookViews>
    <workbookView xWindow="-120" yWindow="-120" windowWidth="20730" windowHeight="11160" firstSheet="6" activeTab="6" xr2:uid="{26D4546B-D2A1-4444-8EAF-A6228F96F0C1}"/>
  </bookViews>
  <sheets>
    <sheet name="Data" sheetId="1" r:id="rId1"/>
    <sheet name="India Staff" sheetId="2" r:id="rId2"/>
    <sheet name="All Staff" sheetId="3" r:id="rId3"/>
    <sheet name="T1.quick analysis" sheetId="4" r:id="rId4"/>
    <sheet name="T2.Information Finder" sheetId="5" r:id="rId5"/>
    <sheet name="T3.Information Finder " sheetId="7" r:id="rId6"/>
    <sheet name="T4.Male vs Female " sheetId="9" r:id="rId7"/>
    <sheet name="T5. Bonus calculation" sheetId="10" r:id="rId8"/>
    <sheet name="T6.Salary Spread" sheetId="11" r:id="rId9"/>
    <sheet name="T7.Salary vs Rating" sheetId="14" r:id="rId10"/>
    <sheet name="RATING QUANTIFIED" sheetId="15" r:id="rId11"/>
    <sheet name="T8. Company Growth" sheetId="17" r:id="rId12"/>
    <sheet name="T9.Regional Scorecard" sheetId="18" r:id="rId13"/>
    <sheet name="COUNTRY" sheetId="19" r:id="rId14"/>
  </sheets>
  <definedNames>
    <definedName name="_xlnm._FilterDatabase" localSheetId="0" hidden="1">Data!$C$5:$I$105</definedName>
    <definedName name="_xlnm._FilterDatabase" localSheetId="1" hidden="1">'India Staff'!$B$2:$H$114</definedName>
    <definedName name="_xlnm._FilterDatabase" localSheetId="5" hidden="1">'T3.Information Finder '!#REF!</definedName>
    <definedName name="_xlchart.v1.0" hidden="1">'All Staff'!$K$2:$K$184</definedName>
    <definedName name="_xlchart.v1.1" hidden="1">'All Staff'!$K$2:$K$184</definedName>
    <definedName name="_xlcn.WorksheetConnection_github_cleananalyzeandpresentdata.xlsxstaff" hidden="1">staff[]</definedName>
    <definedName name="_xlnm.Criteria" localSheetId="5">'T3.Information Finder '!#REF!</definedName>
    <definedName name="ExternalData_1" localSheetId="2" hidden="1">'All Staff'!$A$1:$H$184</definedName>
    <definedName name="_xlnm.Extract" localSheetId="5">'T3.Information Finder '!#REF!</definedName>
    <definedName name="Slicer_Country">#N/A</definedName>
  </definedNames>
  <calcPr calcId="181029"/>
  <pivotCaches>
    <pivotCache cacheId="0" r:id="rId15"/>
    <pivotCache cacheId="2" r:id="rId16"/>
    <pivotCache cacheId="3" r:id="rId17"/>
    <pivotCache cacheId="4" r:id="rId18"/>
    <pivotCache cacheId="17" r:id="rId19"/>
  </pivotCaches>
  <extLst>
    <ext xmlns:x14="http://schemas.microsoft.com/office/spreadsheetml/2009/9/main" uri="{876F7934-8845-4945-9796-88D515C7AA90}">
      <x14:pivotCaches>
        <pivotCache cacheId="5"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 name="staff" connection="WorksheetConnection_github_clean,analyze and present data.xlsx!staff"/>
        </x15:modelTables>
        <x15:extLst>
          <ext xmlns:x16="http://schemas.microsoft.com/office/spreadsheetml/2014/11/main" uri="{9835A34E-60A6-4A7C-AAB8-D5F71C897F49}">
            <x16:modelTimeGroupings>
              <x16:modelTimeGrouping tableName="staff"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9" i="18" l="1"/>
  <c r="L9" i="18"/>
  <c r="N9" i="18" s="1"/>
  <c r="I9" i="18"/>
  <c r="E9" i="18"/>
  <c r="G9" i="18" s="1"/>
  <c r="M8" i="17"/>
  <c r="N8" i="17" s="1"/>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10" i="17"/>
  <c r="M9" i="17"/>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K187" i="10"/>
  <c r="J187" i="10"/>
  <c r="K186" i="10"/>
  <c r="J186" i="10"/>
  <c r="K185" i="10"/>
  <c r="J185" i="10"/>
  <c r="J184" i="10"/>
  <c r="J183" i="10"/>
  <c r="J182" i="10"/>
  <c r="J181" i="10"/>
  <c r="J180" i="10"/>
  <c r="J179" i="10"/>
  <c r="J178" i="10"/>
  <c r="J177" i="10"/>
  <c r="J176" i="10"/>
  <c r="J175" i="10"/>
  <c r="J174" i="10"/>
  <c r="J173" i="10"/>
  <c r="J172" i="10"/>
  <c r="J171" i="10"/>
  <c r="J170" i="10"/>
  <c r="J169" i="10"/>
  <c r="J168" i="10"/>
  <c r="J167" i="10"/>
  <c r="J166" i="10"/>
  <c r="J165" i="10"/>
  <c r="J164" i="10"/>
  <c r="J163" i="10"/>
  <c r="J162" i="10"/>
  <c r="J161" i="10"/>
  <c r="J160" i="10"/>
  <c r="J159" i="10"/>
  <c r="J158" i="10"/>
  <c r="J157" i="10"/>
  <c r="J156" i="10"/>
  <c r="J155" i="10"/>
  <c r="J154" i="10"/>
  <c r="J153" i="10"/>
  <c r="J152" i="10"/>
  <c r="J151" i="10"/>
  <c r="J150" i="10"/>
  <c r="J149" i="10"/>
  <c r="J148" i="10"/>
  <c r="J147" i="10"/>
  <c r="J146" i="10"/>
  <c r="J145" i="10"/>
  <c r="J144" i="10"/>
  <c r="J143" i="10"/>
  <c r="J142" i="10"/>
  <c r="J141" i="10"/>
  <c r="J140" i="10"/>
  <c r="J139" i="10"/>
  <c r="J138" i="10"/>
  <c r="J137" i="10"/>
  <c r="J136" i="10"/>
  <c r="J135" i="10"/>
  <c r="J134" i="10"/>
  <c r="J133" i="10"/>
  <c r="J132" i="10"/>
  <c r="J131" i="10"/>
  <c r="J130" i="10"/>
  <c r="J129" i="10"/>
  <c r="J128" i="10"/>
  <c r="J127" i="10"/>
  <c r="J126" i="10"/>
  <c r="J125" i="10"/>
  <c r="J124" i="10"/>
  <c r="J123" i="10"/>
  <c r="J122" i="10"/>
  <c r="J121" i="10"/>
  <c r="J120" i="10"/>
  <c r="J119" i="10"/>
  <c r="J118" i="10"/>
  <c r="J117" i="10"/>
  <c r="J116" i="10"/>
  <c r="J115" i="10"/>
  <c r="J114" i="10"/>
  <c r="J113" i="10"/>
  <c r="J112" i="10"/>
  <c r="J111" i="10"/>
  <c r="J110" i="10"/>
  <c r="J109" i="10"/>
  <c r="J108" i="10"/>
  <c r="J107" i="10"/>
  <c r="J106" i="10"/>
  <c r="J105" i="10"/>
  <c r="J104" i="10"/>
  <c r="J103" i="10"/>
  <c r="J102" i="10"/>
  <c r="J101" i="10"/>
  <c r="J100" i="10"/>
  <c r="J99" i="10"/>
  <c r="J98" i="10"/>
  <c r="J97" i="10"/>
  <c r="J96" i="10"/>
  <c r="J95" i="10"/>
  <c r="J94" i="10"/>
  <c r="J93" i="10"/>
  <c r="J92" i="10"/>
  <c r="J91" i="10"/>
  <c r="J90" i="10"/>
  <c r="J89" i="10"/>
  <c r="J88" i="10"/>
  <c r="J87" i="10"/>
  <c r="J86" i="10"/>
  <c r="J85" i="10"/>
  <c r="J84" i="10"/>
  <c r="J83" i="10"/>
  <c r="J82" i="10"/>
  <c r="J81" i="10"/>
  <c r="J80" i="10"/>
  <c r="J79" i="10"/>
  <c r="J78" i="10"/>
  <c r="J77" i="10"/>
  <c r="J76" i="10"/>
  <c r="J75" i="10"/>
  <c r="J74" i="10"/>
  <c r="J73" i="10"/>
  <c r="J72" i="10"/>
  <c r="J71" i="10"/>
  <c r="J70" i="10"/>
  <c r="J69" i="10"/>
  <c r="J68" i="10"/>
  <c r="J67" i="10"/>
  <c r="J66" i="10"/>
  <c r="J65" i="10"/>
  <c r="J64" i="10"/>
  <c r="J63" i="10"/>
  <c r="J62" i="10"/>
  <c r="J61" i="10"/>
  <c r="J60" i="10"/>
  <c r="J59" i="10"/>
  <c r="J58" i="10"/>
  <c r="J57" i="10"/>
  <c r="J56" i="10"/>
  <c r="J55" i="10"/>
  <c r="J54" i="10"/>
  <c r="J53" i="10"/>
  <c r="J52" i="10"/>
  <c r="J51" i="10"/>
  <c r="J50" i="10"/>
  <c r="J49" i="10"/>
  <c r="J48" i="10"/>
  <c r="J47" i="10"/>
  <c r="J46" i="10"/>
  <c r="J45" i="10"/>
  <c r="J44" i="10"/>
  <c r="J43" i="10"/>
  <c r="J42" i="10"/>
  <c r="J41" i="10"/>
  <c r="J40" i="10"/>
  <c r="J39" i="10"/>
  <c r="J38" i="10"/>
  <c r="J37" i="10"/>
  <c r="J36" i="10"/>
  <c r="J35" i="10"/>
  <c r="J34" i="10"/>
  <c r="J33" i="10"/>
  <c r="J32" i="10"/>
  <c r="J31" i="10"/>
  <c r="J30" i="10"/>
  <c r="J29" i="10"/>
  <c r="J28" i="10"/>
  <c r="J27" i="10"/>
  <c r="J26" i="10"/>
  <c r="J25" i="10"/>
  <c r="J24" i="10"/>
  <c r="J23" i="10"/>
  <c r="J22" i="10"/>
  <c r="J21" i="10"/>
  <c r="J20" i="10"/>
  <c r="J19" i="10"/>
  <c r="J18" i="10"/>
  <c r="J17" i="10"/>
  <c r="J16" i="10"/>
  <c r="J15" i="10"/>
  <c r="J14" i="10"/>
  <c r="J13" i="10"/>
  <c r="J12" i="10"/>
  <c r="J11" i="10"/>
  <c r="J10" i="10"/>
  <c r="J9" i="10"/>
  <c r="J8" i="10"/>
  <c r="J7" i="10"/>
  <c r="J6" i="10"/>
  <c r="J5" i="10"/>
  <c r="G8" i="5"/>
  <c r="G9" i="5"/>
  <c r="G10" i="5"/>
  <c r="G11" i="5"/>
  <c r="G12" i="5"/>
  <c r="G13" i="5"/>
  <c r="G14" i="5"/>
  <c r="G15" i="5"/>
  <c r="F8" i="4"/>
  <c r="K20" i="7"/>
  <c r="N9" i="17" l="1"/>
  <c r="N20" i="17"/>
  <c r="N36" i="17"/>
  <c r="N28" i="17"/>
  <c r="N12" i="17"/>
  <c r="N43" i="17"/>
  <c r="N39" i="17"/>
  <c r="N35" i="17"/>
  <c r="N31" i="17"/>
  <c r="N27" i="17"/>
  <c r="N23" i="17"/>
  <c r="N19" i="17"/>
  <c r="N15" i="17"/>
  <c r="N11" i="17"/>
  <c r="N32" i="17"/>
  <c r="N24" i="17"/>
  <c r="N16" i="17"/>
  <c r="N42" i="17"/>
  <c r="N38" i="17"/>
  <c r="N34" i="17"/>
  <c r="N30" i="17"/>
  <c r="N26" i="17"/>
  <c r="N22" i="17"/>
  <c r="N18" i="17"/>
  <c r="N14" i="17"/>
  <c r="N10" i="17"/>
  <c r="N40" i="17"/>
  <c r="N41" i="17"/>
  <c r="N37" i="17"/>
  <c r="N33" i="17"/>
  <c r="N29" i="17"/>
  <c r="N25" i="17"/>
  <c r="N21" i="17"/>
  <c r="N17" i="17"/>
  <c r="N13" i="17"/>
  <c r="I18" i="3"/>
  <c r="K18" i="10" s="1"/>
  <c r="I142" i="3"/>
  <c r="K142" i="10" s="1"/>
  <c r="I20" i="3"/>
  <c r="K20" i="10" s="1"/>
  <c r="I175" i="3"/>
  <c r="K175" i="10" s="1"/>
  <c r="I46" i="3"/>
  <c r="K46" i="10" s="1"/>
  <c r="I130" i="3"/>
  <c r="K130" i="10" s="1"/>
  <c r="I124" i="3"/>
  <c r="K124" i="10" s="1"/>
  <c r="I90" i="3"/>
  <c r="K90" i="10" s="1"/>
  <c r="I156" i="3"/>
  <c r="K156" i="10" s="1"/>
  <c r="I146" i="3"/>
  <c r="K146" i="10" s="1"/>
  <c r="I134" i="3"/>
  <c r="K134" i="10" s="1"/>
  <c r="I24" i="3"/>
  <c r="K24" i="10" s="1"/>
  <c r="I8" i="3"/>
  <c r="K8" i="10" s="1"/>
  <c r="I163" i="3"/>
  <c r="K163" i="10" s="1"/>
  <c r="I32" i="3"/>
  <c r="K32" i="10" s="1"/>
  <c r="I181" i="3"/>
  <c r="K181" i="10" s="1"/>
  <c r="I82" i="3"/>
  <c r="K82" i="10" s="1"/>
  <c r="I108" i="3"/>
  <c r="K108" i="10" s="1"/>
  <c r="I102" i="3"/>
  <c r="K102" i="10" s="1"/>
  <c r="I44" i="3"/>
  <c r="K44" i="10" s="1"/>
  <c r="I120" i="3"/>
  <c r="K120" i="10" s="1"/>
  <c r="I6" i="3"/>
  <c r="K6" i="10" s="1"/>
  <c r="I92" i="3"/>
  <c r="K92" i="10" s="1"/>
  <c r="I10" i="3"/>
  <c r="K10" i="10" s="1"/>
  <c r="I140" i="3"/>
  <c r="K140" i="10" s="1"/>
  <c r="I50" i="3"/>
  <c r="K50" i="10" s="1"/>
  <c r="I171" i="3"/>
  <c r="K171" i="10" s="1"/>
  <c r="I12" i="3"/>
  <c r="K12" i="10" s="1"/>
  <c r="I160" i="3"/>
  <c r="K160" i="10" s="1"/>
  <c r="I22" i="3"/>
  <c r="K22" i="10" s="1"/>
  <c r="I70" i="3"/>
  <c r="K70" i="10" s="1"/>
  <c r="I138" i="3"/>
  <c r="K138" i="10" s="1"/>
  <c r="I110" i="3"/>
  <c r="K110" i="10" s="1"/>
  <c r="I34" i="3"/>
  <c r="K34" i="10" s="1"/>
  <c r="I158" i="3"/>
  <c r="K158" i="10" s="1"/>
  <c r="I183" i="3"/>
  <c r="K183" i="10" s="1"/>
  <c r="I165" i="3"/>
  <c r="K165" i="10" s="1"/>
  <c r="I173" i="3"/>
  <c r="K173" i="10" s="1"/>
  <c r="I30" i="3"/>
  <c r="K30" i="10" s="1"/>
  <c r="I98" i="3"/>
  <c r="K98" i="10" s="1"/>
  <c r="I36" i="3"/>
  <c r="K36" i="10" s="1"/>
  <c r="I114" i="3"/>
  <c r="K114" i="10" s="1"/>
  <c r="I2" i="3"/>
  <c r="I94" i="3"/>
  <c r="K94" i="10" s="1"/>
  <c r="I52" i="3"/>
  <c r="K52" i="10" s="1"/>
  <c r="I148" i="3"/>
  <c r="K148" i="10" s="1"/>
  <c r="I48" i="3"/>
  <c r="K48" i="10" s="1"/>
  <c r="I126" i="3"/>
  <c r="K126" i="10" s="1"/>
  <c r="I84" i="3"/>
  <c r="K84" i="10" s="1"/>
  <c r="I100" i="3"/>
  <c r="K100" i="10" s="1"/>
  <c r="I122" i="3"/>
  <c r="K122" i="10" s="1"/>
  <c r="I60" i="3"/>
  <c r="K60" i="10" s="1"/>
  <c r="I177" i="3"/>
  <c r="K177" i="10" s="1"/>
  <c r="I66" i="3"/>
  <c r="K66" i="10" s="1"/>
  <c r="I64" i="3"/>
  <c r="K64" i="10" s="1"/>
  <c r="I128" i="3"/>
  <c r="K128" i="10" s="1"/>
  <c r="I28" i="3"/>
  <c r="K28" i="10" s="1"/>
  <c r="I112" i="3"/>
  <c r="K112" i="10" s="1"/>
  <c r="I118" i="3"/>
  <c r="K118" i="10" s="1"/>
  <c r="I76" i="3"/>
  <c r="K76" i="10" s="1"/>
  <c r="I38" i="3"/>
  <c r="K38" i="10" s="1"/>
  <c r="I16" i="3"/>
  <c r="K16" i="10" s="1"/>
  <c r="I154" i="3"/>
  <c r="K154" i="10" s="1"/>
  <c r="I136" i="3"/>
  <c r="K136" i="10" s="1"/>
  <c r="I14" i="3"/>
  <c r="K14" i="10" s="1"/>
  <c r="I88" i="3"/>
  <c r="K88" i="10" s="1"/>
  <c r="I167" i="3"/>
  <c r="K167" i="10" s="1"/>
  <c r="I116" i="3"/>
  <c r="K116" i="10" s="1"/>
  <c r="I39" i="3"/>
  <c r="K39" i="10" s="1"/>
  <c r="I78" i="3"/>
  <c r="K78" i="10" s="1"/>
  <c r="I72" i="3"/>
  <c r="K72" i="10" s="1"/>
  <c r="I80" i="3"/>
  <c r="K80" i="10" s="1"/>
  <c r="I58" i="3"/>
  <c r="K58" i="10" s="1"/>
  <c r="I150" i="3"/>
  <c r="K150" i="10" s="1"/>
  <c r="I179" i="3"/>
  <c r="K179" i="10" s="1"/>
  <c r="I104" i="3"/>
  <c r="K104" i="10" s="1"/>
  <c r="I169" i="3"/>
  <c r="K169" i="10" s="1"/>
  <c r="I144" i="3"/>
  <c r="K144" i="10" s="1"/>
  <c r="I74" i="3"/>
  <c r="K74" i="10" s="1"/>
  <c r="I4" i="3"/>
  <c r="I62" i="3"/>
  <c r="K62" i="10" s="1"/>
  <c r="I152" i="3"/>
  <c r="K152" i="10" s="1"/>
  <c r="I68" i="3"/>
  <c r="K68" i="10" s="1"/>
  <c r="I96" i="3"/>
  <c r="K96" i="10" s="1"/>
  <c r="I42" i="3"/>
  <c r="K42" i="10" s="1"/>
  <c r="I106" i="3"/>
  <c r="K106" i="10" s="1"/>
  <c r="I54" i="3"/>
  <c r="K54" i="10" s="1"/>
  <c r="I86" i="3"/>
  <c r="K86" i="10" s="1"/>
  <c r="I56" i="3"/>
  <c r="K56" i="10" s="1"/>
  <c r="I26" i="3"/>
  <c r="K26" i="10" s="1"/>
  <c r="I132" i="3"/>
  <c r="K132" i="10" s="1"/>
  <c r="I166" i="3"/>
  <c r="K166" i="10" s="1"/>
  <c r="I87" i="3"/>
  <c r="K87" i="10" s="1"/>
  <c r="I37" i="3"/>
  <c r="K37" i="10" s="1"/>
  <c r="I176" i="3"/>
  <c r="K176" i="10" s="1"/>
  <c r="I40" i="3"/>
  <c r="K40" i="10" s="1"/>
  <c r="I161" i="3"/>
  <c r="K161" i="10" s="1"/>
  <c r="I27" i="3"/>
  <c r="K27" i="10" s="1"/>
  <c r="I63" i="3"/>
  <c r="K63" i="10" s="1"/>
  <c r="I43" i="3"/>
  <c r="K43" i="10" s="1"/>
  <c r="I184" i="3"/>
  <c r="K184" i="10" s="1"/>
  <c r="I159" i="3"/>
  <c r="K159" i="10" s="1"/>
  <c r="I69" i="3"/>
  <c r="K69" i="10" s="1"/>
  <c r="I79" i="3"/>
  <c r="K79" i="10" s="1"/>
  <c r="I153" i="3"/>
  <c r="K153" i="10" s="1"/>
  <c r="I19" i="3"/>
  <c r="K19" i="10" s="1"/>
  <c r="I137" i="3"/>
  <c r="K137" i="10" s="1"/>
  <c r="I9" i="3"/>
  <c r="K9" i="10" s="1"/>
  <c r="I49" i="3"/>
  <c r="K49" i="10" s="1"/>
  <c r="I15" i="3"/>
  <c r="K15" i="10" s="1"/>
  <c r="I99" i="3"/>
  <c r="K99" i="10" s="1"/>
  <c r="I53" i="3"/>
  <c r="K53" i="10" s="1"/>
  <c r="I73" i="3"/>
  <c r="K73" i="10" s="1"/>
  <c r="I51" i="3"/>
  <c r="K51" i="10" s="1"/>
  <c r="I31" i="3"/>
  <c r="K31" i="10" s="1"/>
  <c r="I65" i="3"/>
  <c r="K65" i="10" s="1"/>
  <c r="I93" i="3"/>
  <c r="K93" i="10" s="1"/>
  <c r="I119" i="3"/>
  <c r="K119" i="10" s="1"/>
  <c r="I5" i="3"/>
  <c r="K5" i="10" s="1"/>
  <c r="I101" i="3"/>
  <c r="K101" i="10" s="1"/>
  <c r="I59" i="3"/>
  <c r="K59" i="10" s="1"/>
  <c r="I97" i="3"/>
  <c r="K97" i="10" s="1"/>
  <c r="I178" i="3"/>
  <c r="K178" i="10" s="1"/>
  <c r="I107" i="3"/>
  <c r="K107" i="10" s="1"/>
  <c r="I157" i="3"/>
  <c r="K157" i="10" s="1"/>
  <c r="I33" i="3"/>
  <c r="K33" i="10" s="1"/>
  <c r="I139" i="3"/>
  <c r="K139" i="10" s="1"/>
  <c r="I133" i="3"/>
  <c r="K133" i="10" s="1"/>
  <c r="I143" i="3"/>
  <c r="K143" i="10" s="1"/>
  <c r="I29" i="3"/>
  <c r="K29" i="10" s="1"/>
  <c r="I35" i="3"/>
  <c r="K35" i="10" s="1"/>
  <c r="I105" i="3"/>
  <c r="K105" i="10" s="1"/>
  <c r="I117" i="3"/>
  <c r="K117" i="10" s="1"/>
  <c r="I113" i="3"/>
  <c r="K113" i="10" s="1"/>
  <c r="I129" i="3"/>
  <c r="K129" i="10" s="1"/>
  <c r="I164" i="3"/>
  <c r="K164" i="10" s="1"/>
  <c r="I109" i="3"/>
  <c r="K109" i="10" s="1"/>
  <c r="I77" i="3"/>
  <c r="K77" i="10" s="1"/>
  <c r="I111" i="3"/>
  <c r="K111" i="10" s="1"/>
  <c r="I55" i="3"/>
  <c r="K55" i="10" s="1"/>
  <c r="I182" i="3"/>
  <c r="K182" i="10" s="1"/>
  <c r="I25" i="3"/>
  <c r="K25" i="10" s="1"/>
  <c r="I21" i="3"/>
  <c r="K21" i="10" s="1"/>
  <c r="I174" i="3"/>
  <c r="K174" i="10" s="1"/>
  <c r="I83" i="3"/>
  <c r="K83" i="10" s="1"/>
  <c r="I89" i="3"/>
  <c r="K89" i="10" s="1"/>
  <c r="I155" i="3"/>
  <c r="K155" i="10" s="1"/>
  <c r="I168" i="3"/>
  <c r="K168" i="10" s="1"/>
  <c r="I81" i="3"/>
  <c r="K81" i="10" s="1"/>
  <c r="I180" i="3"/>
  <c r="K180" i="10" s="1"/>
  <c r="I103" i="3"/>
  <c r="K103" i="10" s="1"/>
  <c r="I172" i="3"/>
  <c r="K172" i="10" s="1"/>
  <c r="I125" i="3"/>
  <c r="K125" i="10" s="1"/>
  <c r="I149" i="3"/>
  <c r="K149" i="10" s="1"/>
  <c r="I45" i="3"/>
  <c r="K45" i="10" s="1"/>
  <c r="I123" i="3"/>
  <c r="K123" i="10" s="1"/>
  <c r="I47" i="3"/>
  <c r="K47" i="10" s="1"/>
  <c r="I131" i="3"/>
  <c r="K131" i="10" s="1"/>
  <c r="I71" i="3"/>
  <c r="K71" i="10" s="1"/>
  <c r="I23" i="3"/>
  <c r="K23" i="10" s="1"/>
  <c r="I61" i="3"/>
  <c r="K61" i="10" s="1"/>
  <c r="I145" i="3"/>
  <c r="K145" i="10" s="1"/>
  <c r="I121" i="3"/>
  <c r="K121" i="10" s="1"/>
  <c r="I141" i="3"/>
  <c r="K141" i="10" s="1"/>
  <c r="I170" i="3"/>
  <c r="K170" i="10" s="1"/>
  <c r="I3" i="3"/>
  <c r="I151" i="3"/>
  <c r="K151" i="10" s="1"/>
  <c r="I11" i="3"/>
  <c r="K11" i="10" s="1"/>
  <c r="I127" i="3"/>
  <c r="K127" i="10" s="1"/>
  <c r="I7" i="3"/>
  <c r="K7" i="10" s="1"/>
  <c r="I147" i="3"/>
  <c r="K147" i="10" s="1"/>
  <c r="I135" i="3"/>
  <c r="K135" i="10" s="1"/>
  <c r="I115" i="3"/>
  <c r="K115" i="10" s="1"/>
  <c r="I17" i="3"/>
  <c r="K17" i="10" s="1"/>
  <c r="I57" i="3"/>
  <c r="K57" i="10" s="1"/>
  <c r="I67" i="3"/>
  <c r="K67" i="10" s="1"/>
  <c r="I13" i="3"/>
  <c r="K13" i="10" s="1"/>
  <c r="I95" i="3"/>
  <c r="K95" i="10" s="1"/>
  <c r="I91" i="3"/>
  <c r="K91" i="10" s="1"/>
  <c r="I75" i="3"/>
  <c r="K75" i="10" s="1"/>
  <c r="I85" i="3"/>
  <c r="K85" i="10" s="1"/>
  <c r="I41" i="3"/>
  <c r="K41" i="10" s="1"/>
  <c r="I162" i="3"/>
  <c r="K162" i="10" s="1"/>
  <c r="F11" i="4"/>
  <c r="F10" i="4"/>
  <c r="F9" i="4"/>
  <c r="F7" i="4"/>
  <c r="J41" i="3" l="1"/>
  <c r="J3" i="3"/>
  <c r="J89" i="3"/>
  <c r="J75" i="3"/>
  <c r="J67" i="3"/>
  <c r="J135" i="3"/>
  <c r="J11" i="3"/>
  <c r="J141" i="3"/>
  <c r="J23" i="3"/>
  <c r="J123" i="3"/>
  <c r="J172" i="3"/>
  <c r="J168" i="3"/>
  <c r="J174" i="3"/>
  <c r="J55" i="3"/>
  <c r="J164" i="3"/>
  <c r="J105" i="3"/>
  <c r="J133" i="3"/>
  <c r="J107" i="3"/>
  <c r="J101" i="3"/>
  <c r="J65" i="3"/>
  <c r="J53" i="3"/>
  <c r="J9" i="3"/>
  <c r="J79" i="3"/>
  <c r="J43" i="3"/>
  <c r="J40" i="3"/>
  <c r="J166" i="3"/>
  <c r="J86" i="3"/>
  <c r="J96" i="3"/>
  <c r="J4" i="3"/>
  <c r="J104" i="3"/>
  <c r="J80" i="3"/>
  <c r="J116" i="3"/>
  <c r="J136" i="3"/>
  <c r="J76" i="3"/>
  <c r="J128" i="3"/>
  <c r="J60" i="3"/>
  <c r="J126" i="3"/>
  <c r="J94" i="3"/>
  <c r="J98" i="3"/>
  <c r="J183" i="3"/>
  <c r="J138" i="3"/>
  <c r="J12" i="3"/>
  <c r="J10" i="3"/>
  <c r="J44" i="3"/>
  <c r="J181" i="3"/>
  <c r="J24" i="3"/>
  <c r="J90" i="3"/>
  <c r="J175" i="3"/>
  <c r="J7" i="3"/>
  <c r="J149" i="3"/>
  <c r="J162" i="3"/>
  <c r="J91" i="3"/>
  <c r="J57" i="3"/>
  <c r="J147" i="3"/>
  <c r="J151" i="3"/>
  <c r="J121" i="3"/>
  <c r="J71" i="3"/>
  <c r="J45" i="3"/>
  <c r="J103" i="3"/>
  <c r="J155" i="3"/>
  <c r="J21" i="3"/>
  <c r="J111" i="3"/>
  <c r="J129" i="3"/>
  <c r="J35" i="3"/>
  <c r="J139" i="3"/>
  <c r="J178" i="3"/>
  <c r="J5" i="3"/>
  <c r="J31" i="3"/>
  <c r="J99" i="3"/>
  <c r="J137" i="3"/>
  <c r="J69" i="3"/>
  <c r="J63" i="3"/>
  <c r="J176" i="3"/>
  <c r="J132" i="3"/>
  <c r="J54" i="3"/>
  <c r="J74" i="3"/>
  <c r="J179" i="3"/>
  <c r="J72" i="3"/>
  <c r="J167" i="3"/>
  <c r="J154" i="3"/>
  <c r="J118" i="3"/>
  <c r="J64" i="3"/>
  <c r="J122" i="3"/>
  <c r="J48" i="3"/>
  <c r="J2" i="3"/>
  <c r="J30" i="3"/>
  <c r="J158" i="3"/>
  <c r="J70" i="3"/>
  <c r="J171" i="3"/>
  <c r="J92" i="3"/>
  <c r="J102" i="3"/>
  <c r="J32" i="3"/>
  <c r="J134" i="3"/>
  <c r="J124" i="3"/>
  <c r="J20" i="3"/>
  <c r="J95" i="3"/>
  <c r="J145" i="3"/>
  <c r="J131" i="3"/>
  <c r="J25" i="3"/>
  <c r="J77" i="3"/>
  <c r="J113" i="3"/>
  <c r="J29" i="3"/>
  <c r="J33" i="3"/>
  <c r="J97" i="3"/>
  <c r="J119" i="3"/>
  <c r="J51" i="3"/>
  <c r="J15" i="3"/>
  <c r="J19" i="3"/>
  <c r="J159" i="3"/>
  <c r="J27" i="3"/>
  <c r="J37" i="3"/>
  <c r="J26" i="3"/>
  <c r="J106" i="3"/>
  <c r="J152" i="3"/>
  <c r="J144" i="3"/>
  <c r="J150" i="3"/>
  <c r="J78" i="3"/>
  <c r="J88" i="3"/>
  <c r="J16" i="3"/>
  <c r="J112" i="3"/>
  <c r="J66" i="3"/>
  <c r="J100" i="3"/>
  <c r="J148" i="3"/>
  <c r="J114" i="3"/>
  <c r="J173" i="3"/>
  <c r="J34" i="3"/>
  <c r="J22" i="3"/>
  <c r="J50" i="3"/>
  <c r="J6" i="3"/>
  <c r="J108" i="3"/>
  <c r="J163" i="3"/>
  <c r="J146" i="3"/>
  <c r="J142" i="3"/>
  <c r="J17" i="3"/>
  <c r="J180" i="3"/>
  <c r="J85" i="3"/>
  <c r="J13" i="3"/>
  <c r="J115" i="3"/>
  <c r="J127" i="3"/>
  <c r="J170" i="3"/>
  <c r="J61" i="3"/>
  <c r="J47" i="3"/>
  <c r="J125" i="3"/>
  <c r="J81" i="3"/>
  <c r="J83" i="3"/>
  <c r="J182" i="3"/>
  <c r="J109" i="3"/>
  <c r="J117" i="3"/>
  <c r="J143" i="3"/>
  <c r="J157" i="3"/>
  <c r="J59" i="3"/>
  <c r="J93" i="3"/>
  <c r="J73" i="3"/>
  <c r="J49" i="3"/>
  <c r="J153" i="3"/>
  <c r="J184" i="3"/>
  <c r="J161" i="3"/>
  <c r="J87" i="3"/>
  <c r="J56" i="3"/>
  <c r="J42" i="3"/>
  <c r="J62" i="3"/>
  <c r="J169" i="3"/>
  <c r="J58" i="3"/>
  <c r="J39" i="3"/>
  <c r="J14" i="3"/>
  <c r="J38" i="3"/>
  <c r="J28" i="3"/>
  <c r="J177" i="3"/>
  <c r="J84" i="3"/>
  <c r="J52" i="3"/>
  <c r="J36" i="3"/>
  <c r="J165" i="3"/>
  <c r="J110" i="3"/>
  <c r="J160" i="3"/>
  <c r="J140" i="3"/>
  <c r="J120" i="3"/>
  <c r="J82" i="3"/>
  <c r="J8" i="3"/>
  <c r="J156" i="3"/>
  <c r="J46" i="3"/>
  <c r="J18" i="3"/>
  <c r="J68" i="3"/>
  <c r="J130" i="3"/>
  <c r="G16" i="5"/>
  <c r="F13" i="4"/>
  <c r="F14" i="4"/>
  <c r="F12" i="4"/>
  <c r="F106" i="1" l="1"/>
  <c r="H106" i="1"/>
  <c r="I10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10</author>
  </authors>
  <commentList>
    <comment ref="J1" authorId="0" shapeId="0" xr:uid="{B58A554B-3997-43E9-B062-5C17D6D3AA9B}">
      <text>
        <r>
          <rPr>
            <b/>
            <sz val="9"/>
            <color indexed="81"/>
            <rFont val="Tahoma"/>
            <family val="2"/>
          </rPr>
          <t xml:space="preserve">Task 5 add Bonus column.
</t>
        </r>
        <r>
          <rPr>
            <sz val="9"/>
            <color indexed="81"/>
            <rFont val="Tahoma"/>
            <family val="2"/>
          </rPr>
          <t xml:space="preserve">If Tenure&gt;2 then 3% else 2%.
</t>
        </r>
      </text>
    </comment>
    <comment ref="K1" authorId="0" shapeId="0" xr:uid="{33390B72-A745-4D11-A8A9-5116161EF7F2}">
      <text>
        <r>
          <rPr>
            <b/>
            <sz val="9"/>
            <color indexed="81"/>
            <rFont val="Tahoma"/>
            <family val="2"/>
          </rPr>
          <t xml:space="preserve">Task 6:
How is the salary spread?
</t>
        </r>
      </text>
    </comment>
    <comment ref="L1" authorId="0" shapeId="0" xr:uid="{45C3F797-7502-42F1-9273-7502051F39AA}">
      <text>
        <r>
          <rPr>
            <sz val="9"/>
            <color indexed="81"/>
            <rFont val="Tahoma"/>
            <charset val="1"/>
          </rPr>
          <t xml:space="preserve">
QUANTIFIED RATINGS FOR THE SCATTER PLOT IN TASK 7.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10</author>
  </authors>
  <commentList>
    <comment ref="K9" authorId="0" shapeId="0" xr:uid="{1F35520B-A3BE-41C9-B1C5-3A403E1DEFD5}">
      <text>
        <r>
          <rPr>
            <b/>
            <sz val="9"/>
            <color indexed="81"/>
            <rFont val="Tahoma"/>
            <family val="2"/>
          </rPr>
          <t>10:</t>
        </r>
        <r>
          <rPr>
            <sz val="9"/>
            <color indexed="81"/>
            <rFont val="Tahoma"/>
            <family val="2"/>
          </rPr>
          <t xml:space="preserve">
For specefic department we will get  details of all  the columns.
At ther top number the data as we want specefic columns ( there are no column headers)</t>
        </r>
      </text>
    </comment>
    <comment ref="K10" authorId="0" shapeId="0" xr:uid="{EC87590B-63C2-408C-9ED6-677858625A73}">
      <text>
        <r>
          <rPr>
            <b/>
            <sz val="9"/>
            <color indexed="81"/>
            <rFont val="Tahoma"/>
            <family val="2"/>
          </rPr>
          <t>10:</t>
        </r>
        <r>
          <rPr>
            <sz val="9"/>
            <color indexed="81"/>
            <rFont val="Tahoma"/>
            <family val="2"/>
          </rPr>
          <t xml:space="preserve">
1,7,4 --&gt; in the bracket means the desired columns which we wish to display.</t>
        </r>
      </text>
    </comment>
    <comment ref="K15" authorId="0" shapeId="0" xr:uid="{2DA7B460-3BB5-4F35-BA41-0D071E1F17CB}">
      <text>
        <r>
          <rPr>
            <sz val="9"/>
            <color indexed="81"/>
            <rFont val="Tahoma"/>
            <family val="2"/>
          </rPr>
          <t>In this:-
 2 means : sort acording to the 2nd column in the corrent data.
-1 means : in descending order.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10</author>
  </authors>
  <commentList>
    <comment ref="K4" authorId="0" shapeId="0" xr:uid="{1F7B6AA2-AB2F-48CC-9006-88EE40F279EC}">
      <text>
        <r>
          <rPr>
            <b/>
            <sz val="9"/>
            <color indexed="81"/>
            <rFont val="Tahoma"/>
            <family val="2"/>
          </rPr>
          <t xml:space="preserve">Task 5 add Bonus column.
</t>
        </r>
        <r>
          <rPr>
            <sz val="9"/>
            <color indexed="81"/>
            <rFont val="Tahoma"/>
            <family val="2"/>
          </rPr>
          <t xml:space="preserve">If Tenure&gt;2 then 3% else 2%.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51E494-41F3-4845-8639-26CC1EE6A6E1}" keepAlive="1" name="Query - india_staff" description="Connection to the 'india_staff' query in the workbook." type="5" refreshedVersion="0" background="1">
    <dbPr connection="Provider=Microsoft.Mashup.OleDb.1;Data Source=$Workbook$;Location=india_staff;Extended Properties=&quot;&quot;" command="SELECT * FROM [india_staff]"/>
  </connection>
  <connection id="2" xr16:uid="{2B262015-699E-4EFC-A889-C84A69A63F97}"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C5E81503-EF6F-45C0-A6EE-2B5F1959752B}"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D96556ED-6FF0-4BCF-887E-4E76CE6D48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BED57A82-BE98-4BA0-9EFD-C990E1F9566B}" name="WorksheetConnection_github_clean,analyze and present data.xlsx!staff" type="102" refreshedVersion="8" minRefreshableVersion="5">
    <extLst>
      <ext xmlns:x15="http://schemas.microsoft.com/office/spreadsheetml/2010/11/main" uri="{DE250136-89BD-433C-8126-D09CA5730AF9}">
        <x15:connection id="staff" autoDelete="1">
          <x15:rangePr sourceName="_xlcn.WorksheetConnection_github_cleananalyzeandpresentdata.xlsxstaff"/>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staff].[Country].&amp;[NZ]}"/>
    <s v="{[staff].[Country].&amp;[IND]}"/>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<sst xmlns="http://schemas.openxmlformats.org/spreadsheetml/2006/main" count="2844" uniqueCount="281">
  <si>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</si>
  <si>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</si>
  <si>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</si>
  <si>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</si>
  <si>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</si>
  <si>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</si>
  <si>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</si>
  <si>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</si>
  <si>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</si>
  <si>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</si>
  <si>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</si>
  <si>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</si>
  <si>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</si>
  <si>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</si>
  <si>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</si>
  <si>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</si>
  <si>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</si>
  <si>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</si>
  <si>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</si>
  <si>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</si>
  <si>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</si>
  <si>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</si>
  <si>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</si>
  <si>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</si>
  <si>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</si>
  <si>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</si>
  <si>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</si>
  <si>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</si>
  <si>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</si>
  <si>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</si>
  <si>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</si>
  <si>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</si>
  <si>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</si>
  <si>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</si>
  <si>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</si>
  <si>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</si>
  <si>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</si>
  <si>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</si>
  <si>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</si>
  <si>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</si>
  <si>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</si>
  <si>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</si>
  <si>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</si>
  <si>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</si>
  <si>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</si>
  <si>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</si>
  <si>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</si>
  <si>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</si>
  <si>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</si>
  <si>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</si>
  <si>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</si>
  <si>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</si>
  <si>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</si>
  <si>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</si>
  <si>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</si>
  <si>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</si>
  <si>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</si>
  <si>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</si>
  <si>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</si>
  <si>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</si>
  <si>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</si>
  <si>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</si>
  <si>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</si>
  <si>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</si>
  <si>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</si>
  <si>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</si>
  <si>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</si>
  <si>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</si>
  <si>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</si>
  <si>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</si>
  <si>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</si>
  <si>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</si>
  <si>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</si>
  <si>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</si>
  <si>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</si>
  <si>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</si>
  <si>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</si>
  <si>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</si>
  <si>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</si>
  <si>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</si>
  <si>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</si>
  <si>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</si>
  <si>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</si>
  <si>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</si>
  <si>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</si>
  <si>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</si>
  <si>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</si>
  <si>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</si>
  <si>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</si>
  <si>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</si>
  <si>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</si>
  <si>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</si>
  <si>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</si>
  <si>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</si>
  <si>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</si>
  <si>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</si>
  <si>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</si>
  <si>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</si>
  <si>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</si>
  <si>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</si>
  <si>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</si>
  <si>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</si>
  <si>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</si>
  <si>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</si>
  <si>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</si>
  <si>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</si>
  <si>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</si>
  <si>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</si>
  <si>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</si>
  <si>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</si>
  <si>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</si>
  <si>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</si>
  <si>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</si>
  <si>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</si>
  <si>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</si>
  <si>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</si>
  <si>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</si>
  <si>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</si>
  <si>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</si>
  <si>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</si>
  <si>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</si>
  <si>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</si>
  <si>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</si>
  <si>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</si>
  <si>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</si>
  <si>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</si>
  <si>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</si>
  <si>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</si>
  <si>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</si>
  <si>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</si>
  <si>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</si>
  <si>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</si>
  <si>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</si>
  <si>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</si>
  <si>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</si>
  <si>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</si>
  <si>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</si>
  <si>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</si>
  <si>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</si>
  <si>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</si>
  <si>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</si>
  <si>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</si>
  <si>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</si>
  <si>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</si>
  <si>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</si>
  <si>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</si>
  <si>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</si>
  <si>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</si>
  <si>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</si>
  <si>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</si>
  <si>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</si>
  <si>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</si>
  <si>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</si>
  <si>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</si>
  <si>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</si>
  <si>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</si>
  <si>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</si>
  <si>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</si>
  <si>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</si>
  <si>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</si>
  <si>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</si>
  <si>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</si>
  <si>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</si>
  <si>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</si>
  <si>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</si>
  <si>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</si>
  <si>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</si>
  <si>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</si>
  <si>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</si>
  <si>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</si>
  <si>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</si>
  <si>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</si>
  <si>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</si>
  <si>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</si>
  <si>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</si>
  <si>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</si>
  <si>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</si>
  <si>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</si>
  <si>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</si>
  <si>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</si>
  <si>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</si>
  <si>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</si>
  <si>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</si>
  <si>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</si>
  <si>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</si>
  <si>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</si>
  <si>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</si>
  <si>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</si>
  <si>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</si>
  <si>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</si>
  <si>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</si>
  <si>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</si>
  <si>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</si>
  <si>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</si>
  <si>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</si>
  <si>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</si>
  <si>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</si>
  <si>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</si>
  <si>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</si>
  <si>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</si>
  <si>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</si>
  <si>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</si>
  <si>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</si>
  <si>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</si>
  <si>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</si>
  <si>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IND</t>
  </si>
  <si>
    <t>Other</t>
  </si>
  <si>
    <t>NZ</t>
  </si>
  <si>
    <t>QUICK ANALYSIS</t>
  </si>
  <si>
    <t>Count of employees</t>
  </si>
  <si>
    <t>Average salary</t>
  </si>
  <si>
    <t>Average Age</t>
  </si>
  <si>
    <t>Average Tenure</t>
  </si>
  <si>
    <t>Median salary</t>
  </si>
  <si>
    <t>Median Age</t>
  </si>
  <si>
    <t>Ratio of 90,000$ &gt;</t>
  </si>
  <si>
    <t>Tenure</t>
  </si>
  <si>
    <t>Female  Ratio</t>
  </si>
  <si>
    <t>Information Finder</t>
  </si>
  <si>
    <t>Column Name</t>
  </si>
  <si>
    <t>Information</t>
  </si>
  <si>
    <t>S.no</t>
  </si>
  <si>
    <t>Enter the employee name to get the details  :-</t>
  </si>
  <si>
    <t>Column Labels</t>
  </si>
  <si>
    <t>Count of Name</t>
  </si>
  <si>
    <t>Average of Age</t>
  </si>
  <si>
    <t>Values</t>
  </si>
  <si>
    <t>Average of Salary</t>
  </si>
  <si>
    <t>Average of Tenure</t>
  </si>
  <si>
    <t>Male vs Female comparision</t>
  </si>
  <si>
    <t>Bonus</t>
  </si>
  <si>
    <t>Headcount  of that particular dept.</t>
  </si>
  <si>
    <t>=filter(staff,staff[Department]=B7)</t>
  </si>
  <si>
    <t>=choosecols(filter(staff,staff[Department]=B7)),1,7,4)</t>
  </si>
  <si>
    <t>=sort(choosecols(filter(staff,staff[Department]=B7)),1,7,4), 2,-1)</t>
  </si>
  <si>
    <t>Count /Avg. Age/ Avg. Salary /Avg. Tenure</t>
  </si>
  <si>
    <t>Enter the dept name &amp; get the details  (Name,rating,salary)   /   Sort in the descending order of salaries.   /  Headcount  of that particular dept.</t>
  </si>
  <si>
    <t>Enter the dept name &amp; get the details  (Name,rating,salary)  ( Easily possible in excel 365)</t>
  </si>
  <si>
    <t>Sort in the descending order of salaries(Easily possible in excel 365)</t>
  </si>
  <si>
    <t>Please Enter The Employee Name To Get The Details  :-</t>
  </si>
  <si>
    <t>Count of employees.  /  Average salary.  /   Median salary.  /  Average Age.  /  Median Age.  /  Average Tenure.  /Female  Ratio.  /  Ratio of 90,000$ &gt;</t>
  </si>
  <si>
    <t>Task</t>
  </si>
  <si>
    <t>Tenure(in  yrs)</t>
  </si>
  <si>
    <t>Enter the department name :</t>
  </si>
  <si>
    <t>Salary Spread</t>
  </si>
  <si>
    <t>Bonus Calculation</t>
  </si>
  <si>
    <t>Grand Total</t>
  </si>
  <si>
    <t>Row Labels</t>
  </si>
  <si>
    <t>IF THE EMPLOYEE HAS SERVERD FOR MORE THAN 2 YEARS THEN ,THEY GET A BONUS OF 3% ELSE 2%( Add a new column to the table)</t>
  </si>
  <si>
    <t>SALARY V/S RATING</t>
  </si>
  <si>
    <t>RATING QUANTIFIED</t>
  </si>
  <si>
    <t>Rating Quantified</t>
  </si>
  <si>
    <t>COMPANY GROWTH</t>
  </si>
  <si>
    <t>2020</t>
  </si>
  <si>
    <t>May</t>
  </si>
  <si>
    <t>Jun</t>
  </si>
  <si>
    <t>Jul</t>
  </si>
  <si>
    <t>Aug</t>
  </si>
  <si>
    <t>Sep</t>
  </si>
  <si>
    <t>Oct</t>
  </si>
  <si>
    <t>Nov</t>
  </si>
  <si>
    <t>Dec</t>
  </si>
  <si>
    <t>2021</t>
  </si>
  <si>
    <t>Jan</t>
  </si>
  <si>
    <t>Feb</t>
  </si>
  <si>
    <t>Mar</t>
  </si>
  <si>
    <t>Apr</t>
  </si>
  <si>
    <t>2022</t>
  </si>
  <si>
    <t>2023</t>
  </si>
  <si>
    <t>DOJ
(YEAR WISE , MONTH WISE)</t>
  </si>
  <si>
    <t>Month</t>
  </si>
  <si>
    <t>Running Headcount</t>
  </si>
  <si>
    <t>Headcount</t>
  </si>
  <si>
    <t>HEADCOUNT 
(MONTHWISE RUNNING TOTAL
PER YEAR)</t>
  </si>
  <si>
    <t>YEARLY GROWTH</t>
  </si>
  <si>
    <t>OVERALL GROWTH</t>
  </si>
  <si>
    <t>Regional Scorecard</t>
  </si>
  <si>
    <t>What is the yearly growth? What is the overall growth?</t>
  </si>
  <si>
    <t>HEADCOUNT BY DEPARTMENT</t>
  </si>
  <si>
    <t>COUNTRY</t>
  </si>
  <si>
    <t>HeadCount/ Female Ration/ Avg.Salary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</si>
</sst>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0.0"/>
    <numFmt numFmtId="165" formatCode="&quot;$&quot;#,##0.00"/>
    <numFmt numFmtId="166" formatCode="_(&quot;$&quot;* #,##0.0_);_(&quot;$&quot;* \(#,##0.0\);_(&quot;$&quot;* &quot;-&quot;??_);_(@_)"/>
    <numFmt numFmtId="167" formatCode="_(&quot;$&quot;* #,##0_);_(&quot;$&quot;* \(#,##0\);_(&quot;$&quot;* &quot;-&quot;??_);_(@_)"/>
  </numFmts>
  <fonts count="21" x14ac:knownFonts="1">
    <font>
      <sz val="11"/>
      <color theme="1"/>
      <name val="Calibri"/>
      <family val="2"/>
      <scheme val="minor"/>
    </font>
    <font>
      <sz val="28"/>
      <color theme="1"/>
      <name val="Segoe UI Light"/>
      <family val="2"/>
    </font>
    <font>
      <sz val="8"/>
      <name val="Calibri"/>
      <family val="2"/>
      <scheme val="minor"/>
    </font>
    <font>
      <sz val="20"/>
      <color theme="0"/>
      <name val="Calibri"/>
      <family val="2"/>
      <scheme val="minor"/>
    </font>
    <font>
      <sz val="9"/>
      <color indexed="81"/>
      <name val="Tahoma"/>
      <family val="2"/>
    </font>
    <font>
      <b/>
      <sz val="9"/>
      <color indexed="81"/>
      <name val="Tahoma"/>
      <family val="2"/>
    </font>
    <font>
      <sz val="12"/>
      <color theme="1" tint="0.14999847407452621"/>
      <name val="Calibri"/>
      <family val="2"/>
      <scheme val="minor"/>
    </font>
    <font>
      <sz val="11"/>
      <color theme="1"/>
      <name val="Calibri"/>
      <family val="2"/>
      <scheme val="minor"/>
    </font>
    <font>
      <b/>
      <sz val="11"/>
      <color theme="0"/>
      <name val="Calibri"/>
      <family val="2"/>
      <scheme val="minor"/>
    </font>
    <font>
      <b/>
      <sz val="11"/>
      <color theme="5" tint="-0.249977111117893"/>
      <name val="Calibri"/>
      <family val="2"/>
      <scheme val="minor"/>
    </font>
    <font>
      <sz val="12"/>
      <color theme="1"/>
      <name val="Calibri"/>
      <family val="2"/>
      <scheme val="minor"/>
    </font>
    <font>
      <sz val="11"/>
      <color theme="4" tint="-0.249977111117893"/>
      <name val="Calibri"/>
      <family val="2"/>
      <scheme val="minor"/>
    </font>
    <font>
      <b/>
      <u/>
      <sz val="11"/>
      <color theme="2" tint="-0.89999084444715716"/>
      <name val="Calibri"/>
      <family val="2"/>
      <scheme val="minor"/>
    </font>
    <font>
      <b/>
      <sz val="11"/>
      <color theme="9" tint="-0.499984740745262"/>
      <name val="Calibri"/>
      <family val="2"/>
      <scheme val="minor"/>
    </font>
    <font>
      <sz val="24"/>
      <color theme="0"/>
      <name val="Calibri"/>
      <family val="2"/>
      <scheme val="minor"/>
    </font>
    <font>
      <sz val="28"/>
      <color theme="0"/>
      <name val="Calibri"/>
      <family val="2"/>
      <scheme val="minor"/>
    </font>
    <font>
      <sz val="9"/>
      <color indexed="81"/>
      <name val="Tahoma"/>
      <charset val="1"/>
    </font>
    <font>
      <sz val="9"/>
      <color theme="1"/>
      <name val="Calibri"/>
      <family val="2"/>
      <scheme val="minor"/>
    </font>
    <font>
      <b/>
      <u/>
      <sz val="11"/>
      <color theme="4" tint="-0.249977111117893"/>
      <name val="Calibri"/>
      <family val="2"/>
      <scheme val="minor"/>
    </font>
    <font>
      <sz val="48"/>
      <color theme="0"/>
      <name val="Calibri"/>
      <family val="2"/>
      <scheme val="minor"/>
    </font>
    <font>
      <sz val="20"/>
      <color theme="1"/>
      <name val="Calibri"/>
      <family val="2"/>
      <scheme val="minor"/>
    </font>
  </fonts>
  <fills count="1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5" tint="0.39997558519241921"/>
        <bgColor theme="9"/>
      </patternFill>
    </fill>
    <fill>
      <patternFill patternType="solid">
        <fgColor rgb="FF0070C0"/>
        <bgColor indexed="64"/>
      </patternFill>
    </fill>
    <fill>
      <patternFill patternType="solid">
        <fgColor theme="5"/>
        <bgColor indexed="64"/>
      </patternFill>
    </fill>
    <fill>
      <patternFill patternType="solid">
        <fgColor theme="2" tint="-0.49998474074526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indexed="64"/>
      </right>
      <top style="thin">
        <color theme="4"/>
      </top>
      <bottom style="thin">
        <color theme="4"/>
      </bottom>
      <diagonal/>
    </border>
    <border>
      <left style="thin">
        <color indexed="64"/>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top style="thin">
        <color theme="4" tint="-0.249977111117893"/>
      </top>
      <bottom/>
      <diagonal/>
    </border>
    <border>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top/>
      <bottom/>
      <diagonal/>
    </border>
    <border>
      <left/>
      <right style="thin">
        <color theme="4" tint="-0.249977111117893"/>
      </right>
      <top/>
      <bottom/>
      <diagonal/>
    </border>
    <border>
      <left style="thin">
        <color theme="4" tint="-0.249977111117893"/>
      </left>
      <right/>
      <top/>
      <bottom style="thin">
        <color theme="4" tint="-0.249977111117893"/>
      </bottom>
      <diagonal/>
    </border>
    <border>
      <left/>
      <right/>
      <top/>
      <bottom style="thin">
        <color theme="4" tint="-0.249977111117893"/>
      </bottom>
      <diagonal/>
    </border>
    <border>
      <left/>
      <right style="thin">
        <color theme="4" tint="-0.249977111117893"/>
      </right>
      <top/>
      <bottom style="thin">
        <color theme="4" tint="-0.249977111117893"/>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12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0" fontId="0" fillId="0" borderId="0" xfId="0" applyNumberFormat="1"/>
    <xf numFmtId="14" fontId="0" fillId="0" borderId="0" xfId="0" applyNumberFormat="1"/>
    <xf numFmtId="0" fontId="3" fillId="4" borderId="0" xfId="0" applyFont="1" applyFill="1"/>
    <xf numFmtId="0" fontId="0" fillId="4" borderId="0" xfId="0" applyFill="1"/>
    <xf numFmtId="0" fontId="0" fillId="5" borderId="0" xfId="0" applyFill="1"/>
    <xf numFmtId="2" fontId="0" fillId="0" borderId="0" xfId="0" applyNumberFormat="1"/>
    <xf numFmtId="0" fontId="0" fillId="0" borderId="0" xfId="0" applyFill="1"/>
    <xf numFmtId="0" fontId="0" fillId="4" borderId="0" xfId="0" applyFill="1" applyAlignment="1">
      <alignment horizontal="left"/>
    </xf>
    <xf numFmtId="0" fontId="0" fillId="0" borderId="0" xfId="0" applyAlignment="1">
      <alignment horizontal="left"/>
    </xf>
    <xf numFmtId="0" fontId="0" fillId="0" borderId="0" xfId="0" applyFill="1" applyAlignment="1">
      <alignment horizontal="left"/>
    </xf>
    <xf numFmtId="0" fontId="0" fillId="0" borderId="0" xfId="0" applyAlignment="1">
      <alignment vertical="top" wrapText="1"/>
    </xf>
    <xf numFmtId="164" fontId="0" fillId="0" borderId="0" xfId="0" applyNumberFormat="1"/>
    <xf numFmtId="0" fontId="0" fillId="0" borderId="0" xfId="0" applyBorder="1"/>
    <xf numFmtId="0" fontId="0" fillId="0" borderId="5" xfId="0" applyBorder="1"/>
    <xf numFmtId="0" fontId="0" fillId="0" borderId="0" xfId="0" pivotButton="1"/>
    <xf numFmtId="165" fontId="0" fillId="0" borderId="0" xfId="0" applyNumberFormat="1"/>
    <xf numFmtId="0" fontId="0" fillId="7" borderId="0" xfId="0" applyFill="1"/>
    <xf numFmtId="0" fontId="9" fillId="7" borderId="0" xfId="0" applyFont="1" applyFill="1" applyAlignment="1"/>
    <xf numFmtId="0" fontId="0" fillId="0" borderId="0" xfId="0" applyBorder="1" applyAlignment="1">
      <alignment horizontal="left"/>
    </xf>
    <xf numFmtId="0" fontId="6" fillId="0" borderId="0" xfId="0" applyFont="1" applyFill="1"/>
    <xf numFmtId="0" fontId="10" fillId="0" borderId="1" xfId="0" applyFont="1" applyFill="1" applyBorder="1"/>
    <xf numFmtId="0" fontId="9" fillId="0" borderId="0" xfId="0" applyFont="1" applyFill="1" applyAlignment="1">
      <alignment horizontal="center"/>
    </xf>
    <xf numFmtId="0" fontId="9" fillId="0" borderId="0" xfId="0" applyFont="1" applyFill="1" applyBorder="1" applyAlignment="1">
      <alignment horizontal="center"/>
    </xf>
    <xf numFmtId="0" fontId="9" fillId="8" borderId="1" xfId="0" applyFont="1" applyFill="1" applyBorder="1" applyAlignment="1">
      <alignment horizontal="center"/>
    </xf>
    <xf numFmtId="0" fontId="0" fillId="0" borderId="0" xfId="0" applyAlignment="1">
      <alignment horizontal="left" vertical="center"/>
    </xf>
    <xf numFmtId="0" fontId="8" fillId="9" borderId="10" xfId="0" applyFont="1" applyFill="1" applyBorder="1"/>
    <xf numFmtId="0" fontId="0" fillId="10" borderId="9" xfId="0" applyFont="1" applyFill="1" applyBorder="1"/>
    <xf numFmtId="0" fontId="0" fillId="10" borderId="10" xfId="0" applyFont="1" applyFill="1" applyBorder="1"/>
    <xf numFmtId="0" fontId="0" fillId="0" borderId="9" xfId="0" applyFont="1" applyBorder="1"/>
    <xf numFmtId="0" fontId="0" fillId="0" borderId="10" xfId="0" applyFont="1" applyBorder="1"/>
    <xf numFmtId="0" fontId="0" fillId="0" borderId="0" xfId="0" applyFill="1" applyBorder="1"/>
    <xf numFmtId="0" fontId="0" fillId="0" borderId="8" xfId="0" applyBorder="1"/>
    <xf numFmtId="0" fontId="10" fillId="0" borderId="11" xfId="0" applyFont="1" applyFill="1" applyBorder="1"/>
    <xf numFmtId="0" fontId="10" fillId="0" borderId="8" xfId="0" applyFont="1" applyFill="1" applyBorder="1"/>
    <xf numFmtId="0" fontId="10" fillId="7" borderId="5" xfId="0" applyFont="1" applyFill="1" applyBorder="1"/>
    <xf numFmtId="0" fontId="10" fillId="7" borderId="12" xfId="0" applyFont="1" applyFill="1" applyBorder="1"/>
    <xf numFmtId="0" fontId="10" fillId="7" borderId="4" xfId="0" applyFont="1" applyFill="1" applyBorder="1" applyAlignment="1">
      <alignment horizontal="left"/>
    </xf>
    <xf numFmtId="0" fontId="10" fillId="0" borderId="3" xfId="0" applyFont="1" applyFill="1" applyBorder="1"/>
    <xf numFmtId="0" fontId="6" fillId="0" borderId="8" xfId="0" applyFont="1" applyFill="1" applyBorder="1" applyAlignment="1">
      <alignment horizontal="left"/>
    </xf>
    <xf numFmtId="0" fontId="10" fillId="7" borderId="5" xfId="0" applyFont="1" applyFill="1" applyBorder="1" applyAlignment="1">
      <alignment horizontal="left"/>
    </xf>
    <xf numFmtId="0" fontId="6" fillId="0" borderId="3" xfId="0" applyFont="1" applyFill="1" applyBorder="1" applyAlignment="1">
      <alignment horizontal="left"/>
    </xf>
    <xf numFmtId="0" fontId="6" fillId="0" borderId="6" xfId="0" applyFont="1" applyFill="1" applyBorder="1" applyAlignment="1">
      <alignment horizontal="right"/>
    </xf>
    <xf numFmtId="14" fontId="6" fillId="0" borderId="6" xfId="0" applyNumberFormat="1" applyFont="1" applyFill="1" applyBorder="1" applyAlignment="1">
      <alignment horizontal="right"/>
    </xf>
    <xf numFmtId="166" fontId="6" fillId="0" borderId="6" xfId="1" applyNumberFormat="1" applyFont="1" applyFill="1" applyBorder="1" applyAlignment="1">
      <alignment horizontal="right"/>
    </xf>
    <xf numFmtId="2" fontId="6" fillId="0" borderId="6" xfId="0" applyNumberFormat="1" applyFont="1" applyFill="1" applyBorder="1" applyAlignment="1">
      <alignment horizontal="right"/>
    </xf>
    <xf numFmtId="9" fontId="6" fillId="0" borderId="6" xfId="2" applyFont="1" applyFill="1" applyBorder="1" applyAlignment="1">
      <alignment horizontal="right"/>
    </xf>
    <xf numFmtId="9" fontId="6" fillId="0" borderId="2" xfId="2" applyFont="1" applyFill="1" applyBorder="1" applyAlignment="1">
      <alignment horizontal="right"/>
    </xf>
    <xf numFmtId="0" fontId="0" fillId="0" borderId="0" xfId="0" applyBorder="1" applyAlignment="1">
      <alignment vertical="top" wrapText="1"/>
    </xf>
    <xf numFmtId="164" fontId="6" fillId="0" borderId="6" xfId="0" applyNumberFormat="1" applyFont="1" applyFill="1" applyBorder="1" applyAlignment="1">
      <alignment horizontal="right"/>
    </xf>
    <xf numFmtId="44" fontId="6" fillId="0" borderId="6" xfId="1" applyFont="1" applyFill="1" applyBorder="1" applyAlignment="1">
      <alignment horizontal="right"/>
    </xf>
    <xf numFmtId="0" fontId="0" fillId="0" borderId="18" xfId="0" applyBorder="1"/>
    <xf numFmtId="0" fontId="0" fillId="0" borderId="20" xfId="0" applyBorder="1"/>
    <xf numFmtId="0" fontId="0" fillId="0" borderId="21" xfId="0" applyFill="1" applyBorder="1"/>
    <xf numFmtId="0" fontId="0" fillId="0" borderId="22" xfId="0" applyFill="1" applyBorder="1"/>
    <xf numFmtId="0" fontId="0" fillId="0" borderId="21" xfId="0" applyBorder="1"/>
    <xf numFmtId="0" fontId="0" fillId="0" borderId="22" xfId="0" applyBorder="1"/>
    <xf numFmtId="0" fontId="0" fillId="0" borderId="23" xfId="0" applyFill="1" applyBorder="1"/>
    <xf numFmtId="0" fontId="0" fillId="0" borderId="24" xfId="0" applyBorder="1"/>
    <xf numFmtId="0" fontId="0" fillId="0" borderId="24" xfId="0" applyBorder="1" applyAlignment="1">
      <alignment horizontal="left"/>
    </xf>
    <xf numFmtId="0" fontId="0" fillId="0" borderId="25" xfId="0" applyBorder="1"/>
    <xf numFmtId="0" fontId="0" fillId="0" borderId="18" xfId="0" applyFill="1" applyBorder="1"/>
    <xf numFmtId="0" fontId="0" fillId="0" borderId="24" xfId="0" applyFill="1" applyBorder="1"/>
    <xf numFmtId="0" fontId="0" fillId="0" borderId="25" xfId="0" applyFill="1" applyBorder="1"/>
    <xf numFmtId="0" fontId="12" fillId="0" borderId="0" xfId="0" applyFont="1" applyFill="1" applyBorder="1" applyAlignment="1">
      <alignment horizontal="center"/>
    </xf>
    <xf numFmtId="6" fontId="0" fillId="0" borderId="0" xfId="0" applyNumberFormat="1"/>
    <xf numFmtId="44" fontId="0" fillId="0" borderId="0" xfId="1" applyFont="1"/>
    <xf numFmtId="0" fontId="0" fillId="0" borderId="0" xfId="0" applyAlignment="1">
      <alignment horizontal="left" indent="1"/>
    </xf>
    <xf numFmtId="14" fontId="0" fillId="10" borderId="10" xfId="0" applyNumberFormat="1" applyFont="1" applyFill="1" applyBorder="1"/>
    <xf numFmtId="8" fontId="0" fillId="10" borderId="10" xfId="0" applyNumberFormat="1" applyFont="1" applyFill="1" applyBorder="1"/>
    <xf numFmtId="2" fontId="0" fillId="10" borderId="10" xfId="0" applyNumberFormat="1" applyFont="1" applyFill="1" applyBorder="1"/>
    <xf numFmtId="44" fontId="0" fillId="10" borderId="10" xfId="1" applyNumberFormat="1" applyFont="1" applyFill="1" applyBorder="1"/>
    <xf numFmtId="14" fontId="0" fillId="0" borderId="10" xfId="0" applyNumberFormat="1" applyFont="1" applyBorder="1"/>
    <xf numFmtId="8" fontId="0" fillId="0" borderId="10" xfId="0" applyNumberFormat="1" applyFont="1" applyBorder="1"/>
    <xf numFmtId="2" fontId="0" fillId="0" borderId="10" xfId="0" applyNumberFormat="1" applyFont="1" applyBorder="1"/>
    <xf numFmtId="44" fontId="0" fillId="0" borderId="10" xfId="1" applyNumberFormat="1" applyFont="1" applyBorder="1"/>
    <xf numFmtId="0" fontId="0" fillId="10" borderId="9" xfId="0" applyNumberFormat="1" applyFont="1" applyFill="1" applyBorder="1"/>
    <xf numFmtId="0" fontId="0" fillId="10" borderId="10" xfId="0" applyNumberFormat="1" applyFont="1" applyFill="1" applyBorder="1"/>
    <xf numFmtId="0" fontId="0" fillId="0" borderId="9" xfId="0" applyNumberFormat="1" applyFont="1" applyBorder="1"/>
    <xf numFmtId="0" fontId="0" fillId="0" borderId="10" xfId="0" applyNumberFormat="1" applyFont="1" applyBorder="1"/>
    <xf numFmtId="0" fontId="8" fillId="9" borderId="9" xfId="0" applyNumberFormat="1" applyFont="1" applyFill="1" applyBorder="1"/>
    <xf numFmtId="0" fontId="8" fillId="9" borderId="10" xfId="0" applyNumberFormat="1" applyFont="1" applyFill="1" applyBorder="1"/>
    <xf numFmtId="0" fontId="8" fillId="11" borderId="10" xfId="0" applyFont="1" applyFill="1" applyBorder="1"/>
    <xf numFmtId="0" fontId="15" fillId="4" borderId="0" xfId="0" applyFont="1" applyFill="1"/>
    <xf numFmtId="0" fontId="0" fillId="0" borderId="1" xfId="0" applyBorder="1" applyAlignment="1">
      <alignment horizontal="left"/>
    </xf>
    <xf numFmtId="0" fontId="17" fillId="0" borderId="0" xfId="0" applyFont="1" applyAlignment="1">
      <alignment horizontal="center" vertical="center" wrapText="1"/>
    </xf>
    <xf numFmtId="0" fontId="0" fillId="0" borderId="26" xfId="0" applyBorder="1"/>
    <xf numFmtId="17" fontId="0" fillId="0" borderId="26" xfId="0" applyNumberFormat="1" applyBorder="1"/>
    <xf numFmtId="0" fontId="11" fillId="5" borderId="26" xfId="0" applyFont="1"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15" fillId="0" borderId="0" xfId="0" applyFont="1" applyFill="1"/>
    <xf numFmtId="0" fontId="3" fillId="0" borderId="0" xfId="0" applyFont="1" applyFill="1"/>
    <xf numFmtId="0" fontId="19" fillId="12" borderId="0" xfId="0" applyFont="1" applyFill="1" applyAlignment="1">
      <alignment horizontal="center" vertical="center"/>
    </xf>
    <xf numFmtId="9" fontId="3" fillId="12" borderId="0" xfId="2" applyFont="1" applyFill="1" applyAlignment="1">
      <alignment horizontal="center" vertical="center"/>
    </xf>
    <xf numFmtId="167" fontId="3" fillId="12" borderId="0" xfId="1" applyNumberFormat="1" applyFont="1" applyFill="1" applyAlignment="1">
      <alignment horizontal="center" vertical="center"/>
    </xf>
    <xf numFmtId="0" fontId="19" fillId="13" borderId="0" xfId="0" applyFont="1" applyFill="1" applyAlignment="1">
      <alignment horizontal="center" vertical="center"/>
    </xf>
    <xf numFmtId="9" fontId="3" fillId="13" borderId="0" xfId="2" applyFont="1" applyFill="1" applyAlignment="1">
      <alignment horizontal="center" vertical="center"/>
    </xf>
    <xf numFmtId="167" fontId="3" fillId="13" borderId="0" xfId="1" applyNumberFormat="1" applyFont="1" applyFill="1" applyAlignment="1">
      <alignment horizontal="center" vertical="center"/>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8" xfId="0" applyFont="1" applyFill="1" applyBorder="1" applyAlignment="1">
      <alignment horizontal="center"/>
    </xf>
    <xf numFmtId="0" fontId="9" fillId="7" borderId="19" xfId="0" applyFont="1" applyFill="1" applyBorder="1" applyAlignment="1">
      <alignment horizontal="center"/>
    </xf>
    <xf numFmtId="0" fontId="9" fillId="8" borderId="16" xfId="0" applyFont="1" applyFill="1" applyBorder="1" applyAlignment="1">
      <alignment horizontal="center"/>
    </xf>
    <xf numFmtId="0" fontId="9" fillId="8" borderId="17" xfId="0" applyFont="1" applyFill="1" applyBorder="1" applyAlignment="1">
      <alignment horizontal="center"/>
    </xf>
    <xf numFmtId="0" fontId="12" fillId="8" borderId="13" xfId="0" applyFont="1" applyFill="1" applyBorder="1" applyAlignment="1">
      <alignment horizontal="center"/>
    </xf>
    <xf numFmtId="0" fontId="12" fillId="8" borderId="14" xfId="0" applyFont="1" applyFill="1" applyBorder="1" applyAlignment="1">
      <alignment horizontal="center"/>
    </xf>
    <xf numFmtId="0" fontId="12" fillId="8" borderId="15" xfId="0" applyFont="1" applyFill="1" applyBorder="1" applyAlignment="1">
      <alignment horizontal="center"/>
    </xf>
    <xf numFmtId="0" fontId="13" fillId="6" borderId="0" xfId="0" quotePrefix="1" applyFont="1" applyFill="1" applyBorder="1" applyAlignment="1">
      <alignment horizontal="center"/>
    </xf>
    <xf numFmtId="0" fontId="18" fillId="5" borderId="0" xfId="0" applyFont="1" applyFill="1" applyAlignment="1">
      <alignment horizontal="center"/>
    </xf>
    <xf numFmtId="0" fontId="14" fillId="12" borderId="0" xfId="0" applyFont="1" applyFill="1" applyAlignment="1">
      <alignment horizontal="center" vertical="center"/>
    </xf>
    <xf numFmtId="0" fontId="14" fillId="13" borderId="0" xfId="0" applyFont="1" applyFill="1" applyAlignment="1">
      <alignment horizontal="center" vertical="center"/>
    </xf>
    <xf numFmtId="0" fontId="20" fillId="14" borderId="0" xfId="0" applyFont="1" applyFill="1" applyAlignment="1">
      <alignment horizontal="center"/>
    </xf>
  </cellXfs>
  <cellStyles count="3">
    <cellStyle name="Currency" xfId="1" builtinId="4"/>
    <cellStyle name="Normal" xfId="0" builtinId="0"/>
    <cellStyle name="Percent" xfId="2" builtinId="5"/>
  </cellStyles>
  <dxfs count="27">
    <dxf>
      <alignment horizontal="center" vertical="center"/>
    </dxf>
    <dxf>
      <alignment horizontal="center"/>
    </dxf>
    <dxf>
      <alignment vertical="center"/>
    </dxf>
    <dxf>
      <alignment wrapText="1"/>
    </dxf>
    <dxf>
      <alignment wrapText="1"/>
    </dxf>
    <dxf>
      <font>
        <sz val="9"/>
      </font>
    </dxf>
    <dxf>
      <font>
        <sz val="9"/>
      </font>
    </dxf>
    <dxf>
      <numFmt numFmtId="10" formatCode="&quot;$&quot;#,##0_);[Red]\(&quot;$&quot;#,##0\)"/>
    </dxf>
    <dxf>
      <numFmt numFmtId="0" formatCode="General"/>
    </dxf>
    <dxf>
      <numFmt numFmtId="12" formatCode="&quot;$&quot;#,##0.00_);[Red]\(&quot;$&quot;#,##0.00\)"/>
    </dxf>
    <dxf>
      <numFmt numFmtId="2" formatCode="0.00"/>
    </dxf>
    <dxf>
      <numFmt numFmtId="12" formatCode="&quot;$&quot;#,##0.00_);[Red]\(&quot;$&quot;#,##0.00\)"/>
    </dxf>
    <dxf>
      <numFmt numFmtId="19" formatCode="m/d/yyyy"/>
    </dxf>
    <dxf>
      <numFmt numFmtId="0" formatCode="General"/>
      <fill>
        <patternFill patternType="none">
          <fgColor indexed="64"/>
          <bgColor auto="1"/>
        </patternFill>
      </fil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tint="0.14999847407452621"/>
        <name val="Calibri"/>
        <family val="2"/>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tint="0.1499984740745262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4"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20" formatCode="d\-mmm\-yy"/>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sheetMetadata" Target="metadata.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onnections" Target="connections.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SALARY VS RATING</a:t>
            </a:r>
          </a:p>
        </c:rich>
      </c:tx>
      <c:layout>
        <c:manualLayout>
          <c:xMode val="edge"/>
          <c:yMode val="edge"/>
          <c:x val="0.364437445319335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Staff'!$L$1</c:f>
              <c:strCache>
                <c:ptCount val="1"/>
                <c:pt idx="0">
                  <c:v>Rating Quantified</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Staff'!$G$2:$G$184</c:f>
              <c:numCache>
                <c:formatCode>"$"#,##0.00_);[Red]\("$"#,##0.00\)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Staff'!$L$2:$L$184</c:f>
              <c:numCache>
                <c:formatCode>General</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A310-4FAC-A3EB-0AD1ADF16E8B}"/>
            </c:ext>
          </c:extLst>
        </c:ser>
        <c:dLbls>
          <c:showLegendKey val="0"/>
          <c:showVal val="0"/>
          <c:showCatName val="0"/>
          <c:showSerName val="0"/>
          <c:showPercent val="0"/>
          <c:showBubbleSize val="0"/>
        </c:dLbls>
        <c:axId val="427620024"/>
        <c:axId val="427621008"/>
      </c:scatterChart>
      <c:valAx>
        <c:axId val="427620024"/>
        <c:scaling>
          <c:orientation val="minMax"/>
        </c:scaling>
        <c:delete val="0"/>
        <c:axPos val="b"/>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1008"/>
        <c:crosses val="autoZero"/>
        <c:crossBetween val="midCat"/>
      </c:valAx>
      <c:valAx>
        <c:axId val="42762100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0024"/>
        <c:crosses val="autoZero"/>
        <c:crossBetween val="midCat"/>
      </c:valAx>
      <c:spPr>
        <a:noFill/>
        <a:ln>
          <a:solidFill>
            <a:schemeClr val="accent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oftEdge rad="7620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[github_clean,analyze and present data.xlsx]T8. Company Growth!PivotTable3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75000"/>
                  </a:schemeClr>
                </a:solidFill>
              </a:rPr>
              <a:t>YEARLY GROWTH</a:t>
            </a:r>
          </a:p>
        </c:rich>
      </c:tx>
      <c:overlay val="0"/>
      <c:spPr>
        <a:noFill/>
        <a:ln>
          <a:solidFill>
            <a:schemeClr val="accent1">
              <a:lumMod val="7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'T8. Company Growth'!$D$7</c:f>
              <c:strCache>
                <c:ptCount val="1"/>
                <c:pt idx="0">
                  <c:v>Total</c:v>
                </c:pt>
              </c:strCache>
            </c:strRef>
          </c:tx>
          <c:spPr>
            <a:ln w="28575" cap="rnd">
              <a:solidFill>
                <a:schemeClr val="accent1"/>
              </a:solidFill>
              <a:round/>
            </a:ln>
            <a:effectLst/>
          </c:spPr>
          <c:marker>
            <c:symbol val="none"/>
          </c:marker>
          <c:cat>
            <c:multiLvlStrRef>
              <c:f>'T8. Company Growth'!$C$8:$C$44</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'T8. Company Growth'!$D$8:$D$44</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D941-467D-8118-CD1ED0A50C00}"/>
            </c:ext>
          </c:extLst>
        </c:ser>
        <c:dLbls>
          <c:showLegendKey val="0"/>
          <c:showVal val="0"/>
          <c:showCatName val="0"/>
          <c:showSerName val="0"/>
          <c:showPercent val="0"/>
          <c:showBubbleSize val="0"/>
        </c:dLbls>
        <c:smooth val="0"/>
        <c:axId val="467674064"/>
        <c:axId val="467676360"/>
      </c:lineChart>
      <c:catAx>
        <c:axId val="46767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76360"/>
        <c:crosses val="autoZero"/>
        <c:auto val="1"/>
        <c:lblAlgn val="ctr"/>
        <c:lblOffset val="100"/>
        <c:noMultiLvlLbl val="0"/>
      </c:catAx>
      <c:valAx>
        <c:axId val="467676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7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OVERALL GROWTH</a:t>
            </a:r>
          </a:p>
        </c:rich>
      </c:tx>
      <c:overlay val="0"/>
      <c:spPr>
        <a:noFill/>
        <a:ln>
          <a:solidFill>
            <a:schemeClr val="accent1">
              <a:lumMod val="75000"/>
            </a:schemeClr>
          </a:solid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lotArea>
      <c:layout/>
      <c:lineChart>
        <c:grouping val="standard"/>
        <c:varyColors val="0"/>
        <c:ser>
          <c:idx val="0"/>
          <c:order val="0"/>
          <c:tx>
            <c:strRef>
              <c:f>'T8. Company Growth'!$N$7</c:f>
              <c:strCache>
                <c:ptCount val="1"/>
                <c:pt idx="0">
                  <c:v>Running Headcount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'T8. Company Growth'!$L$8:$L$45</c:f>
              <c:numCache>
                <c:formatCode>mmm\-yy</c:formatCode>
                <c:ptCount val="38"/>
                <c:pt idx="0">
                  <c:v>43952</c:v>
                </c:pt>
                <c:pt idx="1">
                  <c:v>43983</c:v>
                </c:pt>
                <c:pt idx="2">
                  <c:v>44013</c:v>
                </c:pt>
                <c:pt idx="3">
                  <c:v>44044</c:v>
                </c:pt>
                <c:pt idx="4">
                  <c:v>44075</c:v>
                </c:pt>
                <c:pt idx="5">
                  <c:v>44105</c:v>
                </c:pt>
                <c:pt idx="6">
                  <c:v>44136</c:v>
                </c:pt>
                <c:pt idx="7">
                  <c:v>44166</c:v>
                </c:pt>
                <c:pt idx="8">
                  <c:v>44197</c:v>
                </c:pt>
                <c:pt idx="9">
                  <c:v>44228</c:v>
                </c:pt>
                <c:pt idx="10">
                  <c:v>44256</c:v>
                </c:pt>
                <c:pt idx="11">
                  <c:v>44287</c:v>
                </c:pt>
                <c:pt idx="12">
                  <c:v>44317</c:v>
                </c:pt>
                <c:pt idx="13">
                  <c:v>44348</c:v>
                </c:pt>
                <c:pt idx="14">
                  <c:v>44378</c:v>
                </c:pt>
                <c:pt idx="15">
                  <c:v>44409</c:v>
                </c:pt>
                <c:pt idx="16">
                  <c:v>44440</c:v>
                </c:pt>
                <c:pt idx="17">
                  <c:v>44470</c:v>
                </c:pt>
                <c:pt idx="18">
                  <c:v>44501</c:v>
                </c:pt>
                <c:pt idx="19">
                  <c:v>44531</c:v>
                </c:pt>
                <c:pt idx="20">
                  <c:v>44562</c:v>
                </c:pt>
                <c:pt idx="21">
                  <c:v>44593</c:v>
                </c:pt>
                <c:pt idx="22">
                  <c:v>44621</c:v>
                </c:pt>
                <c:pt idx="23">
                  <c:v>44652</c:v>
                </c:pt>
                <c:pt idx="24">
                  <c:v>44682</c:v>
                </c:pt>
                <c:pt idx="25">
                  <c:v>44713</c:v>
                </c:pt>
                <c:pt idx="26">
                  <c:v>44743</c:v>
                </c:pt>
                <c:pt idx="27">
                  <c:v>44774</c:v>
                </c:pt>
                <c:pt idx="28">
                  <c:v>44805</c:v>
                </c:pt>
                <c:pt idx="29">
                  <c:v>44835</c:v>
                </c:pt>
                <c:pt idx="30">
                  <c:v>44866</c:v>
                </c:pt>
                <c:pt idx="31">
                  <c:v>44896</c:v>
                </c:pt>
                <c:pt idx="32">
                  <c:v>44927</c:v>
                </c:pt>
                <c:pt idx="33">
                  <c:v>44958</c:v>
                </c:pt>
                <c:pt idx="34">
                  <c:v>44986</c:v>
                </c:pt>
                <c:pt idx="35">
                  <c:v>45017</c:v>
                </c:pt>
              </c:numCache>
            </c:numRef>
          </c:cat>
          <c:val>
            <c:numRef>
              <c:f>'T8. Company Growth'!$N$8:$N$43</c:f>
              <c:numCache>
                <c:formatCode>General</c:formatCode>
                <c:ptCount val="36"/>
                <c:pt idx="0">
                  <c:v>3</c:v>
                </c:pt>
                <c:pt idx="1">
                  <c:v>4</c:v>
                </c:pt>
                <c:pt idx="2">
                  <c:v>9</c:v>
                </c:pt>
                <c:pt idx="3">
                  <c:v>12</c:v>
                </c:pt>
                <c:pt idx="4">
                  <c:v>18</c:v>
                </c:pt>
                <c:pt idx="5">
                  <c:v>24</c:v>
                </c:pt>
                <c:pt idx="6">
                  <c:v>30</c:v>
                </c:pt>
                <c:pt idx="7">
                  <c:v>37</c:v>
                </c:pt>
                <c:pt idx="8">
                  <c:v>43</c:v>
                </c:pt>
                <c:pt idx="9">
                  <c:v>47</c:v>
                </c:pt>
                <c:pt idx="10">
                  <c:v>56</c:v>
                </c:pt>
                <c:pt idx="11">
                  <c:v>61</c:v>
                </c:pt>
                <c:pt idx="12">
                  <c:v>71</c:v>
                </c:pt>
                <c:pt idx="13">
                  <c:v>77</c:v>
                </c:pt>
                <c:pt idx="14">
                  <c:v>90</c:v>
                </c:pt>
                <c:pt idx="15">
                  <c:v>94</c:v>
                </c:pt>
                <c:pt idx="16">
                  <c:v>105</c:v>
                </c:pt>
                <c:pt idx="17">
                  <c:v>108</c:v>
                </c:pt>
                <c:pt idx="18">
                  <c:v>112</c:v>
                </c:pt>
                <c:pt idx="19">
                  <c:v>119</c:v>
                </c:pt>
                <c:pt idx="20">
                  <c:v>122</c:v>
                </c:pt>
                <c:pt idx="21">
                  <c:v>132</c:v>
                </c:pt>
                <c:pt idx="22">
                  <c:v>141</c:v>
                </c:pt>
                <c:pt idx="23">
                  <c:v>150</c:v>
                </c:pt>
                <c:pt idx="24">
                  <c:v>159</c:v>
                </c:pt>
                <c:pt idx="25">
                  <c:v>166</c:v>
                </c:pt>
                <c:pt idx="26">
                  <c:v>171</c:v>
                </c:pt>
                <c:pt idx="27">
                  <c:v>176</c:v>
                </c:pt>
                <c:pt idx="28">
                  <c:v>178</c:v>
                </c:pt>
                <c:pt idx="29">
                  <c:v>181</c:v>
                </c:pt>
                <c:pt idx="30">
                  <c:v>181</c:v>
                </c:pt>
                <c:pt idx="31">
                  <c:v>181</c:v>
                </c:pt>
                <c:pt idx="32">
                  <c:v>181</c:v>
                </c:pt>
                <c:pt idx="33">
                  <c:v>182</c:v>
                </c:pt>
                <c:pt idx="34">
                  <c:v>182</c:v>
                </c:pt>
                <c:pt idx="35">
                  <c:v>183</c:v>
                </c:pt>
              </c:numCache>
            </c:numRef>
          </c:val>
          <c:smooth val="0"/>
          <c:extLst>
            <c:ext xmlns:c16="http://schemas.microsoft.com/office/drawing/2014/chart" uri="{C3380CC4-5D6E-409C-BE32-E72D297353CC}">
              <c16:uniqueId val="{00000000-D5B6-4624-970F-89D61ECD3A87}"/>
            </c:ext>
          </c:extLst>
        </c:ser>
        <c:dLbls>
          <c:showLegendKey val="0"/>
          <c:showVal val="0"/>
          <c:showCatName val="0"/>
          <c:showSerName val="0"/>
          <c:showPercent val="0"/>
          <c:showBubbleSize val="0"/>
        </c:dLbls>
        <c:marker val="1"/>
        <c:smooth val="0"/>
        <c:axId val="428608496"/>
        <c:axId val="428607840"/>
      </c:lineChart>
      <c:dateAx>
        <c:axId val="4286084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07840"/>
        <c:crosses val="autoZero"/>
        <c:auto val="1"/>
        <c:lblOffset val="100"/>
        <c:baseTimeUnit val="months"/>
      </c:dateAx>
      <c:valAx>
        <c:axId val="42860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[github_clean,analyze and present data.xlsx]COUNTRY!PivotTable5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Departmentwise Headcount(IND)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COUNTRY!$G$5</c:f>
              <c:strCache>
                <c:ptCount val="1"/>
                <c:pt idx="0">
                  <c:v>Total</c:v>
                </c:pt>
              </c:strCache>
            </c:strRef>
          </c:tx>
          <c:spPr>
            <a:solidFill>
              <a:schemeClr val="accent2"/>
            </a:solidFill>
            <a:ln>
              <a:noFill/>
            </a:ln>
            <a:effectLst/>
          </c:spPr>
          <c:invertIfNegative val="0"/>
          <c:cat>
            <c:strRef>
              <c:f>COUNTRY!$F$6:$F$11</c:f>
              <c:strCache>
                <c:ptCount val="5"/>
                <c:pt idx="0">
                  <c:v>HR</c:v>
                </c:pt>
                <c:pt idx="1">
                  <c:v>Sales</c:v>
                </c:pt>
                <c:pt idx="2">
                  <c:v>Finance</c:v>
                </c:pt>
                <c:pt idx="3">
                  <c:v>Website</c:v>
                </c:pt>
                <c:pt idx="4">
                  <c:v>Procurement</c:v>
                </c:pt>
              </c:strCache>
            </c:strRef>
          </c:cat>
          <c:val>
            <c:numRef>
              <c:f>COUNTRY!$G$6:$G$11</c:f>
              <c:numCache>
                <c:formatCode>General</c:formatCode>
                <c:ptCount val="5"/>
                <c:pt idx="0">
                  <c:v>4</c:v>
                </c:pt>
                <c:pt idx="1">
                  <c:v>14</c:v>
                </c:pt>
                <c:pt idx="2">
                  <c:v>19</c:v>
                </c:pt>
                <c:pt idx="3">
                  <c:v>27</c:v>
                </c:pt>
                <c:pt idx="4">
                  <c:v>28</c:v>
                </c:pt>
              </c:numCache>
            </c:numRef>
          </c:val>
          <c:extLst>
            <c:ext xmlns:c16="http://schemas.microsoft.com/office/drawing/2014/chart" uri="{C3380CC4-5D6E-409C-BE32-E72D297353CC}">
              <c16:uniqueId val="{00000000-6A58-425C-82A0-E5F4EDD96680}"/>
            </c:ext>
          </c:extLst>
        </c:ser>
        <c:dLbls>
          <c:showLegendKey val="0"/>
          <c:showVal val="0"/>
          <c:showCatName val="0"/>
          <c:showSerName val="0"/>
          <c:showPercent val="0"/>
          <c:showBubbleSize val="0"/>
        </c:dLbls>
        <c:gapWidth val="219"/>
        <c:axId val="472872256"/>
        <c:axId val="472872912"/>
      </c:barChart>
      <c:catAx>
        <c:axId val="47287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72912"/>
        <c:crosses val="autoZero"/>
        <c:auto val="1"/>
        <c:lblAlgn val="ctr"/>
        <c:lblOffset val="100"/>
        <c:noMultiLvlLbl val="0"/>
      </c:catAx>
      <c:valAx>
        <c:axId val="472872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7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[github_clean,analyze and present data.xlsx]COUNTRY!PivotTable4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a:t>
            </a:r>
            <a:r>
              <a:rPr lang="en-US" baseline="0"/>
              <a:t> Headcount(NZ)</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COUNTRY!$D$5</c:f>
              <c:strCache>
                <c:ptCount val="1"/>
                <c:pt idx="0">
                  <c:v>Total</c:v>
                </c:pt>
              </c:strCache>
            </c:strRef>
          </c:tx>
          <c:spPr>
            <a:solidFill>
              <a:schemeClr val="accent1"/>
            </a:solidFill>
            <a:ln>
              <a:noFill/>
            </a:ln>
            <a:effectLst/>
          </c:spPr>
          <c:invertIfNegative val="0"/>
          <c:cat>
            <c:strRef>
              <c:f>COUNTRY!$C$6:$C$11</c:f>
              <c:strCache>
                <c:ptCount val="5"/>
                <c:pt idx="0">
                  <c:v>HR</c:v>
                </c:pt>
                <c:pt idx="1">
                  <c:v>Sales</c:v>
                </c:pt>
                <c:pt idx="2">
                  <c:v>Finance</c:v>
                </c:pt>
                <c:pt idx="3">
                  <c:v>Procurement</c:v>
                </c:pt>
                <c:pt idx="4">
                  <c:v>Website</c:v>
                </c:pt>
              </c:strCache>
            </c:strRef>
          </c:cat>
          <c:val>
            <c:numRef>
              <c:f>COUNTRY!$D$6:$D$11</c:f>
              <c:numCache>
                <c:formatCode>General</c:formatCode>
                <c:ptCount val="5"/>
                <c:pt idx="0">
                  <c:v>4</c:v>
                </c:pt>
                <c:pt idx="1">
                  <c:v>14</c:v>
                </c:pt>
                <c:pt idx="2">
                  <c:v>19</c:v>
                </c:pt>
                <c:pt idx="3">
                  <c:v>27</c:v>
                </c:pt>
                <c:pt idx="4">
                  <c:v>27</c:v>
                </c:pt>
              </c:numCache>
            </c:numRef>
          </c:val>
          <c:extLst>
            <c:ext xmlns:c16="http://schemas.microsoft.com/office/drawing/2014/chart" uri="{C3380CC4-5D6E-409C-BE32-E72D297353CC}">
              <c16:uniqueId val="{00000000-980D-4662-9AB0-3BE48F13B95D}"/>
            </c:ext>
          </c:extLst>
        </c:ser>
        <c:dLbls>
          <c:showLegendKey val="0"/>
          <c:showVal val="0"/>
          <c:showCatName val="0"/>
          <c:showSerName val="0"/>
          <c:showPercent val="0"/>
          <c:showBubbleSize val="0"/>
        </c:dLbls>
        <c:gapWidth val="25"/>
        <c:axId val="463489704"/>
        <c:axId val="463490360"/>
      </c:barChart>
      <c:catAx>
        <c:axId val="463489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90360"/>
        <c:crosses val="autoZero"/>
        <c:auto val="1"/>
        <c:lblAlgn val="ctr"/>
        <c:lblOffset val="100"/>
        <c:noMultiLvlLbl val="0"/>
      </c:catAx>
      <c:valAx>
        <c:axId val="463490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89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Salary Spread - by $10k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by $10k </a:t>
          </a:r>
        </a:p>
      </cx:txPr>
    </cx:title>
    <cx:plotArea>
      <cx:plotAreaRegion>
        <cx:series layoutId="clusteredColumn" uniqueId="{DB3B26B8-D79A-4A3A-A1CA-8D703D584E88}">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Box Plot</a:t>
          </a:r>
        </a:p>
      </cx:txPr>
    </cx:title>
    <cx:plotArea>
      <cx:plotAreaRegion>
        <cx:series layoutId="boxWhisker" uniqueId="{D830AF99-064A-4C2B-85D5-42D5A3000AD4}">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704850</xdr:colOff>
      <xdr:row>5</xdr:row>
      <xdr:rowOff>9525</xdr:rowOff>
    </xdr:from>
    <xdr:to>
      <xdr:col>8</xdr:col>
      <xdr:colOff>723900</xdr:colOff>
      <xdr:row>18</xdr:row>
      <xdr:rowOff>57150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0E39E59C-1134-DDEE-3664-A7AAB98EA28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4100" y="1200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593912</xdr:colOff>
      <xdr:row>5</xdr:row>
      <xdr:rowOff>179294</xdr:rowOff>
    </xdr:from>
    <xdr:to>
      <xdr:col>13</xdr:col>
      <xdr:colOff>6163</xdr:colOff>
      <xdr:row>21</xdr:row>
      <xdr:rowOff>189659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B755D5-76DC-44F4-9458-8F7327F4C1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74962" y="1484219"/>
              <a:ext cx="6117851" cy="30583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593912</xdr:colOff>
      <xdr:row>2</xdr:row>
      <xdr:rowOff>-1</xdr:rowOff>
    </xdr:from>
    <xdr:to>
      <xdr:col>19</xdr:col>
      <xdr:colOff>22412</xdr:colOff>
      <xdr:row>23</xdr:row>
      <xdr:rowOff>11204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5F78EC2-7CAC-4147-B3A7-C578E7CEA3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80562" y="733424"/>
              <a:ext cx="3086100" cy="40117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238125</xdr:colOff>
      <xdr:row>1</xdr:row>
      <xdr:rowOff>104775</xdr:rowOff>
    </xdr:from>
    <xdr:to>
      <xdr:col>12</xdr:col>
      <xdr:colOff>266700</xdr:colOff>
      <xdr:row>17</xdr:row>
      <xdr:rowOff>133350</xdr:rowOff>
    </xdr:to>
    <xdr:graphicFrame macro="">
      <xdr:nvGraphicFramePr>
        <xdr:cNvPr id="5" name="Chart 4">
          <a:extLst>
            <a:ext uri="{FF2B5EF4-FFF2-40B4-BE49-F238E27FC236}">
              <a16:creationId xmlns:a16="http://schemas.microsoft.com/office/drawing/2014/main" id="{0BA01004-E3C5-4A85-9585-6304C068D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95250</xdr:colOff>
      <xdr:row>5</xdr:row>
      <xdr:rowOff>171450</xdr:rowOff>
    </xdr:from>
    <xdr:to>
      <xdr:col>10</xdr:col>
      <xdr:colOff>9525</xdr:colOff>
      <xdr:row>19</xdr:row>
      <xdr:rowOff>176212</xdr:rowOff>
    </xdr:to>
    <xdr:graphicFrame macro="">
      <xdr:nvGraphicFramePr>
        <xdr:cNvPr id="3" name="Chart 2">
          <a:extLst>
            <a:ext uri="{FF2B5EF4-FFF2-40B4-BE49-F238E27FC236}">
              <a16:creationId xmlns:a16="http://schemas.microsoft.com/office/drawing/2014/main" id="{C8618707-851F-9B1C-4A48-E41C71F542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215590</xdr:colOff>
      <xdr:row>6</xdr:row>
      <xdr:rowOff>95250</xdr:rowOff>
    </xdr:from>
    <xdr:to>
      <xdr:col>21</xdr:col>
      <xdr:colOff>200025</xdr:colOff>
      <xdr:row>22</xdr:row>
      <xdr:rowOff>38100</xdr:rowOff>
    </xdr:to>
    <xdr:graphicFrame macro="">
      <xdr:nvGraphicFramePr>
        <xdr:cNvPr id="4" name="Chart 3">
          <a:extLst>
            <a:ext uri="{FF2B5EF4-FFF2-40B4-BE49-F238E27FC236}">
              <a16:creationId xmlns:a16="http://schemas.microsoft.com/office/drawing/2014/main" id="{FCB1382B-9A12-A67D-6F8D-7BA93D2C6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209550</xdr:colOff>
      <xdr:row>13</xdr:row>
      <xdr:rowOff>0</xdr:rowOff>
    </xdr:from>
    <xdr:to>
      <xdr:col>16</xdr:col>
      <xdr:colOff>9525</xdr:colOff>
      <xdr:row>26</xdr:row>
      <xdr:rowOff>0</xdr:rowOff>
    </xdr:to>
    <xdr:graphicFrame macro="">
      <xdr:nvGraphicFramePr>
        <xdr:cNvPr id="3" name="Chart 2">
          <a:extLst>
            <a:ext uri="{FF2B5EF4-FFF2-40B4-BE49-F238E27FC236}">
              <a16:creationId xmlns:a16="http://schemas.microsoft.com/office/drawing/2014/main" id="{15543548-E66D-4EAF-BCC9-20CD1AB13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13</xdr:row>
      <xdr:rowOff>1</xdr:rowOff>
    </xdr:from>
    <xdr:to>
      <xdr:col>9</xdr:col>
      <xdr:colOff>1</xdr:colOff>
      <xdr:row>26</xdr:row>
      <xdr:rowOff>19051</xdr:rowOff>
    </xdr:to>
    <xdr:graphicFrame macro="">
      <xdr:nvGraphicFramePr>
        <xdr:cNvPr id="4" name="Chart 3">
          <a:extLst>
            <a:ext uri="{FF2B5EF4-FFF2-40B4-BE49-F238E27FC236}">
              <a16:creationId xmlns:a16="http://schemas.microsoft.com/office/drawing/2014/main" id="{F1BD6EEB-99C3-4477-82E1-E9EDFE656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4</xdr:row>
      <xdr:rowOff>19050</xdr:rowOff>
    </xdr:from>
    <xdr:to>
      <xdr:col>9</xdr:col>
      <xdr:colOff>190500</xdr:colOff>
      <xdr:row>27</xdr:row>
      <xdr:rowOff>9525</xdr:rowOff>
    </xdr:to>
    <xdr:cxnSp macro="">
      <xdr:nvCxnSpPr>
        <xdr:cNvPr id="6" name="Straight Connector 5">
          <a:extLst>
            <a:ext uri="{FF2B5EF4-FFF2-40B4-BE49-F238E27FC236}">
              <a16:creationId xmlns:a16="http://schemas.microsoft.com/office/drawing/2014/main" id="{AA9A0034-8B1B-3ED1-23AD-00CD0A2CD27C}"/>
            </a:ext>
          </a:extLst>
        </xdr:cNvPr>
        <xdr:cNvCxnSpPr/>
      </xdr:nvCxnSpPr>
      <xdr:spPr>
        <a:xfrm>
          <a:off x="4229100" y="1019175"/>
          <a:ext cx="0" cy="5362575"/>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70.825737847219" backgroundQuery="1" createdVersion="8" refreshedVersion="8" minRefreshableVersion="3" recordCount="0" supportSubquery="1" supportAdvancedDrill="1" xr:uid="{34EE2DF5-2E3B-4DD0-97F2-7D4E4F18DC2E}">
  <cacheSource type="external" connectionId="4"/>
  <cacheFields count="3">
    <cacheField name="[staff].[Rating].[Rating]" caption="Rating" numFmtId="0" hierarchy="3" level="1">
      <sharedItems count="5">
        <s v="Above average"/>
        <s v="Average"/>
        <s v="Exceptional"/>
        <s v="Poor"/>
        <s v="Very poor"/>
      </sharedItems>
    </cacheField>
    <cacheField name="[Measures].[Count of Name]" caption="Count of Name" numFmtId="0" hierarchy="16" level="32767"/>
    <cacheField name="[Measures].[Average of Salary]" caption="Average of Salary" numFmtId="0" hierarchy="21" level="32767"/>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2" memberValueDatatype="130" unbalanced="0">
      <fieldsUsage count="2">
        <fieldUsage x="-1"/>
        <fieldUsage x="0"/>
      </fieldsUsage>
    </cacheHierarchy>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Bonus]" caption="Bonus" attribute="1" defaultMemberUniqueName="[staff].[Bonus].[All]" allUniqueName="[staff].[Bonus].[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Average of Salary]" caption="Average of Salary" measure="1" displayFolder="" measureGroup="staff"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70.832135069446" backgroundQuery="1" createdVersion="8" refreshedVersion="8" minRefreshableVersion="3" recordCount="0" supportSubquery="1" supportAdvancedDrill="1" xr:uid="{DC221EEF-1371-4983-AFFA-A180C8AE4E32}">
  <cacheSource type="external" connectionId="4"/>
  <cacheFields count="3">
    <cacheField name="[staff].[Date Joined (Month)].[Date Joined (Month)]" caption="Date Joined (Month)" numFmtId="0" hierarchy="12" level="1">
      <sharedItems count="12">
        <s v="May"/>
        <s v="Jun"/>
        <s v="Jul"/>
        <s v="Aug"/>
        <s v="Sep"/>
        <s v="Oct"/>
        <s v="Nov"/>
        <s v="Dec"/>
        <s v="Jan"/>
        <s v="Feb"/>
        <s v="Mar"/>
        <s v="Apr"/>
      </sharedItems>
    </cacheField>
    <cacheField name="[staff].[Date Joined (Year)].[Date Joined (Year)]" caption="Date Joined (Year)" numFmtId="0" hierarchy="10" level="1">
      <sharedItems count="4">
        <s v="2020"/>
        <s v="2021"/>
        <s v="2022"/>
        <s v="2023"/>
      </sharedItems>
    </cacheField>
    <cacheField name="[Measures].[Count of Name]" caption="Count of Name" numFmtId="0" hierarchy="16" level="32767"/>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2"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0" memberValueDatatype="130" unbalanced="0"/>
    <cacheHierarchy uniqueName="[staff].[Tenure]" caption="Tenure" attribute="1" defaultMemberUniqueName="[staff].[Tenure].[All]" allUniqueName="[staff].[Tenure].[All]" dimensionUniqueName="[staff]" displayFolder="" count="0" memberValueDatatype="5" unbalanced="0"/>
    <cacheHierarchy uniqueName="[staff].[Bonus]" caption="Bonus" attribute="1" defaultMemberUniqueName="[staff].[Bonus].[All]" allUniqueName="[staff].[Bonus].[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2" memberValueDatatype="130" unbalanced="0">
      <fieldsUsage count="2">
        <fieldUsage x="-1"/>
        <fieldUsage x="1"/>
      </fieldsUsage>
    </cacheHierarchy>
    <cacheHierarchy uniqueName="[staff].[Date Joined (Quarter)]" caption="Date Joined (Quarter)" attribute="1" defaultMemberUniqueName="[staff].[Date Joined (Quarter)].[All]" allUniqueName="[staff].[Date Joined (Quarter)].[All]" dimensionUniqueName="[staff]" displayFolder="" count="2" memberValueDatatype="130" unbalanced="0"/>
    <cacheHierarchy uniqueName="[staff].[Date Joined (Month)]" caption="Date Joined (Month)" attribute="1" defaultMemberUniqueName="[staff].[Date Joined (Month)].[All]" allUniqueName="[staff].[Date Joined (Month)].[All]" dimensionUniqueName="[staff]" displayFolder="" count="2" memberValueDatatype="130" unbalanced="0">
      <fieldsUsage count="2">
        <fieldUsage x="-1"/>
        <fieldUsage x="0"/>
      </fieldsUsage>
    </cacheHierarchy>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70.862537615743" backgroundQuery="1" createdVersion="8" refreshedVersion="8" minRefreshableVersion="3" recordCount="0" supportSubquery="1" supportAdvancedDrill="1" xr:uid="{F438AB57-191A-4E1A-8A06-8771B843894E}">
  <cacheSource type="external" connectionId="4"/>
  <cacheFields count="3">
    <cacheField name="[staff].[Department].[Department]" caption="Department" numFmtId="0" hierarchy="5" level="1">
      <sharedItems count="5">
        <s v="Finance"/>
        <s v="HR"/>
        <s v="Procurement"/>
        <s v="Sales"/>
        <s v="Website"/>
      </sharedItems>
    </cacheField>
    <cacheField name="[Measures].[Count of Name]" caption="Count of Name" numFmtId="0" hierarchy="16" level="32767"/>
    <cacheField name="[staff].[Country].[Country]" caption="Country" numFmtId="0" hierarchy="7" level="1">
      <sharedItems containsSemiMixedTypes="0" containsNonDate="0" containsString="0"/>
    </cacheField>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Bonus]" caption="Bonus" attribute="1" defaultMemberUniqueName="[staff].[Bonus].[All]" allUniqueName="[staff].[Bonus].[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70.862602430556" backgroundQuery="1" createdVersion="8" refreshedVersion="8" minRefreshableVersion="3" recordCount="0" supportSubquery="1" supportAdvancedDrill="1" xr:uid="{51CDD48D-6098-4D4E-8D3A-FE4980958546}">
  <cacheSource type="external" connectionId="4"/>
  <cacheFields count="3">
    <cacheField name="[staff].[Department].[Department]" caption="Department" numFmtId="0" hierarchy="5" level="1">
      <sharedItems count="5">
        <s v="Finance"/>
        <s v="HR"/>
        <s v="Procurement"/>
        <s v="Sales"/>
        <s v="Website"/>
      </sharedItems>
    </cacheField>
    <cacheField name="[Measures].[Count of Name]" caption="Count of Name" numFmtId="0" hierarchy="16" level="32767"/>
    <cacheField name="[staff].[Country].[Country]" caption="Country" numFmtId="0" hierarchy="7" level="1">
      <sharedItems containsSemiMixedTypes="0" containsNonDate="0" containsString="0"/>
    </cacheField>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2" memberValueDatatype="130" unbalanced="0">
      <fieldsUsage count="2">
        <fieldUsage x="-1"/>
        <fieldUsage x="0"/>
      </fieldsUsage>
    </cacheHierarchy>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2"/>
      </fieldsUsage>
    </cacheHierarchy>
    <cacheHierarchy uniqueName="[staff].[Tenure]" caption="Tenure" attribute="1" defaultMemberUniqueName="[staff].[Tenure].[All]" allUniqueName="[staff].[Tenure].[All]" dimensionUniqueName="[staff]" displayFolder="" count="0" memberValueDatatype="5" unbalanced="0"/>
    <cacheHierarchy uniqueName="[staff].[Bonus]" caption="Bonus" attribute="1" defaultMemberUniqueName="[staff].[Bonus].[All]" allUniqueName="[staff].[Bonus].[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70.87887291667" backgroundQuery="1" createdVersion="8" refreshedVersion="8" minRefreshableVersion="3" recordCount="0" supportSubquery="1" supportAdvancedDrill="1" xr:uid="{D1E8F926-D64A-4BDB-B1C1-43D5DA58A3CF}">
  <cacheSource type="external" connectionId="4"/>
  <cacheFields count="6">
    <cacheField name="[staff].[Gender].[Gender]" caption="Gender" numFmtId="0" hierarchy="1" level="1">
      <sharedItems count="2">
        <s v="Female"/>
        <s v="Male"/>
      </sharedItems>
    </cacheField>
    <cacheField name="[Measures].[Count of Name]" caption="Count of Name" numFmtId="0" hierarchy="16" level="32767"/>
    <cacheField name="[Measures].[Average of Age]" caption="Average of Age" numFmtId="0" hierarchy="20" level="32767"/>
    <cacheField name="[Measures].[Average of Salary]" caption="Average of Salary" numFmtId="0" hierarchy="21" level="32767"/>
    <cacheField name="[Measures].[Average of Tenure]" caption="Average of Tenure" numFmtId="0" hierarchy="22" level="32767"/>
    <cacheField name="[staff].[Country].[Country]" caption="Country" numFmtId="0" hierarchy="7" level="1">
      <sharedItems containsSemiMixedTypes="0" containsNonDate="0" containsString="0"/>
    </cacheField>
  </cacheFields>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5" unbalanced="0"/>
    <cacheHierarchy uniqueName="[staff].[Bonus]" caption="Bonus" attribute="1" defaultMemberUniqueName="[staff].[Bonus].[All]" allUniqueName="[staff].[Bonus].[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taff"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Salary]" caption="Average of Salary" measure="1" displayFolder="" measureGroup="staff"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0" refreshedDate="45470.825739351851" backgroundQuery="1" createdVersion="3" refreshedVersion="8" minRefreshableVersion="3" recordCount="0" supportSubquery="1" supportAdvancedDrill="1" xr:uid="{4644E13B-57EA-4AA0-98FB-126AD4D12A2C}">
  <cacheSource type="external" connectionId="4">
    <extLst>
      <ext xmlns:x14="http://schemas.microsoft.com/office/spreadsheetml/2009/9/main" uri="{F057638F-6D5F-4e77-A914-E7F072B9BCA8}">
        <x14:sourceConnection name="ThisWorkbookDataModel"/>
      </ext>
    </extLst>
  </cacheSource>
  <cacheFields count="0"/>
  <cacheHierarchies count="23">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Date Joined]" caption="Date Joined" attribute="1" time="1" defaultMemberUniqueName="[staff].[Date Joined].[All]" allUniqueName="[staff].[Date Joined].[All]" dimensionUniqueName="[staff]" displayFolder="" count="0" memberValueDatatype="7" unbalanced="0"/>
    <cacheHierarchy uniqueName="[staff].[Department]" caption="Department" attribute="1" defaultMemberUniqueName="[staff].[Department].[All]" allUniqueName="[staff].[Department].[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5" unbalanced="0"/>
    <cacheHierarchy uniqueName="[staff].[Bonus]" caption="Bonus" attribute="1" defaultMemberUniqueName="[staff].[Bonus].[All]" allUniqueName="[staff].[Bonus].[All]" dimensionUniqueName="[staff]" displayFolder="" count="0" memberValueDatatype="5" unbalanced="0"/>
    <cacheHierarchy uniqueName="[staff].[Date Joined (Year)]" caption="Date Joined (Year)" attribute="1" defaultMemberUniqueName="[staff].[Date Joined (Year)].[All]" allUniqueName="[staff].[Date Joined (Year)].[All]" dimensionUniqueName="[staff]" displayFolder="" count="0" memberValueDatatype="130" unbalanced="0"/>
    <cacheHierarchy uniqueName="[staff].[Date Joined (Quarter)]" caption="Date Joined (Quarter)" attribute="1" defaultMemberUniqueName="[staff].[Date Joined (Quarter)].[All]" allUniqueName="[staff].[Date Joined (Quarter)].[All]" dimensionUniqueName="[staff]" displayFolder="" count="0" memberValueDatatype="130" unbalanced="0"/>
    <cacheHierarchy uniqueName="[staff].[Date Joined (Month)]" caption="Date Joined (Month)" attribute="1" defaultMemberUniqueName="[staff].[Date Joined (Month)].[All]" allUniqueName="[staff].[Date Joined (Month)].[All]" dimensionUniqueName="[staff]" displayFolder="" count="0" memberValueDatatype="130" unbalanced="0"/>
    <cacheHierarchy uniqueName="[staff].[Date Joined (Month Index)]" caption="Date Joined (Month Index)" attribute="1" defaultMemberUniqueName="[staff].[Date Joined (Month Index)].[All]" allUniqueName="[staff].[Date Joined (Month Index)].[All]" dimensionUniqueName="[staff]" displayFolder="" count="0" memberValueDatatype="20" unbalanced="0" hidden="1"/>
    <cacheHierarchy uniqueName="[Measures].[__XL_Count staff]" caption="__XL_Count staff" measure="1" displayFolder="" measureGroup="staff" count="0" hidden="1"/>
    <cacheHierarchy uniqueName="[Measures].[__No measures defined]" caption="__No measures defined" measure="1" displayFolder="" count="0" hidden="1"/>
    <cacheHierarchy uniqueName="[Measures].[Count of Name]" caption="Count of Name" measure="1" displayFolder="" measureGroup="staff"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hidden="1">
      <extLst>
        <ext xmlns:x15="http://schemas.microsoft.com/office/spreadsheetml/2010/11/main" uri="{B97F6D7D-B522-45F9-BDA1-12C45D357490}">
          <x15:cacheHierarchy aggregatedColumn="2"/>
        </ext>
      </extLst>
    </cacheHierarchy>
    <cacheHierarchy uniqueName="[Measures].[Sum of Salary]" caption="Sum of Salary" measure="1" displayFolder="" measureGroup="staff" count="0" hidden="1">
      <extLst>
        <ext xmlns:x15="http://schemas.microsoft.com/office/spreadsheetml/2010/11/main" uri="{B97F6D7D-B522-45F9-BDA1-12C45D357490}">
          <x15:cacheHierarchy aggregatedColumn="6"/>
        </ext>
      </extLst>
    </cacheHierarchy>
    <cacheHierarchy uniqueName="[Measures].[Sum of Tenure]" caption="Sum of Tenure" measure="1" displayFolder="" measureGroup="staff" count="0" hidden="1">
      <extLst>
        <ext xmlns:x15="http://schemas.microsoft.com/office/spreadsheetml/2010/11/main" uri="{B97F6D7D-B522-45F9-BDA1-12C45D357490}">
          <x15:cacheHierarchy aggregatedColumn="8"/>
        </ext>
      </extLst>
    </cacheHierarchy>
    <cacheHierarchy uniqueName="[Measures].[Average of Age]" caption="Average of Age" measure="1" displayFolder="" measureGroup="staff" count="0" hidden="1">
      <extLst>
        <ext xmlns:x15="http://schemas.microsoft.com/office/spreadsheetml/2010/11/main" uri="{B97F6D7D-B522-45F9-BDA1-12C45D357490}">
          <x15:cacheHierarchy aggregatedColumn="2"/>
        </ext>
      </extLst>
    </cacheHierarchy>
    <cacheHierarchy uniqueName="[Measures].[Average of Salary]" caption="Average of Salary" measure="1" displayFolder="" measureGroup="staff" count="0" hidden="1">
      <extLst>
        <ext xmlns:x15="http://schemas.microsoft.com/office/spreadsheetml/2010/11/main" uri="{B97F6D7D-B522-45F9-BDA1-12C45D357490}">
          <x15:cacheHierarchy aggregatedColumn="6"/>
        </ext>
      </extLst>
    </cacheHierarchy>
    <cacheHierarchy uniqueName="[Measures].[Average of Tenure]" caption="Average of Tenure" measure="1" displayFolder="" measureGroup="staff"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5722747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A0E16-E7B1-4F1D-B3E0-644F4B9222FF}" name="PivotTable2" cacheId="17"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D6:F11"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Count of Name" fld="1" subtotal="count" baseField="0" baseItem="0"/>
    <dataField name="Average of Age" fld="2" subtotal="average" baseField="0" baseItem="0" numFmtId="164"/>
    <dataField name="Average of Salary" fld="3" subtotal="average" baseField="0" baseItem="0" numFmtId="165"/>
    <dataField name="Average of Tenure" fld="4" subtotal="average" baseField="0" baseItem="0" numFmtId="164"/>
  </dataFields>
  <pivotHierarchies count="23">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Country].&amp;[IND]"/>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23" showRowHeaders="1" showColHeaders="1" showRowStripes="1"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ithub_clean,analyze and present data.xlsx!staff">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096974-2795-4A73-B9BF-65B7741511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F13"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numFmtId="6"/>
  </dataFields>
  <formats count="1">
    <format dxfId="7">
      <pivotArea outline="0" collapsedLevelsAreSubtotals="1" fieldPosition="0">
        <references count="1">
          <reference field="4294967294" count="1" selected="0">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27"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7DB15A-F9DB-4294-843E-83F83020B54B}"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DOJ_x000a_(YEAR WISE , MONTH WISE)">
  <location ref="C7:D4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HEADCOUNT _x000a_(MONTHWISE RUNNING TOTAL_x000a_PER YEAR)" fld="2" subtotal="count" showDataAs="runTotal" baseField="0" baseItem="0"/>
  </dataFields>
  <formats count="7">
    <format dxfId="6">
      <pivotArea field="1" type="button" dataOnly="0" labelOnly="1" outline="0" axis="axisRow" fieldPosition="0"/>
    </format>
    <format dxfId="5">
      <pivotArea dataOnly="0" labelOnly="1" outline="0" axis="axisValues" fieldPosition="0"/>
    </format>
    <format dxfId="4">
      <pivotArea field="1" type="button" dataOnly="0" labelOnly="1" outline="0" axis="axisRow" fieldPosition="0"/>
    </format>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field="1" type="button" dataOnly="0" labelOnly="1" outline="0" axis="axisRow" fieldPosition="0"/>
    </format>
  </formats>
  <chartFormats count="1">
    <chartFormat chart="5"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HEADCOUNT _x000a_(MONTHWISE RUNNING TOTAL_x000a_PER YEAR)"/>
    <pivotHierarchy dragToData="1"/>
    <pivotHierarchy dragToData="1"/>
    <pivotHierarchy dragToData="1"/>
    <pivotHierarchy dragToData="1"/>
    <pivotHierarchy dragToData="1"/>
    <pivotHierarchy dragToData="1"/>
  </pivotHierarchies>
  <pivotTableStyleInfo name="PivotStyleLight27"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132CB9-51E4-4161-899C-C7AD68886683}"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5:D11" firstHeaderRow="1" firstDataRow="1" firstDataCol="1" rowPageCount="1" colPageCount="1"/>
  <pivotFields count="3">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1"/>
    </i>
    <i>
      <x v="3"/>
    </i>
    <i>
      <x/>
    </i>
    <i>
      <x v="2"/>
    </i>
    <i>
      <x v="4"/>
    </i>
    <i t="grand">
      <x/>
    </i>
  </rowItems>
  <colItems count="1">
    <i/>
  </colItems>
  <pageFields count="1">
    <pageField fld="2" hier="7" name="[staff].[Country].&amp;[NZ]" cap="NZ"/>
  </pageFields>
  <dataFields count="1">
    <dataField name="Count of Name" fld="1" subtotal="count" baseField="0" baseItem="0"/>
  </dataFields>
  <chartFormats count="1">
    <chartFormat chart="7" format="4"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27"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7F814D-CC27-42F0-902E-D0B601BC94FF}"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5:G11" firstHeaderRow="1" firstDataRow="1" firstDataCol="1" rowPageCount="1" colPageCount="1"/>
  <pivotFields count="3">
    <pivotField axis="axisRow" allDrilled="1" subtotalTop="0" showAll="0" sortType="ascending" dataSourceSort="1"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6">
    <i>
      <x v="1"/>
    </i>
    <i>
      <x v="3"/>
    </i>
    <i>
      <x/>
    </i>
    <i>
      <x v="4"/>
    </i>
    <i>
      <x v="2"/>
    </i>
    <i t="grand">
      <x/>
    </i>
  </rowItems>
  <colItems count="1">
    <i/>
  </colItems>
  <pageFields count="1">
    <pageField fld="2" hier="7" name="[staff].[Country].&amp;[IND]" cap="IND"/>
  </pageFields>
  <dataFields count="1">
    <dataField name="Count of 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24"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FC2DCE7-DD23-4163-A8CE-7914758E105F}" autoFormatId="16" applyNumberFormats="0" applyBorderFormats="0" applyFontFormats="0" applyPatternFormats="0" applyAlignmentFormats="0" applyWidthHeightFormats="0">
  <queryTableRefresh nextId="13" unboundColumnsRight="4">
    <queryTableFields count="12">
      <queryTableField id="1" name="Name" tableColumnId="9"/>
      <queryTableField id="2" name="Gender" tableColumnId="2"/>
      <queryTableField id="3" name="Age" tableColumnId="3"/>
      <queryTableField id="4" name="Rating" tableColumnId="4"/>
      <queryTableField id="5" name="Date Joined" tableColumnId="5"/>
      <queryTableField id="6" name="Department" tableColumnId="6"/>
      <queryTableField id="7" name="Salary" tableColumnId="7"/>
      <queryTableField id="8" name="Country" tableColumnId="8"/>
      <queryTableField id="9" dataBound="0" tableColumnId="10"/>
      <queryTableField id="10" dataBound="0" tableColumnId="11"/>
      <queryTableField id="11" dataBound="0" tableColumnId="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FA1284B-AE6E-4481-BAA7-994B906B18A5}" sourceName="[staff].[Country]">
  <pivotTables>
    <pivotTable tabId="9" name="PivotTable2"/>
  </pivotTables>
  <data>
    <olap pivotCacheId="572274781">
      <levels count="2">
        <level uniqueName="[staff].[Country].[(All)]" sourceCaption="(All)" count="0"/>
        <level uniqueName="[staff].[Country].[Country]" sourceCaption="Country" count="2">
          <ranges>
            <range startItem="0">
              <i n="[staff].[Country].&amp;[IND]" c="IND"/>
              <i n="[staff].[Country].&amp;[NZ]" c="NZ"/>
            </range>
          </ranges>
        </level>
      </levels>
      <selections count="1">
        <selection n="[staff].[Country].&amp;[I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95E200A-B4BC-4F6F-8409-7F8DC3C77C9F}" cache="Slicer_Country" caption="Country" level="1" style="SlicerStyleOther2"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D458D-A2E5-4ADF-8DD5-366881AAF49C}" name="nz_staff" displayName="nz_staff" ref="C5:I106" totalsRowCount="1">
  <autoFilter ref="C5:I105" xr:uid="{76DD458D-A2E5-4ADF-8DD5-366881AAF49C}"/>
  <tableColumns count="7">
    <tableColumn id="1" xr3:uid="{AEC04E14-58D8-4DED-BC9B-FAE4D59AC64F}" name="Name" totalsRowLabel="Total"/>
    <tableColumn id="2" xr3:uid="{2B426A7A-882C-455F-8F32-47F6ED02719F}" name="Gender"/>
    <tableColumn id="3" xr3:uid="{DD7E1614-7557-43E2-AAE4-BD598DE287A8}" name="Department"/>
    <tableColumn id="4" xr3:uid="{0987FFB8-11AB-470A-9247-5750C33827C9}" name="Age" totalsRowFunction="average"/>
    <tableColumn id="5" xr3:uid="{B91E45B2-A55F-4E7E-B748-9C3E9BF7335C}" name="Date Joined"/>
    <tableColumn id="6" xr3:uid="{7FFFB32C-7612-4B39-AF09-6CF0D0F02569}" name="Salary" totalsRowFunction="average" dataDxfId="26"/>
    <tableColumn id="7" xr3:uid="{2C054CBC-1351-4BAD-B87C-47719286F17B}"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129F86-C3BF-4E63-A796-0C79D881200A}" name="india_staff" displayName="india_staff" ref="B2:H114" totalsRowShown="0">
  <autoFilter ref="B2:H114" xr:uid="{81129F86-C3BF-4E63-A796-0C79D881200A}"/>
  <tableColumns count="7">
    <tableColumn id="1" xr3:uid="{34F1C00A-7A8F-47B6-953D-064A184AAB7A}" name="Name"/>
    <tableColumn id="2" xr3:uid="{66D7D1CA-D0BE-496C-A748-8C2BFF6B31BD}" name="Gender"/>
    <tableColumn id="3" xr3:uid="{B4AADC00-E6AC-4214-9A4C-14A70634692F}" name="Age"/>
    <tableColumn id="4" xr3:uid="{8DB98CF9-CC69-466A-A744-CB9EA75B0AC6}" name="Rating"/>
    <tableColumn id="5" xr3:uid="{7F56D3AE-2AB4-48BC-83EC-3EFCDD831A9F}" name="Date Joined" dataDxfId="25"/>
    <tableColumn id="6" xr3:uid="{02B8476C-A7E1-48ED-B015-54A21E9EE1FB}" name="Department"/>
    <tableColumn id="7" xr3:uid="{479D3421-90C5-478A-A0D5-18EE60E0BAD1}" name="Salary"/>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8FB7D8-F78D-4E3D-B5B1-7359707B808A}" name="staff" displayName="staff" ref="A1:L184" tableType="queryTable" totalsRowShown="0">
  <autoFilter ref="A1:L184" xr:uid="{258FB7D8-F78D-4E3D-B5B1-7359707B808A}"/>
  <sortState xmlns:xlrd2="http://schemas.microsoft.com/office/spreadsheetml/2017/richdata2" ref="A2:K184">
    <sortCondition ref="G1:G184"/>
  </sortState>
  <tableColumns count="12">
    <tableColumn id="9" xr3:uid="{940088F8-94C7-4F46-AF77-EA9DE3AD9A75}" uniqueName="9" name="Name" queryTableFieldId="1"/>
    <tableColumn id="2" xr3:uid="{A394920A-3E90-43B0-9A51-FC9E91E2C5DA}" uniqueName="2" name="Gender" queryTableFieldId="2"/>
    <tableColumn id="3" xr3:uid="{E958B6FA-1F92-45A7-962A-D24739BF74DD}" uniqueName="3" name="Age" queryTableFieldId="3"/>
    <tableColumn id="4" xr3:uid="{48E88EBD-77B5-45D0-9737-E1102EE47D4F}" uniqueName="4" name="Rating" queryTableFieldId="4"/>
    <tableColumn id="5" xr3:uid="{CC7E5F1F-7B26-4EB7-A68F-352352234D8F}" uniqueName="5" name="Date Joined" queryTableFieldId="5" dataDxfId="12"/>
    <tableColumn id="6" xr3:uid="{F1AFB20F-28BD-4C77-9A64-87DF05F907E5}" uniqueName="6" name="Department" queryTableFieldId="6"/>
    <tableColumn id="7" xr3:uid="{06BAF99B-9CF7-4A2B-80D0-DBAD909037F4}" uniqueName="7" name="Salary" queryTableFieldId="7" dataDxfId="11"/>
    <tableColumn id="8" xr3:uid="{B06F986A-F689-4C1C-AB67-921F14FBCAB9}" uniqueName="8" name="Country" queryTableFieldId="8"/>
    <tableColumn id="10" xr3:uid="{8F5CF3E2-6C9D-46DB-9059-A36FE2BA17B9}" uniqueName="10" name="Tenure" queryTableFieldId="9" dataDxfId="10">
      <calculatedColumnFormula>(TODAY()-staff[[#This Row],[Date Joined]])/365</calculatedColumnFormula>
    </tableColumn>
    <tableColumn id="11" xr3:uid="{3CF24563-9FF8-4851-987C-7F4F421C1ACE}" uniqueName="11" name="Bonus" queryTableFieldId="10" dataCellStyle="Currency">
      <calculatedColumnFormula>IF(staff[[#This Row],[Tenure]]&gt;2,3%,2%)*staff[[#This Row],[Salary]]</calculatedColumnFormula>
    </tableColumn>
    <tableColumn id="1" xr3:uid="{4438E893-2833-42CE-AAD7-944805160B79}" uniqueName="1" name="Salary Spread" queryTableFieldId="11" dataDxfId="9"/>
    <tableColumn id="12" xr3:uid="{6DBE708D-2A9C-4AD4-9881-394D58F87DA0}" uniqueName="12" name="Rating Quantified" queryTableFieldId="12" dataDxfId="8">
      <calculatedColumnFormula>VLOOKUP(staff[[#This Row],[Rating]],'RATING QUANTIFIED'!$C$4:$D$8,2,0)</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566025-65E2-4D11-A4CB-7BF5999EC557}" name="Table5" displayName="Table5" ref="E6:F14" totalsRowShown="0" headerRowDxfId="24" headerRowBorderDxfId="23" tableBorderDxfId="22" totalsRowBorderDxfId="21">
  <autoFilter ref="E6:F14" xr:uid="{F3566025-65E2-4D11-A4CB-7BF5999EC557}">
    <filterColumn colId="0" hiddenButton="1"/>
    <filterColumn colId="1" hiddenButton="1"/>
  </autoFilter>
  <tableColumns count="2">
    <tableColumn id="1" xr3:uid="{1ABAD95F-C594-45B4-AC5E-3822420EB5D7}" name="Task" dataDxfId="20"/>
    <tableColumn id="2" xr3:uid="{8A51CE18-C08F-4B6E-A7CC-7248FF5BA3E5}" name="Information" dataDxfId="19" dataCellStyle="Percent"/>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B08A7C-7CE9-4588-8B7E-11DD0DB74D8C}" name="Table4" displayName="Table4" ref="E7:G16" totalsRowShown="0" headerRowBorderDxfId="18" tableBorderDxfId="17" totalsRowBorderDxfId="16">
  <tableColumns count="3">
    <tableColumn id="1" xr3:uid="{D988CE4E-AA38-4681-BBDA-0A4C85CE6329}" name="S.no" dataDxfId="15"/>
    <tableColumn id="2" xr3:uid="{41A4EC14-6FA8-40E0-A261-36D4FD3EAE62}" name="Column Name" dataDxfId="14"/>
    <tableColumn id="3" xr3:uid="{DF911D23-8EF6-4012-AF6C-196E6DC217D4}" name="Information" dataDxfId="13">
      <calculatedColumnFormula>VLOOKUP($J$4,staff[],E8,0)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I106"/>
  <sheetViews>
    <sheetView showGridLines="0" workbookViewId="0">
      <selection activeCell="G98" sqref="G98"/>
    </sheetView>
  </sheetViews>
  <sheetFormatPr defaultRowHeight="15" x14ac:dyDescent="0.25"/>
  <cols>
    <col min="1" max="1" width="1.7109375" customWidth="1"/>
    <col min="2" max="2" width="3.7109375" customWidth="1"/>
    <col min="3" max="3" width="22.7109375" customWidth="1"/>
    <col min="4" max="4" width="10" bestFit="1" customWidth="1"/>
    <col min="5" max="5" width="14" bestFit="1" customWidth="1"/>
    <col min="6" max="6" width="6.7109375" bestFit="1" customWidth="1"/>
    <col min="7" max="7" width="13.7109375" bestFit="1" customWidth="1"/>
    <col min="8" max="8" width="11.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F106">
        <f>SUBTOTAL(101,nz_staff[Age])</f>
        <v>30.52</v>
      </c>
      <c r="H106" s="5">
        <f>SUBTOTAL(101,nz_staff[Salary])</f>
        <v>77472.100000000006</v>
      </c>
      <c r="I106">
        <f>SUBTOTAL(103,nz_staff[Rating])</f>
        <v>100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BDDF6-B1DE-4C25-9B17-CF1D6690E873}">
  <sheetPr>
    <tabColor theme="7" tint="0.39997558519241921"/>
  </sheetPr>
  <dimension ref="A1:K13"/>
  <sheetViews>
    <sheetView showGridLines="0" zoomScaleNormal="100" workbookViewId="0">
      <selection activeCell="M9" sqref="M9"/>
    </sheetView>
  </sheetViews>
  <sheetFormatPr defaultRowHeight="15" x14ac:dyDescent="0.25"/>
  <cols>
    <col min="1" max="1" width="2.5703125" customWidth="1"/>
    <col min="4" max="4" width="14.28515625" bestFit="1" customWidth="1"/>
    <col min="5" max="5" width="14.42578125" bestFit="1" customWidth="1"/>
    <col min="6" max="6" width="16.42578125" bestFit="1" customWidth="1"/>
    <col min="7" max="7" width="15.42578125" bestFit="1" customWidth="1"/>
    <col min="8" max="8" width="15.7109375" bestFit="1" customWidth="1"/>
    <col min="9" max="9" width="14.140625" bestFit="1" customWidth="1"/>
    <col min="10" max="10" width="11.85546875" bestFit="1" customWidth="1"/>
    <col min="11" max="11" width="12.85546875" bestFit="1" customWidth="1"/>
    <col min="12" max="12" width="19.140625" bestFit="1" customWidth="1"/>
    <col min="13" max="13" width="24.7109375" bestFit="1" customWidth="1"/>
    <col min="14" max="14" width="15" bestFit="1" customWidth="1"/>
    <col min="15" max="15" width="21.5703125" bestFit="1" customWidth="1"/>
    <col min="16" max="16" width="29.28515625" bestFit="1" customWidth="1"/>
    <col min="17" max="17" width="17.5703125" bestFit="1" customWidth="1"/>
    <col min="18" max="18" width="28.85546875" bestFit="1" customWidth="1"/>
    <col min="19" max="19" width="15.7109375" bestFit="1" customWidth="1"/>
    <col min="20" max="20" width="16.140625" bestFit="1" customWidth="1"/>
    <col min="21" max="21" width="19.140625" bestFit="1" customWidth="1"/>
    <col min="22" max="22" width="12.42578125" bestFit="1" customWidth="1"/>
    <col min="23" max="23" width="12.7109375" bestFit="1" customWidth="1"/>
    <col min="24" max="24" width="12.5703125" bestFit="1" customWidth="1"/>
    <col min="25" max="25" width="16.7109375" bestFit="1" customWidth="1"/>
    <col min="26" max="26" width="13.7109375" bestFit="1" customWidth="1"/>
    <col min="27" max="27" width="11.28515625" bestFit="1" customWidth="1"/>
    <col min="28" max="28" width="14.7109375" bestFit="1" customWidth="1"/>
    <col min="29" max="29" width="11.5703125" bestFit="1" customWidth="1"/>
    <col min="30" max="30" width="8.85546875" bestFit="1" customWidth="1"/>
    <col min="31" max="31" width="11" bestFit="1" customWidth="1"/>
    <col min="32" max="32" width="13.5703125" bestFit="1" customWidth="1"/>
    <col min="33" max="33" width="12.7109375" bestFit="1" customWidth="1"/>
    <col min="34" max="34" width="25.5703125" bestFit="1" customWidth="1"/>
    <col min="35" max="35" width="13.85546875" bestFit="1" customWidth="1"/>
    <col min="36" max="36" width="12.5703125" bestFit="1" customWidth="1"/>
    <col min="37" max="37" width="13.5703125" bestFit="1" customWidth="1"/>
    <col min="38" max="38" width="12.42578125" bestFit="1" customWidth="1"/>
    <col min="39" max="39" width="18.140625" bestFit="1" customWidth="1"/>
    <col min="40" max="40" width="13.28515625" bestFit="1" customWidth="1"/>
    <col min="41" max="41" width="14" bestFit="1" customWidth="1"/>
    <col min="42" max="42" width="25.140625" bestFit="1" customWidth="1"/>
    <col min="43" max="43" width="14.28515625" bestFit="1" customWidth="1"/>
    <col min="44" max="45" width="14.5703125" bestFit="1" customWidth="1"/>
    <col min="46" max="46" width="11.28515625" bestFit="1" customWidth="1"/>
    <col min="47" max="47" width="19.85546875" bestFit="1" customWidth="1"/>
    <col min="48" max="48" width="22.140625" bestFit="1" customWidth="1"/>
    <col min="49" max="49" width="16.5703125" bestFit="1" customWidth="1"/>
    <col min="50" max="50" width="13.42578125" bestFit="1" customWidth="1"/>
    <col min="51" max="51" width="16.5703125" bestFit="1" customWidth="1"/>
    <col min="52" max="52" width="14.140625" bestFit="1" customWidth="1"/>
    <col min="53" max="53" width="16.7109375" bestFit="1" customWidth="1"/>
    <col min="54" max="54" width="11.7109375" bestFit="1" customWidth="1"/>
    <col min="55" max="55" width="13.7109375" bestFit="1" customWidth="1"/>
    <col min="56" max="56" width="12.7109375" bestFit="1" customWidth="1"/>
    <col min="57" max="57" width="18" bestFit="1" customWidth="1"/>
    <col min="58" max="59" width="13.7109375" bestFit="1" customWidth="1"/>
    <col min="60" max="60" width="22.7109375" bestFit="1" customWidth="1"/>
    <col min="61" max="61" width="16.140625" bestFit="1" customWidth="1"/>
    <col min="62" max="62" width="20.42578125" bestFit="1" customWidth="1"/>
    <col min="63" max="63" width="11.7109375" bestFit="1" customWidth="1"/>
    <col min="64" max="64" width="15.28515625" bestFit="1" customWidth="1"/>
    <col min="65" max="65" width="12.7109375" bestFit="1" customWidth="1"/>
    <col min="66" max="66" width="15.85546875" bestFit="1" customWidth="1"/>
    <col min="67" max="67" width="15.5703125" bestFit="1" customWidth="1"/>
    <col min="68" max="69" width="16.140625" bestFit="1" customWidth="1"/>
    <col min="70" max="70" width="15.140625" bestFit="1" customWidth="1"/>
    <col min="71" max="71" width="17.7109375" bestFit="1" customWidth="1"/>
    <col min="72" max="72" width="11.28515625" bestFit="1" customWidth="1"/>
    <col min="73" max="73" width="10.140625" bestFit="1" customWidth="1"/>
    <col min="74" max="74" width="13.42578125" bestFit="1" customWidth="1"/>
    <col min="75" max="75" width="20.28515625" bestFit="1" customWidth="1"/>
    <col min="76" max="76" width="12.7109375" bestFit="1" customWidth="1"/>
    <col min="77" max="77" width="21.42578125" bestFit="1" customWidth="1"/>
    <col min="78" max="78" width="14" bestFit="1" customWidth="1"/>
    <col min="79" max="79" width="19.5703125" bestFit="1" customWidth="1"/>
    <col min="80" max="80" width="12.85546875" bestFit="1" customWidth="1"/>
    <col min="81" max="81" width="21.5703125" bestFit="1" customWidth="1"/>
    <col min="82" max="82" width="12.42578125" bestFit="1" customWidth="1"/>
    <col min="83" max="83" width="15.140625" bestFit="1" customWidth="1"/>
    <col min="84" max="84" width="14.7109375" bestFit="1" customWidth="1"/>
    <col min="85" max="85" width="11.28515625" bestFit="1" customWidth="1"/>
    <col min="86" max="86" width="21.5703125" bestFit="1" customWidth="1"/>
    <col min="87" max="87" width="21.42578125" bestFit="1" customWidth="1"/>
    <col min="88" max="88" width="15.7109375" bestFit="1" customWidth="1"/>
    <col min="89" max="89" width="16.42578125" bestFit="1" customWidth="1"/>
    <col min="90" max="90" width="18.140625" bestFit="1" customWidth="1"/>
    <col min="91" max="91" width="12" bestFit="1" customWidth="1"/>
    <col min="92" max="92" width="12.140625" bestFit="1" customWidth="1"/>
    <col min="93" max="93" width="12.85546875" bestFit="1" customWidth="1"/>
    <col min="94" max="94" width="13.85546875" bestFit="1" customWidth="1"/>
    <col min="95" max="95" width="12.5703125" bestFit="1" customWidth="1"/>
    <col min="96" max="96" width="18.5703125" bestFit="1" customWidth="1"/>
    <col min="97" max="97" width="16.28515625" bestFit="1" customWidth="1"/>
    <col min="98" max="98" width="20.42578125" bestFit="1" customWidth="1"/>
    <col min="99" max="99" width="16.28515625" bestFit="1" customWidth="1"/>
    <col min="100" max="100" width="19.85546875" bestFit="1" customWidth="1"/>
    <col min="101" max="101" width="21" bestFit="1" customWidth="1"/>
    <col min="102" max="102" width="11.5703125" bestFit="1" customWidth="1"/>
    <col min="103" max="103" width="13.42578125" bestFit="1" customWidth="1"/>
    <col min="104" max="104" width="12.42578125" bestFit="1" customWidth="1"/>
    <col min="105" max="105" width="12.28515625" bestFit="1" customWidth="1"/>
    <col min="106" max="106" width="16.7109375" bestFit="1" customWidth="1"/>
    <col min="107" max="107" width="19" bestFit="1" customWidth="1"/>
    <col min="108" max="108" width="19.85546875" bestFit="1" customWidth="1"/>
    <col min="109" max="109" width="26.5703125" bestFit="1" customWidth="1"/>
    <col min="110" max="110" width="15.140625" bestFit="1" customWidth="1"/>
    <col min="111" max="111" width="20.42578125" bestFit="1" customWidth="1"/>
    <col min="112" max="112" width="15" bestFit="1" customWidth="1"/>
    <col min="113" max="113" width="15.140625" bestFit="1" customWidth="1"/>
    <col min="114" max="114" width="14.28515625" bestFit="1" customWidth="1"/>
    <col min="115" max="115" width="19" bestFit="1" customWidth="1"/>
    <col min="116" max="116" width="15.7109375" bestFit="1" customWidth="1"/>
    <col min="117" max="117" width="15.140625" bestFit="1" customWidth="1"/>
    <col min="118" max="118" width="29.42578125" bestFit="1" customWidth="1"/>
    <col min="119" max="119" width="15" bestFit="1" customWidth="1"/>
    <col min="120" max="120" width="14.42578125" bestFit="1" customWidth="1"/>
    <col min="121" max="121" width="15.140625" bestFit="1" customWidth="1"/>
    <col min="122" max="122" width="13.5703125" bestFit="1" customWidth="1"/>
    <col min="123" max="123" width="12.85546875" bestFit="1" customWidth="1"/>
    <col min="124" max="124" width="12.28515625" bestFit="1" customWidth="1"/>
    <col min="125" max="125" width="15.7109375" bestFit="1" customWidth="1"/>
    <col min="126" max="126" width="14" bestFit="1" customWidth="1"/>
    <col min="127" max="127" width="10.28515625" bestFit="1" customWidth="1"/>
    <col min="128" max="128" width="10.85546875" bestFit="1" customWidth="1"/>
    <col min="129" max="129" width="11.42578125" bestFit="1" customWidth="1"/>
    <col min="130" max="130" width="17.7109375" bestFit="1" customWidth="1"/>
    <col min="131" max="131" width="13.5703125" bestFit="1" customWidth="1"/>
    <col min="132" max="132" width="13.7109375" bestFit="1" customWidth="1"/>
    <col min="133" max="133" width="14.7109375" bestFit="1" customWidth="1"/>
    <col min="134" max="134" width="22" bestFit="1" customWidth="1"/>
    <col min="135" max="135" width="18" bestFit="1" customWidth="1"/>
    <col min="136" max="136" width="19.28515625" bestFit="1" customWidth="1"/>
    <col min="137" max="137" width="15" bestFit="1" customWidth="1"/>
    <col min="138" max="138" width="24.140625" bestFit="1" customWidth="1"/>
    <col min="139" max="139" width="16.28515625" bestFit="1" customWidth="1"/>
    <col min="140" max="141" width="12.7109375" bestFit="1" customWidth="1"/>
    <col min="142" max="142" width="11.42578125" bestFit="1" customWidth="1"/>
    <col min="143" max="143" width="21.5703125" bestFit="1" customWidth="1"/>
    <col min="144" max="144" width="20.140625" bestFit="1" customWidth="1"/>
    <col min="145" max="145" width="22.140625" bestFit="1" customWidth="1"/>
    <col min="146" max="146" width="14.85546875" bestFit="1" customWidth="1"/>
    <col min="147" max="147" width="18" bestFit="1" customWidth="1"/>
    <col min="148" max="148" width="19.42578125" bestFit="1" customWidth="1"/>
    <col min="149" max="149" width="12.140625" bestFit="1" customWidth="1"/>
    <col min="150" max="150" width="20.28515625" bestFit="1" customWidth="1"/>
    <col min="151" max="151" width="15.140625" bestFit="1" customWidth="1"/>
    <col min="152" max="152" width="12.28515625" bestFit="1" customWidth="1"/>
    <col min="153" max="153" width="14.28515625" bestFit="1" customWidth="1"/>
    <col min="154" max="154" width="13.5703125" bestFit="1" customWidth="1"/>
    <col min="155" max="155" width="14.85546875" bestFit="1" customWidth="1"/>
    <col min="156" max="156" width="19.42578125" bestFit="1" customWidth="1"/>
    <col min="157" max="157" width="11.7109375" bestFit="1" customWidth="1"/>
    <col min="158" max="158" width="16.85546875" bestFit="1" customWidth="1"/>
    <col min="159" max="159" width="22.140625" bestFit="1" customWidth="1"/>
    <col min="160" max="160" width="13.42578125" bestFit="1" customWidth="1"/>
    <col min="161" max="161" width="30" bestFit="1" customWidth="1"/>
    <col min="162" max="162" width="12.5703125" bestFit="1" customWidth="1"/>
    <col min="163" max="163" width="15.140625" bestFit="1" customWidth="1"/>
    <col min="164" max="164" width="23.140625" bestFit="1" customWidth="1"/>
    <col min="165" max="165" width="19.140625" bestFit="1" customWidth="1"/>
    <col min="166" max="166" width="13.28515625" bestFit="1" customWidth="1"/>
    <col min="167" max="167" width="11.42578125" bestFit="1" customWidth="1"/>
    <col min="168" max="168" width="13.42578125" bestFit="1" customWidth="1"/>
    <col min="169" max="169" width="14.28515625" bestFit="1" customWidth="1"/>
    <col min="170" max="170" width="15.140625" bestFit="1" customWidth="1"/>
    <col min="171" max="171" width="11.5703125" bestFit="1" customWidth="1"/>
    <col min="172" max="172" width="12.140625" bestFit="1" customWidth="1"/>
    <col min="173" max="173" width="14.140625" bestFit="1" customWidth="1"/>
    <col min="174" max="174" width="17.28515625" bestFit="1" customWidth="1"/>
    <col min="175" max="175" width="11.85546875" bestFit="1" customWidth="1"/>
    <col min="176" max="176" width="18.7109375" bestFit="1" customWidth="1"/>
    <col min="177" max="177" width="12.140625" bestFit="1" customWidth="1"/>
    <col min="178" max="178" width="9.85546875" bestFit="1" customWidth="1"/>
    <col min="179" max="179" width="17.28515625" bestFit="1" customWidth="1"/>
    <col min="180" max="180" width="18.7109375" bestFit="1" customWidth="1"/>
    <col min="181" max="181" width="18.5703125" bestFit="1" customWidth="1"/>
    <col min="182" max="182" width="18.42578125" bestFit="1" customWidth="1"/>
    <col min="183" max="183" width="16.85546875" bestFit="1" customWidth="1"/>
    <col min="184" max="184" width="14.28515625" bestFit="1" customWidth="1"/>
    <col min="185" max="185" width="12.7109375" bestFit="1" customWidth="1"/>
    <col min="186" max="186" width="13.42578125" bestFit="1" customWidth="1"/>
    <col min="187" max="187" width="10.5703125" bestFit="1" customWidth="1"/>
    <col min="188" max="188" width="11.28515625" bestFit="1" customWidth="1"/>
  </cols>
  <sheetData>
    <row r="1" spans="1:11" s="9" customFormat="1" ht="42.75" customHeight="1" x14ac:dyDescent="0.55000000000000004">
      <c r="A1" s="10"/>
      <c r="B1" s="88" t="s">
        <v>249</v>
      </c>
      <c r="C1" s="8"/>
      <c r="D1" s="8"/>
      <c r="F1" s="8"/>
      <c r="G1" s="8"/>
      <c r="H1" s="8"/>
      <c r="K1" s="13"/>
    </row>
    <row r="7" spans="1:11" x14ac:dyDescent="0.25">
      <c r="D7" s="20" t="s">
        <v>247</v>
      </c>
      <c r="E7" t="s">
        <v>224</v>
      </c>
      <c r="F7" t="s">
        <v>227</v>
      </c>
    </row>
    <row r="8" spans="1:11" x14ac:dyDescent="0.25">
      <c r="D8" s="14" t="s">
        <v>10</v>
      </c>
      <c r="E8" s="6">
        <v>4</v>
      </c>
      <c r="F8" s="70">
        <v>92080</v>
      </c>
    </row>
    <row r="9" spans="1:11" x14ac:dyDescent="0.25">
      <c r="D9" s="14" t="s">
        <v>13</v>
      </c>
      <c r="E9" s="6">
        <v>20</v>
      </c>
      <c r="F9" s="70">
        <v>75933</v>
      </c>
    </row>
    <row r="10" spans="1:11" x14ac:dyDescent="0.25">
      <c r="D10" s="14" t="s">
        <v>16</v>
      </c>
      <c r="E10" s="6">
        <v>137</v>
      </c>
      <c r="F10" s="70">
        <v>76798.759124087592</v>
      </c>
    </row>
    <row r="11" spans="1:11" x14ac:dyDescent="0.25">
      <c r="D11" s="14" t="s">
        <v>24</v>
      </c>
      <c r="E11" s="6">
        <v>16</v>
      </c>
      <c r="F11" s="70">
        <v>78115</v>
      </c>
    </row>
    <row r="12" spans="1:11" x14ac:dyDescent="0.25">
      <c r="D12" s="14" t="s">
        <v>42</v>
      </c>
      <c r="E12" s="6">
        <v>6</v>
      </c>
      <c r="F12" s="70">
        <v>77423.333333333328</v>
      </c>
    </row>
    <row r="13" spans="1:11" x14ac:dyDescent="0.25">
      <c r="D13" s="14" t="s">
        <v>246</v>
      </c>
      <c r="E13" s="6">
        <v>183</v>
      </c>
      <c r="F13" s="70">
        <v>77173.715846994543</v>
      </c>
    </row>
  </sheetData>
  <conditionalFormatting pivot="1" sqref="F8:F12">
    <cfRule type="dataBar" priority="1">
      <dataBar>
        <cfvo type="min"/>
        <cfvo type="max"/>
        <color rgb="FF638EC6"/>
      </dataBar>
      <extLst>
        <ext xmlns:x14="http://schemas.microsoft.com/office/spreadsheetml/2009/9/main" uri="{B025F937-C7B1-47D3-B67F-A62EFF666E3E}">
          <x14:id>{33F5470A-0ADD-47D7-8141-7F57C0F48456}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3F5470A-0ADD-47D7-8141-7F57C0F48456}">
            <x14:dataBar minLength="0" maxLength="100" gradient="0">
              <x14:cfvo type="autoMin"/>
              <x14:cfvo type="autoMax"/>
              <x14:negativeFillColor rgb="FFFF0000"/>
              <x14:axisColor rgb="FF000000"/>
            </x14:dataBar>
          </x14:cfRule>
          <xm:sqref>F8:F12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3D009-B8AF-4C11-AEE9-4C19F0519B09}">
  <dimension ref="A1:K8"/>
  <sheetViews>
    <sheetView showGridLines="0" workbookViewId="0">
      <selection sqref="A1:XFD1"/>
    </sheetView>
  </sheetViews>
  <sheetFormatPr defaultRowHeight="15" x14ac:dyDescent="0.25"/>
  <cols>
    <col min="1" max="1" width="2.5703125" customWidth="1"/>
    <col min="3" max="3" width="14.28515625" bestFit="1" customWidth="1"/>
  </cols>
  <sheetData>
    <row r="1" spans="1:11" s="9" customFormat="1" ht="42.75" customHeight="1" x14ac:dyDescent="0.55000000000000004">
      <c r="A1" s="10"/>
      <c r="B1" s="88" t="s">
        <v>250</v>
      </c>
      <c r="C1" s="8"/>
      <c r="D1" s="8"/>
      <c r="F1" s="8"/>
      <c r="G1" s="8"/>
      <c r="H1" s="8"/>
      <c r="K1" s="13"/>
    </row>
    <row r="4" spans="1:11" x14ac:dyDescent="0.25">
      <c r="C4" s="89" t="s">
        <v>10</v>
      </c>
      <c r="D4" s="37">
        <v>5</v>
      </c>
    </row>
    <row r="5" spans="1:11" x14ac:dyDescent="0.25">
      <c r="C5" s="89" t="s">
        <v>13</v>
      </c>
      <c r="D5" s="37">
        <v>4</v>
      </c>
    </row>
    <row r="6" spans="1:11" x14ac:dyDescent="0.25">
      <c r="C6" s="89" t="s">
        <v>16</v>
      </c>
      <c r="D6" s="37">
        <v>3</v>
      </c>
    </row>
    <row r="7" spans="1:11" x14ac:dyDescent="0.25">
      <c r="C7" s="89" t="s">
        <v>24</v>
      </c>
      <c r="D7" s="37">
        <v>2</v>
      </c>
    </row>
    <row r="8" spans="1:11" x14ac:dyDescent="0.25">
      <c r="C8" s="89" t="s">
        <v>42</v>
      </c>
      <c r="D8" s="19">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6A6D-75C1-4CCC-B224-E51CCD214F66}">
  <sheetPr>
    <tabColor theme="7" tint="0.39997558519241921"/>
  </sheetPr>
  <dimension ref="A1:P44"/>
  <sheetViews>
    <sheetView showGridLines="0" topLeftCell="K4" zoomScaleNormal="100" workbookViewId="0">
      <selection activeCell="B2" sqref="B2"/>
    </sheetView>
  </sheetViews>
  <sheetFormatPr defaultRowHeight="15" x14ac:dyDescent="0.25"/>
  <cols>
    <col min="1" max="1" width="2.28515625" customWidth="1"/>
    <col min="2" max="2" width="17.5703125" bestFit="1" customWidth="1"/>
    <col min="3" max="3" width="26.42578125" bestFit="1" customWidth="1"/>
    <col min="4" max="4" width="24.28515625" bestFit="1" customWidth="1"/>
    <col min="5" max="5" width="16.28515625" bestFit="1" customWidth="1"/>
    <col min="6" max="6" width="10.140625" bestFit="1" customWidth="1"/>
    <col min="7" max="7" width="10.85546875" customWidth="1"/>
    <col min="8" max="13" width="16.28515625" bestFit="1" customWidth="1"/>
    <col min="14" max="14" width="19.42578125" bestFit="1" customWidth="1"/>
    <col min="15" max="15" width="16" bestFit="1" customWidth="1"/>
    <col min="16" max="16" width="18" bestFit="1" customWidth="1"/>
    <col min="17" max="17" width="19" bestFit="1" customWidth="1"/>
  </cols>
  <sheetData>
    <row r="1" spans="1:16" s="9" customFormat="1" ht="33.75" customHeight="1" x14ac:dyDescent="0.4">
      <c r="A1" s="10"/>
      <c r="B1" s="8" t="s">
        <v>252</v>
      </c>
      <c r="C1" s="8"/>
      <c r="D1" s="8"/>
      <c r="E1" s="8"/>
      <c r="H1" s="13"/>
    </row>
    <row r="2" spans="1:16" s="22" customFormat="1" x14ac:dyDescent="0.25">
      <c r="A2" s="10"/>
      <c r="B2" s="23" t="s">
        <v>277</v>
      </c>
    </row>
    <row r="5" spans="1:16" x14ac:dyDescent="0.25">
      <c r="D5" s="120" t="s">
        <v>274</v>
      </c>
      <c r="E5" s="120"/>
      <c r="F5" s="120"/>
      <c r="G5" s="120"/>
      <c r="M5" s="120" t="s">
        <v>275</v>
      </c>
      <c r="N5" s="120"/>
      <c r="O5" s="120"/>
      <c r="P5" s="120"/>
    </row>
    <row r="7" spans="1:16" ht="52.5" customHeight="1" x14ac:dyDescent="0.25">
      <c r="C7" s="90" t="s">
        <v>269</v>
      </c>
      <c r="D7" s="90" t="s">
        <v>273</v>
      </c>
      <c r="L7" s="93" t="s">
        <v>270</v>
      </c>
      <c r="M7" s="93" t="s">
        <v>272</v>
      </c>
      <c r="N7" s="93" t="s">
        <v>271</v>
      </c>
    </row>
    <row r="8" spans="1:16" x14ac:dyDescent="0.25">
      <c r="C8" s="14" t="s">
        <v>253</v>
      </c>
      <c r="D8" s="6"/>
      <c r="L8" s="92">
        <v>43952</v>
      </c>
      <c r="M8" s="91">
        <f>COUNTIFS(staff[Date Joined],"&gt;="&amp;'T8. Company Growth'!L8,staff[Date Joined],"&lt;="&amp;(EOMONTH('T8. Company Growth'!L8,0)))</f>
        <v>3</v>
      </c>
      <c r="N8" s="91">
        <f>SUM($M$8:M8)</f>
        <v>3</v>
      </c>
    </row>
    <row r="9" spans="1:16" x14ac:dyDescent="0.25">
      <c r="C9" s="72" t="s">
        <v>254</v>
      </c>
      <c r="D9" s="6">
        <v>3</v>
      </c>
      <c r="L9" s="92">
        <v>43983</v>
      </c>
      <c r="M9" s="91">
        <f>COUNTIFS(staff[Date Joined],"&gt;="&amp;'T8. Company Growth'!L9,staff[Date Joined],"&lt;="&amp;(EOMONTH('T8. Company Growth'!L9,0)))</f>
        <v>1</v>
      </c>
      <c r="N9" s="91">
        <f>SUM($M$8:M9)</f>
        <v>4</v>
      </c>
    </row>
    <row r="10" spans="1:16" x14ac:dyDescent="0.25">
      <c r="C10" s="72" t="s">
        <v>255</v>
      </c>
      <c r="D10" s="6">
        <v>4</v>
      </c>
      <c r="L10" s="92">
        <v>44013</v>
      </c>
      <c r="M10" s="91">
        <f>COUNTIFS(staff[Date Joined],"&gt;="&amp;'T8. Company Growth'!L10,staff[Date Joined],"&lt;="&amp;(EOMONTH('T8. Company Growth'!L10,0)))</f>
        <v>5</v>
      </c>
      <c r="N10" s="91">
        <f>SUM($M$8:M10)</f>
        <v>9</v>
      </c>
    </row>
    <row r="11" spans="1:16" x14ac:dyDescent="0.25">
      <c r="C11" s="72" t="s">
        <v>256</v>
      </c>
      <c r="D11" s="6">
        <v>9</v>
      </c>
      <c r="L11" s="92">
        <v>44044</v>
      </c>
      <c r="M11" s="91">
        <f>COUNTIFS(staff[Date Joined],"&gt;="&amp;'T8. Company Growth'!L11,staff[Date Joined],"&lt;="&amp;(EOMONTH('T8. Company Growth'!L11,0)))</f>
        <v>3</v>
      </c>
      <c r="N11" s="91">
        <f>SUM($M$8:M11)</f>
        <v>12</v>
      </c>
    </row>
    <row r="12" spans="1:16" x14ac:dyDescent="0.25">
      <c r="C12" s="72" t="s">
        <v>257</v>
      </c>
      <c r="D12" s="6">
        <v>12</v>
      </c>
      <c r="L12" s="92">
        <v>44075</v>
      </c>
      <c r="M12" s="91">
        <f>COUNTIFS(staff[Date Joined],"&gt;="&amp;'T8. Company Growth'!L12,staff[Date Joined],"&lt;="&amp;(EOMONTH('T8. Company Growth'!L12,0)))</f>
        <v>6</v>
      </c>
      <c r="N12" s="91">
        <f>SUM($M$8:M12)</f>
        <v>18</v>
      </c>
    </row>
    <row r="13" spans="1:16" x14ac:dyDescent="0.25">
      <c r="C13" s="72" t="s">
        <v>258</v>
      </c>
      <c r="D13" s="6">
        <v>18</v>
      </c>
      <c r="L13" s="92">
        <v>44105</v>
      </c>
      <c r="M13" s="91">
        <f>COUNTIFS(staff[Date Joined],"&gt;="&amp;'T8. Company Growth'!L13,staff[Date Joined],"&lt;="&amp;(EOMONTH('T8. Company Growth'!L13,0)))</f>
        <v>6</v>
      </c>
      <c r="N13" s="91">
        <f>SUM($M$8:M13)</f>
        <v>24</v>
      </c>
    </row>
    <row r="14" spans="1:16" x14ac:dyDescent="0.25">
      <c r="C14" s="72" t="s">
        <v>259</v>
      </c>
      <c r="D14" s="6">
        <v>24</v>
      </c>
      <c r="L14" s="92">
        <v>44136</v>
      </c>
      <c r="M14" s="91">
        <f>COUNTIFS(staff[Date Joined],"&gt;="&amp;'T8. Company Growth'!L14,staff[Date Joined],"&lt;="&amp;(EOMONTH('T8. Company Growth'!L14,0)))</f>
        <v>6</v>
      </c>
      <c r="N14" s="91">
        <f>SUM($M$8:M14)</f>
        <v>30</v>
      </c>
    </row>
    <row r="15" spans="1:16" x14ac:dyDescent="0.25">
      <c r="C15" s="72" t="s">
        <v>260</v>
      </c>
      <c r="D15" s="6">
        <v>30</v>
      </c>
      <c r="L15" s="92">
        <v>44166</v>
      </c>
      <c r="M15" s="91">
        <f>COUNTIFS(staff[Date Joined],"&gt;="&amp;'T8. Company Growth'!L15,staff[Date Joined],"&lt;="&amp;(EOMONTH('T8. Company Growth'!L15,0)))</f>
        <v>7</v>
      </c>
      <c r="N15" s="91">
        <f>SUM($M$8:M15)</f>
        <v>37</v>
      </c>
    </row>
    <row r="16" spans="1:16" x14ac:dyDescent="0.25">
      <c r="C16" s="72" t="s">
        <v>261</v>
      </c>
      <c r="D16" s="6">
        <v>37</v>
      </c>
      <c r="L16" s="92">
        <v>44197</v>
      </c>
      <c r="M16" s="91">
        <f>COUNTIFS(staff[Date Joined],"&gt;="&amp;'T8. Company Growth'!L16,staff[Date Joined],"&lt;="&amp;(EOMONTH('T8. Company Growth'!L16,0)))</f>
        <v>6</v>
      </c>
      <c r="N16" s="91">
        <f>SUM($M$8:M16)</f>
        <v>43</v>
      </c>
    </row>
    <row r="17" spans="3:14" x14ac:dyDescent="0.25">
      <c r="C17" s="14" t="s">
        <v>262</v>
      </c>
      <c r="D17" s="6"/>
      <c r="L17" s="92">
        <v>44228</v>
      </c>
      <c r="M17" s="91">
        <f>COUNTIFS(staff[Date Joined],"&gt;="&amp;'T8. Company Growth'!L17,staff[Date Joined],"&lt;="&amp;(EOMONTH('T8. Company Growth'!L17,0)))</f>
        <v>4</v>
      </c>
      <c r="N17" s="91">
        <f>SUM($M$8:M17)</f>
        <v>47</v>
      </c>
    </row>
    <row r="18" spans="3:14" x14ac:dyDescent="0.25">
      <c r="C18" s="72" t="s">
        <v>263</v>
      </c>
      <c r="D18" s="6">
        <v>6</v>
      </c>
      <c r="L18" s="92">
        <v>44256</v>
      </c>
      <c r="M18" s="91">
        <f>COUNTIFS(staff[Date Joined],"&gt;="&amp;'T8. Company Growth'!L18,staff[Date Joined],"&lt;="&amp;(EOMONTH('T8. Company Growth'!L18,0)))</f>
        <v>9</v>
      </c>
      <c r="N18" s="91">
        <f>SUM($M$8:M18)</f>
        <v>56</v>
      </c>
    </row>
    <row r="19" spans="3:14" x14ac:dyDescent="0.25">
      <c r="C19" s="72" t="s">
        <v>264</v>
      </c>
      <c r="D19" s="6">
        <v>10</v>
      </c>
      <c r="L19" s="92">
        <v>44287</v>
      </c>
      <c r="M19" s="91">
        <f>COUNTIFS(staff[Date Joined],"&gt;="&amp;'T8. Company Growth'!L19,staff[Date Joined],"&lt;="&amp;(EOMONTH('T8. Company Growth'!L19,0)))</f>
        <v>5</v>
      </c>
      <c r="N19" s="91">
        <f>SUM($M$8:M19)</f>
        <v>61</v>
      </c>
    </row>
    <row r="20" spans="3:14" x14ac:dyDescent="0.25">
      <c r="C20" s="72" t="s">
        <v>265</v>
      </c>
      <c r="D20" s="6">
        <v>19</v>
      </c>
      <c r="L20" s="92">
        <v>44317</v>
      </c>
      <c r="M20" s="91">
        <f>COUNTIFS(staff[Date Joined],"&gt;="&amp;'T8. Company Growth'!L20,staff[Date Joined],"&lt;="&amp;(EOMONTH('T8. Company Growth'!L20,0)))</f>
        <v>10</v>
      </c>
      <c r="N20" s="91">
        <f>SUM($M$8:M20)</f>
        <v>71</v>
      </c>
    </row>
    <row r="21" spans="3:14" x14ac:dyDescent="0.25">
      <c r="C21" s="72" t="s">
        <v>266</v>
      </c>
      <c r="D21" s="6">
        <v>24</v>
      </c>
      <c r="L21" s="92">
        <v>44348</v>
      </c>
      <c r="M21" s="91">
        <f>COUNTIFS(staff[Date Joined],"&gt;="&amp;'T8. Company Growth'!L21,staff[Date Joined],"&lt;="&amp;(EOMONTH('T8. Company Growth'!L21,0)))</f>
        <v>6</v>
      </c>
      <c r="N21" s="91">
        <f>SUM($M$8:M21)</f>
        <v>77</v>
      </c>
    </row>
    <row r="22" spans="3:14" x14ac:dyDescent="0.25">
      <c r="C22" s="72" t="s">
        <v>254</v>
      </c>
      <c r="D22" s="6">
        <v>34</v>
      </c>
      <c r="L22" s="92">
        <v>44378</v>
      </c>
      <c r="M22" s="91">
        <f>COUNTIFS(staff[Date Joined],"&gt;="&amp;'T8. Company Growth'!L22,staff[Date Joined],"&lt;="&amp;(EOMONTH('T8. Company Growth'!L22,0)))</f>
        <v>13</v>
      </c>
      <c r="N22" s="91">
        <f>SUM($M$8:M22)</f>
        <v>90</v>
      </c>
    </row>
    <row r="23" spans="3:14" x14ac:dyDescent="0.25">
      <c r="C23" s="72" t="s">
        <v>255</v>
      </c>
      <c r="D23" s="6">
        <v>40</v>
      </c>
      <c r="L23" s="92">
        <v>44409</v>
      </c>
      <c r="M23" s="91">
        <f>COUNTIFS(staff[Date Joined],"&gt;="&amp;'T8. Company Growth'!L23,staff[Date Joined],"&lt;="&amp;(EOMONTH('T8. Company Growth'!L23,0)))</f>
        <v>4</v>
      </c>
      <c r="N23" s="91">
        <f>SUM($M$8:M23)</f>
        <v>94</v>
      </c>
    </row>
    <row r="24" spans="3:14" x14ac:dyDescent="0.25">
      <c r="C24" s="72" t="s">
        <v>256</v>
      </c>
      <c r="D24" s="6">
        <v>53</v>
      </c>
      <c r="L24" s="92">
        <v>44440</v>
      </c>
      <c r="M24" s="91">
        <f>COUNTIFS(staff[Date Joined],"&gt;="&amp;'T8. Company Growth'!L24,staff[Date Joined],"&lt;="&amp;(EOMONTH('T8. Company Growth'!L24,0)))</f>
        <v>11</v>
      </c>
      <c r="N24" s="91">
        <f>SUM($M$8:M24)</f>
        <v>105</v>
      </c>
    </row>
    <row r="25" spans="3:14" x14ac:dyDescent="0.25">
      <c r="C25" s="72" t="s">
        <v>257</v>
      </c>
      <c r="D25" s="6">
        <v>57</v>
      </c>
      <c r="L25" s="92">
        <v>44470</v>
      </c>
      <c r="M25" s="91">
        <f>COUNTIFS(staff[Date Joined],"&gt;="&amp;'T8. Company Growth'!L25,staff[Date Joined],"&lt;="&amp;(EOMONTH('T8. Company Growth'!L25,0)))</f>
        <v>3</v>
      </c>
      <c r="N25" s="91">
        <f>SUM($M$8:M25)</f>
        <v>108</v>
      </c>
    </row>
    <row r="26" spans="3:14" x14ac:dyDescent="0.25">
      <c r="C26" s="72" t="s">
        <v>258</v>
      </c>
      <c r="D26" s="6">
        <v>68</v>
      </c>
      <c r="L26" s="92">
        <v>44501</v>
      </c>
      <c r="M26" s="91">
        <f>COUNTIFS(staff[Date Joined],"&gt;="&amp;'T8. Company Growth'!L26,staff[Date Joined],"&lt;="&amp;(EOMONTH('T8. Company Growth'!L26,0)))</f>
        <v>4</v>
      </c>
      <c r="N26" s="91">
        <f>SUM($M$8:M26)</f>
        <v>112</v>
      </c>
    </row>
    <row r="27" spans="3:14" x14ac:dyDescent="0.25">
      <c r="C27" s="72" t="s">
        <v>259</v>
      </c>
      <c r="D27" s="6">
        <v>71</v>
      </c>
      <c r="L27" s="92">
        <v>44531</v>
      </c>
      <c r="M27" s="91">
        <f>COUNTIFS(staff[Date Joined],"&gt;="&amp;'T8. Company Growth'!L27,staff[Date Joined],"&lt;="&amp;(EOMONTH('T8. Company Growth'!L27,0)))</f>
        <v>7</v>
      </c>
      <c r="N27" s="91">
        <f>SUM($M$8:M27)</f>
        <v>119</v>
      </c>
    </row>
    <row r="28" spans="3:14" x14ac:dyDescent="0.25">
      <c r="C28" s="72" t="s">
        <v>260</v>
      </c>
      <c r="D28" s="6">
        <v>75</v>
      </c>
      <c r="L28" s="92">
        <v>44562</v>
      </c>
      <c r="M28" s="91">
        <f>COUNTIFS(staff[Date Joined],"&gt;="&amp;'T8. Company Growth'!L28,staff[Date Joined],"&lt;="&amp;(EOMONTH('T8. Company Growth'!L28,0)))</f>
        <v>3</v>
      </c>
      <c r="N28" s="91">
        <f>SUM($M$8:M28)</f>
        <v>122</v>
      </c>
    </row>
    <row r="29" spans="3:14" x14ac:dyDescent="0.25">
      <c r="C29" s="72" t="s">
        <v>261</v>
      </c>
      <c r="D29" s="6">
        <v>82</v>
      </c>
      <c r="L29" s="92">
        <v>44593</v>
      </c>
      <c r="M29" s="91">
        <f>COUNTIFS(staff[Date Joined],"&gt;="&amp;'T8. Company Growth'!L29,staff[Date Joined],"&lt;="&amp;(EOMONTH('T8. Company Growth'!L29,0)))</f>
        <v>10</v>
      </c>
      <c r="N29" s="91">
        <f>SUM($M$8:M29)</f>
        <v>132</v>
      </c>
    </row>
    <row r="30" spans="3:14" x14ac:dyDescent="0.25">
      <c r="C30" s="14" t="s">
        <v>267</v>
      </c>
      <c r="D30" s="6"/>
      <c r="L30" s="92">
        <v>44621</v>
      </c>
      <c r="M30" s="91">
        <f>COUNTIFS(staff[Date Joined],"&gt;="&amp;'T8. Company Growth'!L30,staff[Date Joined],"&lt;="&amp;(EOMONTH('T8. Company Growth'!L30,0)))</f>
        <v>9</v>
      </c>
      <c r="N30" s="91">
        <f>SUM($M$8:M30)</f>
        <v>141</v>
      </c>
    </row>
    <row r="31" spans="3:14" x14ac:dyDescent="0.25">
      <c r="C31" s="72" t="s">
        <v>263</v>
      </c>
      <c r="D31" s="6">
        <v>3</v>
      </c>
      <c r="L31" s="92">
        <v>44652</v>
      </c>
      <c r="M31" s="91">
        <f>COUNTIFS(staff[Date Joined],"&gt;="&amp;'T8. Company Growth'!L31,staff[Date Joined],"&lt;="&amp;(EOMONTH('T8. Company Growth'!L31,0)))</f>
        <v>9</v>
      </c>
      <c r="N31" s="91">
        <f>SUM($M$8:M31)</f>
        <v>150</v>
      </c>
    </row>
    <row r="32" spans="3:14" x14ac:dyDescent="0.25">
      <c r="C32" s="72" t="s">
        <v>264</v>
      </c>
      <c r="D32" s="6">
        <v>13</v>
      </c>
      <c r="L32" s="92">
        <v>44682</v>
      </c>
      <c r="M32" s="91">
        <f>COUNTIFS(staff[Date Joined],"&gt;="&amp;'T8. Company Growth'!L32,staff[Date Joined],"&lt;="&amp;(EOMONTH('T8. Company Growth'!L32,0)))</f>
        <v>9</v>
      </c>
      <c r="N32" s="91">
        <f>SUM($M$8:M32)</f>
        <v>159</v>
      </c>
    </row>
    <row r="33" spans="3:14" x14ac:dyDescent="0.25">
      <c r="C33" s="72" t="s">
        <v>265</v>
      </c>
      <c r="D33" s="6">
        <v>22</v>
      </c>
      <c r="L33" s="92">
        <v>44713</v>
      </c>
      <c r="M33" s="91">
        <f>COUNTIFS(staff[Date Joined],"&gt;="&amp;'T8. Company Growth'!L33,staff[Date Joined],"&lt;="&amp;(EOMONTH('T8. Company Growth'!L33,0)))</f>
        <v>7</v>
      </c>
      <c r="N33" s="91">
        <f>SUM($M$8:M33)</f>
        <v>166</v>
      </c>
    </row>
    <row r="34" spans="3:14" x14ac:dyDescent="0.25">
      <c r="C34" s="72" t="s">
        <v>266</v>
      </c>
      <c r="D34" s="6">
        <v>31</v>
      </c>
      <c r="L34" s="92">
        <v>44743</v>
      </c>
      <c r="M34" s="91">
        <f>COUNTIFS(staff[Date Joined],"&gt;="&amp;'T8. Company Growth'!L34,staff[Date Joined],"&lt;="&amp;(EOMONTH('T8. Company Growth'!L34,0)))</f>
        <v>5</v>
      </c>
      <c r="N34" s="91">
        <f>SUM($M$8:M34)</f>
        <v>171</v>
      </c>
    </row>
    <row r="35" spans="3:14" x14ac:dyDescent="0.25">
      <c r="C35" s="72" t="s">
        <v>254</v>
      </c>
      <c r="D35" s="6">
        <v>40</v>
      </c>
      <c r="L35" s="92">
        <v>44774</v>
      </c>
      <c r="M35" s="91">
        <f>COUNTIFS(staff[Date Joined],"&gt;="&amp;'T8. Company Growth'!L35,staff[Date Joined],"&lt;="&amp;(EOMONTH('T8. Company Growth'!L35,0)))</f>
        <v>5</v>
      </c>
      <c r="N35" s="91">
        <f>SUM($M$8:M35)</f>
        <v>176</v>
      </c>
    </row>
    <row r="36" spans="3:14" x14ac:dyDescent="0.25">
      <c r="C36" s="72" t="s">
        <v>255</v>
      </c>
      <c r="D36" s="6">
        <v>47</v>
      </c>
      <c r="L36" s="92">
        <v>44805</v>
      </c>
      <c r="M36" s="91">
        <f>COUNTIFS(staff[Date Joined],"&gt;="&amp;'T8. Company Growth'!L36,staff[Date Joined],"&lt;="&amp;(EOMONTH('T8. Company Growth'!L36,0)))</f>
        <v>2</v>
      </c>
      <c r="N36" s="91">
        <f>SUM($M$8:M36)</f>
        <v>178</v>
      </c>
    </row>
    <row r="37" spans="3:14" x14ac:dyDescent="0.25">
      <c r="C37" s="72" t="s">
        <v>256</v>
      </c>
      <c r="D37" s="6">
        <v>52</v>
      </c>
      <c r="L37" s="92">
        <v>44835</v>
      </c>
      <c r="M37" s="91">
        <f>COUNTIFS(staff[Date Joined],"&gt;="&amp;'T8. Company Growth'!L37,staff[Date Joined],"&lt;="&amp;(EOMONTH('T8. Company Growth'!L37,0)))</f>
        <v>3</v>
      </c>
      <c r="N37" s="91">
        <f>SUM($M$8:M37)</f>
        <v>181</v>
      </c>
    </row>
    <row r="38" spans="3:14" x14ac:dyDescent="0.25">
      <c r="C38" s="72" t="s">
        <v>257</v>
      </c>
      <c r="D38" s="6">
        <v>57</v>
      </c>
      <c r="L38" s="92">
        <v>44866</v>
      </c>
      <c r="M38" s="91">
        <f>COUNTIFS(staff[Date Joined],"&gt;="&amp;'T8. Company Growth'!L38,staff[Date Joined],"&lt;="&amp;(EOMONTH('T8. Company Growth'!L38,0)))</f>
        <v>0</v>
      </c>
      <c r="N38" s="91">
        <f>SUM($M$8:M38)</f>
        <v>181</v>
      </c>
    </row>
    <row r="39" spans="3:14" x14ac:dyDescent="0.25">
      <c r="C39" s="72" t="s">
        <v>258</v>
      </c>
      <c r="D39" s="6">
        <v>59</v>
      </c>
      <c r="L39" s="92">
        <v>44896</v>
      </c>
      <c r="M39" s="91">
        <f>COUNTIFS(staff[Date Joined],"&gt;="&amp;'T8. Company Growth'!L39,staff[Date Joined],"&lt;="&amp;(EOMONTH('T8. Company Growth'!L39,0)))</f>
        <v>0</v>
      </c>
      <c r="N39" s="91">
        <f>SUM($M$8:M39)</f>
        <v>181</v>
      </c>
    </row>
    <row r="40" spans="3:14" x14ac:dyDescent="0.25">
      <c r="C40" s="72" t="s">
        <v>259</v>
      </c>
      <c r="D40" s="6">
        <v>62</v>
      </c>
      <c r="L40" s="92">
        <v>44927</v>
      </c>
      <c r="M40" s="91">
        <f>COUNTIFS(staff[Date Joined],"&gt;="&amp;'T8. Company Growth'!L40,staff[Date Joined],"&lt;="&amp;(EOMONTH('T8. Company Growth'!L40,0)))</f>
        <v>0</v>
      </c>
      <c r="N40" s="91">
        <f>SUM($M$8:M40)</f>
        <v>181</v>
      </c>
    </row>
    <row r="41" spans="3:14" x14ac:dyDescent="0.25">
      <c r="C41" s="14" t="s">
        <v>268</v>
      </c>
      <c r="D41" s="6"/>
      <c r="L41" s="92">
        <v>44958</v>
      </c>
      <c r="M41" s="91">
        <f>COUNTIFS(staff[Date Joined],"&gt;="&amp;'T8. Company Growth'!L41,staff[Date Joined],"&lt;="&amp;(EOMONTH('T8. Company Growth'!L41,0)))</f>
        <v>1</v>
      </c>
      <c r="N41" s="91">
        <f>SUM($M$8:M41)</f>
        <v>182</v>
      </c>
    </row>
    <row r="42" spans="3:14" x14ac:dyDescent="0.25">
      <c r="C42" s="72" t="s">
        <v>264</v>
      </c>
      <c r="D42" s="6">
        <v>1</v>
      </c>
      <c r="L42" s="92">
        <v>44986</v>
      </c>
      <c r="M42" s="91">
        <f>COUNTIFS(staff[Date Joined],"&gt;="&amp;'T8. Company Growth'!L42,staff[Date Joined],"&lt;="&amp;(EOMONTH('T8. Company Growth'!L42,0)))</f>
        <v>0</v>
      </c>
      <c r="N42" s="91">
        <f>SUM($M$8:M42)</f>
        <v>182</v>
      </c>
    </row>
    <row r="43" spans="3:14" x14ac:dyDescent="0.25">
      <c r="C43" s="72" t="s">
        <v>266</v>
      </c>
      <c r="D43" s="6">
        <v>2</v>
      </c>
      <c r="L43" s="92">
        <v>45017</v>
      </c>
      <c r="M43" s="91">
        <f>COUNTIFS(staff[Date Joined],"&gt;="&amp;'T8. Company Growth'!L43,staff[Date Joined],"&lt;="&amp;(EOMONTH('T8. Company Growth'!L43,0)))</f>
        <v>1</v>
      </c>
      <c r="N43" s="91">
        <f>SUM($M$8:M43)</f>
        <v>183</v>
      </c>
    </row>
    <row r="44" spans="3:14" x14ac:dyDescent="0.25">
      <c r="C44" s="14" t="s">
        <v>246</v>
      </c>
      <c r="D44" s="6"/>
    </row>
  </sheetData>
  <mergeCells count="2">
    <mergeCell ref="D5:G5"/>
    <mergeCell ref="M5:P5"/>
  </mergeCell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451B8-5AA5-4D5A-A476-6FC85A22CB1A}">
  <sheetPr>
    <tabColor theme="7" tint="0.39997558519241921"/>
  </sheetPr>
  <dimension ref="A1:P26"/>
  <sheetViews>
    <sheetView showGridLines="0" zoomScale="85" zoomScaleNormal="85" workbookViewId="0">
      <selection activeCell="R14" sqref="R14"/>
    </sheetView>
  </sheetViews>
  <sheetFormatPr defaultRowHeight="15" x14ac:dyDescent="0.25"/>
  <cols>
    <col min="1" max="1" width="2.28515625" customWidth="1"/>
    <col min="2" max="2" width="8.140625" customWidth="1"/>
    <col min="3" max="3" width="9" customWidth="1"/>
    <col min="4" max="4" width="7.42578125" customWidth="1"/>
    <col min="5" max="5" width="17.42578125" customWidth="1"/>
    <col min="6" max="6" width="3" customWidth="1"/>
    <col min="7" max="7" width="17.42578125" customWidth="1"/>
    <col min="8" max="8" width="3" customWidth="1"/>
    <col min="9" max="9" width="17.42578125" customWidth="1"/>
    <col min="10" max="10" width="3" customWidth="1"/>
    <col min="11" max="11" width="3.28515625" customWidth="1"/>
    <col min="12" max="12" width="18.28515625" bestFit="1" customWidth="1"/>
    <col min="13" max="13" width="3" customWidth="1"/>
    <col min="14" max="14" width="16.28515625" bestFit="1" customWidth="1"/>
    <col min="15" max="15" width="3" customWidth="1"/>
    <col min="16" max="16" width="18.28515625" bestFit="1" customWidth="1"/>
    <col min="17" max="17" width="18" bestFit="1" customWidth="1"/>
    <col min="18" max="18" width="19" bestFit="1" customWidth="1"/>
  </cols>
  <sheetData>
    <row r="1" spans="1:16" s="9" customFormat="1" ht="33.75" customHeight="1" x14ac:dyDescent="0.4">
      <c r="A1" s="10"/>
      <c r="B1" s="8" t="s">
        <v>276</v>
      </c>
      <c r="F1" s="8"/>
      <c r="G1" s="8"/>
      <c r="J1" s="13"/>
    </row>
    <row r="2" spans="1:16" s="22" customFormat="1" x14ac:dyDescent="0.25">
      <c r="A2" s="10"/>
      <c r="B2" s="23" t="s">
        <v>280</v>
      </c>
    </row>
    <row r="3" spans="1:16" s="12" customFormat="1" x14ac:dyDescent="0.25"/>
    <row r="4" spans="1:16" s="12" customFormat="1" x14ac:dyDescent="0.25"/>
    <row r="6" spans="1:16" x14ac:dyDescent="0.25">
      <c r="E6" s="121" t="s">
        <v>207</v>
      </c>
      <c r="L6" s="122" t="s">
        <v>205</v>
      </c>
    </row>
    <row r="7" spans="1:16" x14ac:dyDescent="0.25">
      <c r="E7" s="121"/>
      <c r="L7" s="122"/>
    </row>
    <row r="9" spans="1:16" ht="93" customHeight="1" x14ac:dyDescent="0.25">
      <c r="E9" s="104">
        <f>COUNTIFS(staff[[#All],[Country]],"NZ")</f>
        <v>91</v>
      </c>
      <c r="G9" s="105">
        <f>COUNTIFS(staff[[#All],[Country]],"NZ",staff[[#All],[Gender]],"female")/E9</f>
        <v>0.47252747252747251</v>
      </c>
      <c r="I9" s="106">
        <f>AVERAGEIFS(staff[Salary],staff[Country],"NZ")</f>
        <v>76978.791208791212</v>
      </c>
      <c r="L9" s="107">
        <f>COUNTIFS(staff[[#All],[Country]],"IND")</f>
        <v>92</v>
      </c>
      <c r="N9" s="108">
        <f>COUNTIFS(staff[[#All],[Country]],"IND",staff[[#All],[Gender]],"female")/L9</f>
        <v>0.46739130434782611</v>
      </c>
      <c r="P9" s="109">
        <f>AVERAGEIFS(staff[Salary],staff[Country],"IND")</f>
        <v>77366.521739130432</v>
      </c>
    </row>
    <row r="11" spans="1:16" x14ac:dyDescent="0.25">
      <c r="E11" s="123" t="s">
        <v>278</v>
      </c>
      <c r="F11" s="123"/>
      <c r="G11" s="123"/>
      <c r="H11" s="123"/>
      <c r="I11" s="123"/>
      <c r="J11" s="123"/>
      <c r="K11" s="123"/>
      <c r="L11" s="123"/>
      <c r="M11" s="123"/>
      <c r="N11" s="123"/>
      <c r="O11" s="123"/>
      <c r="P11" s="123"/>
    </row>
    <row r="12" spans="1:16" x14ac:dyDescent="0.25">
      <c r="E12" s="123"/>
      <c r="F12" s="123"/>
      <c r="G12" s="123"/>
      <c r="H12" s="123"/>
      <c r="I12" s="123"/>
      <c r="J12" s="123"/>
      <c r="K12" s="123"/>
      <c r="L12" s="123"/>
      <c r="M12" s="123"/>
      <c r="N12" s="123"/>
      <c r="O12" s="123"/>
      <c r="P12" s="123"/>
    </row>
    <row r="14" spans="1:16" x14ac:dyDescent="0.25">
      <c r="E14" s="94"/>
      <c r="F14" s="95"/>
      <c r="G14" s="95"/>
      <c r="H14" s="95"/>
      <c r="I14" s="96"/>
      <c r="L14" s="94"/>
      <c r="M14" s="95"/>
      <c r="N14" s="95"/>
      <c r="O14" s="95"/>
      <c r="P14" s="96"/>
    </row>
    <row r="15" spans="1:16" x14ac:dyDescent="0.25">
      <c r="E15" s="97"/>
      <c r="F15" s="18"/>
      <c r="G15" s="18"/>
      <c r="H15" s="18"/>
      <c r="I15" s="98"/>
      <c r="L15" s="97"/>
      <c r="M15" s="18"/>
      <c r="N15" s="18"/>
      <c r="O15" s="18"/>
      <c r="P15" s="98"/>
    </row>
    <row r="16" spans="1:16" x14ac:dyDescent="0.25">
      <c r="E16" s="97"/>
      <c r="F16" s="18"/>
      <c r="G16" s="18"/>
      <c r="H16" s="18"/>
      <c r="I16" s="98"/>
      <c r="L16" s="97"/>
      <c r="M16" s="18"/>
      <c r="N16" s="18"/>
      <c r="O16" s="18"/>
      <c r="P16" s="98"/>
    </row>
    <row r="17" spans="5:16" x14ac:dyDescent="0.25">
      <c r="E17" s="97"/>
      <c r="F17" s="18"/>
      <c r="G17" s="18"/>
      <c r="H17" s="18"/>
      <c r="I17" s="98"/>
      <c r="L17" s="97"/>
      <c r="M17" s="18"/>
      <c r="N17" s="18"/>
      <c r="O17" s="18"/>
      <c r="P17" s="98"/>
    </row>
    <row r="18" spans="5:16" x14ac:dyDescent="0.25">
      <c r="E18" s="97"/>
      <c r="F18" s="18"/>
      <c r="G18" s="18"/>
      <c r="H18" s="18"/>
      <c r="I18" s="98"/>
      <c r="L18" s="97"/>
      <c r="M18" s="18"/>
      <c r="N18" s="18"/>
      <c r="O18" s="18"/>
      <c r="P18" s="98"/>
    </row>
    <row r="19" spans="5:16" x14ac:dyDescent="0.25">
      <c r="E19" s="97"/>
      <c r="F19" s="18"/>
      <c r="G19" s="18"/>
      <c r="H19" s="18"/>
      <c r="I19" s="98"/>
      <c r="L19" s="97"/>
      <c r="M19" s="18"/>
      <c r="N19" s="18"/>
      <c r="O19" s="18"/>
      <c r="P19" s="98"/>
    </row>
    <row r="20" spans="5:16" x14ac:dyDescent="0.25">
      <c r="E20" s="97"/>
      <c r="F20" s="18"/>
      <c r="G20" s="18"/>
      <c r="H20" s="18"/>
      <c r="I20" s="98"/>
      <c r="L20" s="97"/>
      <c r="M20" s="18"/>
      <c r="N20" s="18"/>
      <c r="O20" s="18"/>
      <c r="P20" s="98"/>
    </row>
    <row r="21" spans="5:16" x14ac:dyDescent="0.25">
      <c r="E21" s="97"/>
      <c r="F21" s="18"/>
      <c r="G21" s="18"/>
      <c r="H21" s="18"/>
      <c r="I21" s="98"/>
      <c r="L21" s="97"/>
      <c r="M21" s="18"/>
      <c r="N21" s="18"/>
      <c r="O21" s="18"/>
      <c r="P21" s="98"/>
    </row>
    <row r="22" spans="5:16" x14ac:dyDescent="0.25">
      <c r="E22" s="97"/>
      <c r="F22" s="18"/>
      <c r="G22" s="18"/>
      <c r="H22" s="18"/>
      <c r="I22" s="98"/>
      <c r="L22" s="97"/>
      <c r="M22" s="18"/>
      <c r="N22" s="18"/>
      <c r="O22" s="18"/>
      <c r="P22" s="98"/>
    </row>
    <row r="23" spans="5:16" x14ac:dyDescent="0.25">
      <c r="E23" s="97"/>
      <c r="F23" s="18"/>
      <c r="G23" s="18"/>
      <c r="H23" s="18"/>
      <c r="I23" s="98"/>
      <c r="L23" s="97"/>
      <c r="M23" s="18"/>
      <c r="N23" s="18"/>
      <c r="O23" s="18"/>
      <c r="P23" s="98"/>
    </row>
    <row r="24" spans="5:16" x14ac:dyDescent="0.25">
      <c r="E24" s="97"/>
      <c r="F24" s="18"/>
      <c r="G24" s="18"/>
      <c r="H24" s="18"/>
      <c r="I24" s="98"/>
      <c r="L24" s="97"/>
      <c r="M24" s="18"/>
      <c r="N24" s="18"/>
      <c r="O24" s="18"/>
      <c r="P24" s="98"/>
    </row>
    <row r="25" spans="5:16" x14ac:dyDescent="0.25">
      <c r="E25" s="97"/>
      <c r="F25" s="18"/>
      <c r="G25" s="18"/>
      <c r="H25" s="18"/>
      <c r="I25" s="98"/>
      <c r="L25" s="97"/>
      <c r="M25" s="18"/>
      <c r="N25" s="18"/>
      <c r="O25" s="18"/>
      <c r="P25" s="98"/>
    </row>
    <row r="26" spans="5:16" x14ac:dyDescent="0.25">
      <c r="E26" s="99"/>
      <c r="F26" s="100"/>
      <c r="G26" s="100"/>
      <c r="H26" s="100"/>
      <c r="I26" s="101"/>
      <c r="L26" s="99"/>
      <c r="M26" s="100"/>
      <c r="N26" s="100"/>
      <c r="O26" s="100"/>
      <c r="P26" s="101"/>
    </row>
  </sheetData>
  <mergeCells count="3">
    <mergeCell ref="E6:E7"/>
    <mergeCell ref="L6:L7"/>
    <mergeCell ref="E11:P1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4DEF7-4FC1-411C-AFDB-3203508CEC2B}">
  <dimension ref="A1:L11"/>
  <sheetViews>
    <sheetView showGridLines="0" workbookViewId="0">
      <selection activeCell="K18" sqref="K18"/>
    </sheetView>
  </sheetViews>
  <sheetFormatPr defaultRowHeight="15" x14ac:dyDescent="0.25"/>
  <cols>
    <col min="1" max="1" width="3.140625" customWidth="1"/>
    <col min="3" max="3" width="13.140625" bestFit="1" customWidth="1"/>
    <col min="4" max="4" width="14.42578125" bestFit="1" customWidth="1"/>
    <col min="6" max="6" width="13.140625" bestFit="1" customWidth="1"/>
    <col min="7" max="7" width="14.42578125" bestFit="1" customWidth="1"/>
  </cols>
  <sheetData>
    <row r="1" spans="1:12" s="9" customFormat="1" ht="42.75" customHeight="1" x14ac:dyDescent="0.55000000000000004">
      <c r="A1" s="10"/>
      <c r="B1" s="88" t="s">
        <v>279</v>
      </c>
      <c r="D1" s="8"/>
      <c r="E1" s="8"/>
      <c r="G1" s="8"/>
      <c r="H1" s="8"/>
      <c r="I1" s="8"/>
      <c r="L1" s="13"/>
    </row>
    <row r="2" spans="1:12" s="12" customFormat="1" ht="14.25" customHeight="1" x14ac:dyDescent="0.55000000000000004">
      <c r="C2" s="102"/>
      <c r="D2" s="103"/>
      <c r="E2" s="103"/>
      <c r="G2" s="103"/>
      <c r="H2" s="103"/>
      <c r="I2" s="103"/>
      <c r="L2" s="15"/>
    </row>
    <row r="3" spans="1:12" s="12" customFormat="1" ht="14.25" customHeight="1" x14ac:dyDescent="0.4">
      <c r="C3" s="20" t="s">
        <v>204</v>
      </c>
      <c r="D3" t="s" vm="1">
        <v>207</v>
      </c>
      <c r="E3" s="103"/>
      <c r="F3" s="20" t="s">
        <v>204</v>
      </c>
      <c r="G3" t="s" vm="2">
        <v>205</v>
      </c>
      <c r="H3" s="103"/>
      <c r="I3" s="103"/>
      <c r="L3" s="15"/>
    </row>
    <row r="4" spans="1:12" s="12" customFormat="1" ht="14.25" customHeight="1" x14ac:dyDescent="0.25"/>
    <row r="5" spans="1:12" x14ac:dyDescent="0.25">
      <c r="C5" s="20" t="s">
        <v>247</v>
      </c>
      <c r="D5" t="s">
        <v>224</v>
      </c>
      <c r="F5" s="20" t="s">
        <v>247</v>
      </c>
      <c r="G5" t="s">
        <v>224</v>
      </c>
    </row>
    <row r="6" spans="1:12" x14ac:dyDescent="0.25">
      <c r="C6" s="14" t="s">
        <v>56</v>
      </c>
      <c r="D6" s="6">
        <v>4</v>
      </c>
      <c r="F6" s="14" t="s">
        <v>56</v>
      </c>
      <c r="G6" s="6">
        <v>4</v>
      </c>
    </row>
    <row r="7" spans="1:12" x14ac:dyDescent="0.25">
      <c r="C7" s="14" t="s">
        <v>19</v>
      </c>
      <c r="D7" s="6">
        <v>14</v>
      </c>
      <c r="F7" s="14" t="s">
        <v>19</v>
      </c>
      <c r="G7" s="6">
        <v>14</v>
      </c>
    </row>
    <row r="8" spans="1:12" x14ac:dyDescent="0.25">
      <c r="C8" s="14" t="s">
        <v>21</v>
      </c>
      <c r="D8" s="6">
        <v>19</v>
      </c>
      <c r="F8" s="14" t="s">
        <v>21</v>
      </c>
      <c r="G8" s="6">
        <v>19</v>
      </c>
    </row>
    <row r="9" spans="1:12" x14ac:dyDescent="0.25">
      <c r="C9" s="14" t="s">
        <v>9</v>
      </c>
      <c r="D9" s="6">
        <v>27</v>
      </c>
      <c r="F9" s="14" t="s">
        <v>12</v>
      </c>
      <c r="G9" s="6">
        <v>27</v>
      </c>
    </row>
    <row r="10" spans="1:12" x14ac:dyDescent="0.25">
      <c r="C10" s="14" t="s">
        <v>12</v>
      </c>
      <c r="D10" s="6">
        <v>27</v>
      </c>
      <c r="F10" s="14" t="s">
        <v>9</v>
      </c>
      <c r="G10" s="6">
        <v>28</v>
      </c>
    </row>
    <row r="11" spans="1:12" x14ac:dyDescent="0.25">
      <c r="C11" s="14" t="s">
        <v>246</v>
      </c>
      <c r="D11" s="6">
        <v>91</v>
      </c>
      <c r="F11" s="14" t="s">
        <v>246</v>
      </c>
      <c r="G11" s="6">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dimension ref="B2:H114"/>
  <sheetViews>
    <sheetView workbookViewId="0">
      <selection activeCell="B11" sqref="B11"/>
    </sheetView>
  </sheetViews>
  <sheetFormatPr defaultRowHeight="15" x14ac:dyDescent="0.25"/>
  <cols>
    <col min="2" max="2" width="30" bestFit="1" customWidth="1"/>
    <col min="3" max="3" width="10" bestFit="1" customWidth="1"/>
    <col min="4" max="4" width="6.7109375" bestFit="1" customWidth="1"/>
    <col min="5" max="5" width="14.28515625" bestFit="1" customWidth="1"/>
    <col min="6" max="6" width="13.7109375" bestFit="1" customWidth="1"/>
    <col min="7" max="7" width="14" bestFit="1" customWidth="1"/>
    <col min="8" max="8" width="8.5703125" bestFit="1"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C13" t="s">
        <v>8</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671BC-E5C4-4B67-B25F-5F3A522F56F7}">
  <sheetPr>
    <tabColor theme="7"/>
  </sheetPr>
  <dimension ref="A1:L184"/>
  <sheetViews>
    <sheetView topLeftCell="A85" zoomScaleNormal="100" workbookViewId="0">
      <selection activeCell="J123" sqref="J123"/>
    </sheetView>
  </sheetViews>
  <sheetFormatPr defaultRowHeight="15" x14ac:dyDescent="0.25"/>
  <cols>
    <col min="1" max="1" width="30" bestFit="1" customWidth="1"/>
    <col min="2" max="2" width="10" bestFit="1" customWidth="1"/>
    <col min="3" max="3" width="6.7109375" bestFit="1" customWidth="1"/>
    <col min="4" max="4" width="14.28515625" bestFit="1" customWidth="1"/>
    <col min="5" max="5" width="13.7109375" bestFit="1" customWidth="1"/>
    <col min="6" max="6" width="12.7109375" customWidth="1"/>
    <col min="7" max="7" width="11.85546875" bestFit="1" customWidth="1"/>
    <col min="8" max="8" width="10.28515625" bestFit="1" customWidth="1"/>
    <col min="9" max="9" width="10.7109375" bestFit="1" customWidth="1"/>
    <col min="10" max="10" width="10.5703125" bestFit="1" customWidth="1"/>
    <col min="11" max="11" width="15.140625" bestFit="1" customWidth="1"/>
    <col min="12" max="12" width="19" bestFit="1" customWidth="1"/>
  </cols>
  <sheetData>
    <row r="1" spans="1:12" x14ac:dyDescent="0.25">
      <c r="A1" s="6" t="s">
        <v>0</v>
      </c>
      <c r="B1" s="6" t="s">
        <v>1</v>
      </c>
      <c r="C1" s="6" t="s">
        <v>3</v>
      </c>
      <c r="D1" s="6" t="s">
        <v>6</v>
      </c>
      <c r="E1" s="6" t="s">
        <v>4</v>
      </c>
      <c r="F1" s="6" t="s">
        <v>2</v>
      </c>
      <c r="G1" s="6" t="s">
        <v>5</v>
      </c>
      <c r="H1" s="6" t="s">
        <v>204</v>
      </c>
      <c r="I1" t="s">
        <v>216</v>
      </c>
      <c r="J1" t="s">
        <v>230</v>
      </c>
      <c r="K1" t="s">
        <v>244</v>
      </c>
      <c r="L1" t="s">
        <v>251</v>
      </c>
    </row>
    <row r="2" spans="1:12" x14ac:dyDescent="0.25">
      <c r="A2" t="s">
        <v>179</v>
      </c>
      <c r="B2" t="s">
        <v>8</v>
      </c>
      <c r="C2">
        <v>21</v>
      </c>
      <c r="D2" t="s">
        <v>16</v>
      </c>
      <c r="E2" s="7">
        <v>44619</v>
      </c>
      <c r="F2" t="s">
        <v>12</v>
      </c>
      <c r="G2" s="5">
        <v>33920</v>
      </c>
      <c r="H2" t="s">
        <v>205</v>
      </c>
      <c r="I2" s="11">
        <f ca="1">(TODAY()-staff[[#This Row],[Date Joined]])/365</f>
        <v>2.3315068493150686</v>
      </c>
      <c r="J2" s="71">
        <f ca="1">IF(staff[[#This Row],[Tenure]]&gt;2,3%,2%)*staff[[#This Row],[Salary]]</f>
        <v>1017.5999999999999</v>
      </c>
      <c r="K2" s="5">
        <v>33920</v>
      </c>
      <c r="L2">
        <f>VLOOKUP(staff[[#This Row],[Rating]],'RATING QUANTIFIED'!$C$4:$D$8,2,0)</f>
        <v>3</v>
      </c>
    </row>
    <row r="3" spans="1:12" x14ac:dyDescent="0.25">
      <c r="A3" t="s">
        <v>86</v>
      </c>
      <c r="B3" t="s">
        <v>8</v>
      </c>
      <c r="C3">
        <v>21</v>
      </c>
      <c r="D3" t="s">
        <v>16</v>
      </c>
      <c r="E3" s="7">
        <v>44678</v>
      </c>
      <c r="F3" t="s">
        <v>12</v>
      </c>
      <c r="G3" s="5">
        <v>33920</v>
      </c>
      <c r="H3" t="s">
        <v>207</v>
      </c>
      <c r="I3" s="11">
        <f ca="1">(TODAY()-staff[[#This Row],[Date Joined]])/365</f>
        <v>2.1698630136986301</v>
      </c>
      <c r="J3" s="71">
        <f ca="1">IF(staff[[#This Row],[Tenure]]&gt;2,3%,2%)*staff[[#This Row],[Salary]]</f>
        <v>1017.5999999999999</v>
      </c>
      <c r="K3" s="5">
        <v>33920</v>
      </c>
      <c r="L3">
        <f>VLOOKUP(staff[[#This Row],[Rating]],'RATING QUANTIFIED'!$C$4:$D$8,2,0)</f>
        <v>3</v>
      </c>
    </row>
    <row r="4" spans="1:12" x14ac:dyDescent="0.25">
      <c r="A4" t="s">
        <v>137</v>
      </c>
      <c r="B4" t="s">
        <v>8</v>
      </c>
      <c r="C4">
        <v>29</v>
      </c>
      <c r="D4" t="s">
        <v>16</v>
      </c>
      <c r="E4" s="7">
        <v>43962</v>
      </c>
      <c r="F4" t="s">
        <v>12</v>
      </c>
      <c r="G4" s="5">
        <v>34980</v>
      </c>
      <c r="H4" t="s">
        <v>205</v>
      </c>
      <c r="I4" s="11">
        <f ca="1">(TODAY()-staff[[#This Row],[Date Joined]])/365</f>
        <v>4.1315068493150688</v>
      </c>
      <c r="J4" s="71">
        <f ca="1">IF(staff[[#This Row],[Tenure]]&gt;2,3%,2%)*staff[[#This Row],[Salary]]</f>
        <v>1049.3999999999999</v>
      </c>
      <c r="K4" s="5">
        <v>34980</v>
      </c>
      <c r="L4">
        <f>VLOOKUP(staff[[#This Row],[Rating]],'RATING QUANTIFIED'!$C$4:$D$8,2,0)</f>
        <v>3</v>
      </c>
    </row>
    <row r="5" spans="1:12" x14ac:dyDescent="0.25">
      <c r="A5" t="s">
        <v>44</v>
      </c>
      <c r="B5" t="s">
        <v>8</v>
      </c>
      <c r="C5">
        <v>29</v>
      </c>
      <c r="D5" t="s">
        <v>16</v>
      </c>
      <c r="E5" s="7">
        <v>44023</v>
      </c>
      <c r="F5" t="s">
        <v>12</v>
      </c>
      <c r="G5" s="5">
        <v>34980</v>
      </c>
      <c r="H5" t="s">
        <v>207</v>
      </c>
      <c r="I5" s="11">
        <f ca="1">(TODAY()-staff[[#This Row],[Date Joined]])/365</f>
        <v>3.9643835616438357</v>
      </c>
      <c r="J5" s="71">
        <f ca="1">IF(staff[[#This Row],[Tenure]]&gt;2,3%,2%)*staff[[#This Row],[Salary]]</f>
        <v>1049.3999999999999</v>
      </c>
      <c r="K5" s="5">
        <v>34980</v>
      </c>
      <c r="L5">
        <f>VLOOKUP(staff[[#This Row],[Rating]],'RATING QUANTIFIED'!$C$4:$D$8,2,0)</f>
        <v>3</v>
      </c>
    </row>
    <row r="6" spans="1:12" x14ac:dyDescent="0.25">
      <c r="A6" s="6" t="s">
        <v>192</v>
      </c>
      <c r="B6" s="6" t="s">
        <v>15</v>
      </c>
      <c r="C6" s="6">
        <v>43</v>
      </c>
      <c r="D6" s="6" t="s">
        <v>16</v>
      </c>
      <c r="E6" s="7">
        <v>44558</v>
      </c>
      <c r="F6" s="6" t="s">
        <v>19</v>
      </c>
      <c r="G6" s="5">
        <v>36040</v>
      </c>
      <c r="H6" s="6" t="s">
        <v>205</v>
      </c>
      <c r="I6" s="11">
        <f ca="1">(TODAY()-staff[[#This Row],[Date Joined]])/365</f>
        <v>2.4986301369863013</v>
      </c>
      <c r="J6" s="71">
        <f ca="1">IF(staff[[#This Row],[Tenure]]&gt;2,3%,2%)*staff[[#This Row],[Salary]]</f>
        <v>1081.2</v>
      </c>
      <c r="K6" s="5">
        <v>36040</v>
      </c>
      <c r="L6">
        <f>VLOOKUP(staff[[#This Row],[Rating]],'RATING QUANTIFIED'!$C$4:$D$8,2,0)</f>
        <v>3</v>
      </c>
    </row>
    <row r="7" spans="1:12" x14ac:dyDescent="0.25">
      <c r="A7" t="s">
        <v>99</v>
      </c>
      <c r="B7" t="s">
        <v>15</v>
      </c>
      <c r="C7">
        <v>43</v>
      </c>
      <c r="D7" t="s">
        <v>16</v>
      </c>
      <c r="E7" s="7">
        <v>44620</v>
      </c>
      <c r="F7" t="s">
        <v>19</v>
      </c>
      <c r="G7" s="5">
        <v>36040</v>
      </c>
      <c r="H7" t="s">
        <v>207</v>
      </c>
      <c r="I7" s="11">
        <f ca="1">(TODAY()-staff[[#This Row],[Date Joined]])/365</f>
        <v>2.3287671232876712</v>
      </c>
      <c r="J7" s="71">
        <f ca="1">IF(staff[[#This Row],[Tenure]]&gt;2,3%,2%)*staff[[#This Row],[Salary]]</f>
        <v>1081.2</v>
      </c>
      <c r="K7" s="5">
        <v>36040</v>
      </c>
      <c r="L7">
        <f>VLOOKUP(staff[[#This Row],[Rating]],'RATING QUANTIFIED'!$C$4:$D$8,2,0)</f>
        <v>3</v>
      </c>
    </row>
    <row r="8" spans="1:12" x14ac:dyDescent="0.25">
      <c r="A8" s="6" t="s">
        <v>140</v>
      </c>
      <c r="B8" s="6" t="s">
        <v>15</v>
      </c>
      <c r="C8" s="6">
        <v>21</v>
      </c>
      <c r="D8" s="6" t="s">
        <v>16</v>
      </c>
      <c r="E8" s="7">
        <v>44042</v>
      </c>
      <c r="F8" s="6" t="s">
        <v>9</v>
      </c>
      <c r="G8" s="5">
        <v>37920</v>
      </c>
      <c r="H8" s="6" t="s">
        <v>205</v>
      </c>
      <c r="I8" s="11">
        <f ca="1">(TODAY()-staff[[#This Row],[Date Joined]])/365</f>
        <v>3.9123287671232876</v>
      </c>
      <c r="J8" s="71">
        <f ca="1">IF(staff[[#This Row],[Tenure]]&gt;2,3%,2%)*staff[[#This Row],[Salary]]</f>
        <v>1137.5999999999999</v>
      </c>
      <c r="K8" s="5">
        <v>37920</v>
      </c>
      <c r="L8">
        <f>VLOOKUP(staff[[#This Row],[Rating]],'RATING QUANTIFIED'!$C$4:$D$8,2,0)</f>
        <v>3</v>
      </c>
    </row>
    <row r="9" spans="1:12" x14ac:dyDescent="0.25">
      <c r="A9" t="s">
        <v>47</v>
      </c>
      <c r="B9" t="s">
        <v>15</v>
      </c>
      <c r="C9">
        <v>21</v>
      </c>
      <c r="D9" t="s">
        <v>16</v>
      </c>
      <c r="E9" s="7">
        <v>44104</v>
      </c>
      <c r="F9" t="s">
        <v>9</v>
      </c>
      <c r="G9" s="5">
        <v>37920</v>
      </c>
      <c r="H9" t="s">
        <v>207</v>
      </c>
      <c r="I9" s="11">
        <f ca="1">(TODAY()-staff[[#This Row],[Date Joined]])/365</f>
        <v>3.7424657534246575</v>
      </c>
      <c r="J9" s="71">
        <f ca="1">IF(staff[[#This Row],[Tenure]]&gt;2,3%,2%)*staff[[#This Row],[Salary]]</f>
        <v>1137.5999999999999</v>
      </c>
      <c r="K9" s="5">
        <v>37920</v>
      </c>
      <c r="L9">
        <f>VLOOKUP(staff[[#This Row],[Rating]],'RATING QUANTIFIED'!$C$4:$D$8,2,0)</f>
        <v>3</v>
      </c>
    </row>
    <row r="10" spans="1:12" x14ac:dyDescent="0.25">
      <c r="A10" t="s">
        <v>149</v>
      </c>
      <c r="B10" t="s">
        <v>15</v>
      </c>
      <c r="C10">
        <v>35</v>
      </c>
      <c r="D10" t="s">
        <v>16</v>
      </c>
      <c r="E10" s="7">
        <v>44666</v>
      </c>
      <c r="F10" t="s">
        <v>9</v>
      </c>
      <c r="G10" s="5">
        <v>40400</v>
      </c>
      <c r="H10" t="s">
        <v>205</v>
      </c>
      <c r="I10" s="11">
        <f ca="1">(TODAY()-staff[[#This Row],[Date Joined]])/365</f>
        <v>2.2027397260273971</v>
      </c>
      <c r="J10" s="71">
        <f ca="1">IF(staff[[#This Row],[Tenure]]&gt;2,3%,2%)*staff[[#This Row],[Salary]]</f>
        <v>1212</v>
      </c>
      <c r="K10" s="5">
        <v>40400</v>
      </c>
      <c r="L10">
        <f>VLOOKUP(staff[[#This Row],[Rating]],'RATING QUANTIFIED'!$C$4:$D$8,2,0)</f>
        <v>3</v>
      </c>
    </row>
    <row r="11" spans="1:12" x14ac:dyDescent="0.25">
      <c r="A11" t="s">
        <v>57</v>
      </c>
      <c r="B11" t="s">
        <v>15</v>
      </c>
      <c r="C11">
        <v>35</v>
      </c>
      <c r="D11" t="s">
        <v>16</v>
      </c>
      <c r="E11" s="7">
        <v>44727</v>
      </c>
      <c r="F11" t="s">
        <v>9</v>
      </c>
      <c r="G11" s="5">
        <v>40400</v>
      </c>
      <c r="H11" t="s">
        <v>207</v>
      </c>
      <c r="I11" s="11">
        <f ca="1">(TODAY()-staff[[#This Row],[Date Joined]])/365</f>
        <v>2.0356164383561643</v>
      </c>
      <c r="J11" s="71">
        <f ca="1">IF(staff[[#This Row],[Tenure]]&gt;2,3%,2%)*staff[[#This Row],[Salary]]</f>
        <v>1212</v>
      </c>
      <c r="K11" s="5">
        <v>40400</v>
      </c>
      <c r="L11">
        <f>VLOOKUP(staff[[#This Row],[Rating]],'RATING QUANTIFIED'!$C$4:$D$8,2,0)</f>
        <v>3</v>
      </c>
    </row>
    <row r="12" spans="1:12" x14ac:dyDescent="0.25">
      <c r="A12" t="s">
        <v>158</v>
      </c>
      <c r="B12" t="s">
        <v>8</v>
      </c>
      <c r="C12">
        <v>32</v>
      </c>
      <c r="D12" t="s">
        <v>16</v>
      </c>
      <c r="E12" s="7">
        <v>44549</v>
      </c>
      <c r="F12" t="s">
        <v>9</v>
      </c>
      <c r="G12" s="5">
        <v>41570</v>
      </c>
      <c r="H12" t="s">
        <v>205</v>
      </c>
      <c r="I12" s="11">
        <f ca="1">(TODAY()-staff[[#This Row],[Date Joined]])/365</f>
        <v>2.5232876712328767</v>
      </c>
      <c r="J12" s="71">
        <f ca="1">IF(staff[[#This Row],[Tenure]]&gt;2,3%,2%)*staff[[#This Row],[Salary]]</f>
        <v>1247.0999999999999</v>
      </c>
      <c r="K12" s="5">
        <v>41570</v>
      </c>
      <c r="L12">
        <f>VLOOKUP(staff[[#This Row],[Rating]],'RATING QUANTIFIED'!$C$4:$D$8,2,0)</f>
        <v>3</v>
      </c>
    </row>
    <row r="13" spans="1:12" x14ac:dyDescent="0.25">
      <c r="A13" t="s">
        <v>66</v>
      </c>
      <c r="B13" t="s">
        <v>8</v>
      </c>
      <c r="C13">
        <v>32</v>
      </c>
      <c r="D13" t="s">
        <v>16</v>
      </c>
      <c r="E13" s="7">
        <v>44611</v>
      </c>
      <c r="F13" t="s">
        <v>9</v>
      </c>
      <c r="G13" s="5">
        <v>41570</v>
      </c>
      <c r="H13" t="s">
        <v>207</v>
      </c>
      <c r="I13" s="11">
        <f ca="1">(TODAY()-staff[[#This Row],[Date Joined]])/365</f>
        <v>2.3534246575342466</v>
      </c>
      <c r="J13" s="71">
        <f ca="1">IF(staff[[#This Row],[Tenure]]&gt;2,3%,2%)*staff[[#This Row],[Salary]]</f>
        <v>1247.0999999999999</v>
      </c>
      <c r="K13" s="5">
        <v>41570</v>
      </c>
      <c r="L13">
        <f>VLOOKUP(staff[[#This Row],[Rating]],'RATING QUANTIFIED'!$C$4:$D$8,2,0)</f>
        <v>3</v>
      </c>
    </row>
    <row r="14" spans="1:12" x14ac:dyDescent="0.25">
      <c r="A14" t="s">
        <v>124</v>
      </c>
      <c r="B14" t="s">
        <v>8</v>
      </c>
      <c r="C14">
        <v>31</v>
      </c>
      <c r="D14" t="s">
        <v>16</v>
      </c>
      <c r="E14" s="7">
        <v>44084</v>
      </c>
      <c r="F14" t="s">
        <v>12</v>
      </c>
      <c r="G14" s="5">
        <v>41980</v>
      </c>
      <c r="H14" t="s">
        <v>205</v>
      </c>
      <c r="I14" s="11">
        <f ca="1">(TODAY()-staff[[#This Row],[Date Joined]])/365</f>
        <v>3.7972602739726029</v>
      </c>
      <c r="J14" s="71">
        <f ca="1">IF(staff[[#This Row],[Tenure]]&gt;2,3%,2%)*staff[[#This Row],[Salary]]</f>
        <v>1259.3999999999999</v>
      </c>
      <c r="K14" s="5">
        <v>41980</v>
      </c>
      <c r="L14">
        <f>VLOOKUP(staff[[#This Row],[Rating]],'RATING QUANTIFIED'!$C$4:$D$8,2,0)</f>
        <v>3</v>
      </c>
    </row>
    <row r="15" spans="1:12" x14ac:dyDescent="0.25">
      <c r="A15" t="s">
        <v>30</v>
      </c>
      <c r="B15" t="s">
        <v>8</v>
      </c>
      <c r="C15">
        <v>31</v>
      </c>
      <c r="D15" t="s">
        <v>16</v>
      </c>
      <c r="E15" s="7">
        <v>44145</v>
      </c>
      <c r="F15" t="s">
        <v>12</v>
      </c>
      <c r="G15" s="5">
        <v>41980</v>
      </c>
      <c r="H15" t="s">
        <v>207</v>
      </c>
      <c r="I15" s="11">
        <f ca="1">(TODAY()-staff[[#This Row],[Date Joined]])/365</f>
        <v>3.6301369863013697</v>
      </c>
      <c r="J15" s="71">
        <f ca="1">IF(staff[[#This Row],[Tenure]]&gt;2,3%,2%)*staff[[#This Row],[Salary]]</f>
        <v>1259.3999999999999</v>
      </c>
      <c r="K15" s="5">
        <v>41980</v>
      </c>
      <c r="L15">
        <f>VLOOKUP(staff[[#This Row],[Rating]],'RATING QUANTIFIED'!$C$4:$D$8,2,0)</f>
        <v>3</v>
      </c>
    </row>
    <row r="16" spans="1:12" x14ac:dyDescent="0.25">
      <c r="A16" t="s">
        <v>172</v>
      </c>
      <c r="B16" t="s">
        <v>15</v>
      </c>
      <c r="C16">
        <v>28</v>
      </c>
      <c r="D16" t="s">
        <v>42</v>
      </c>
      <c r="E16" s="7">
        <v>44758</v>
      </c>
      <c r="F16" t="s">
        <v>19</v>
      </c>
      <c r="G16" s="5">
        <v>43510</v>
      </c>
      <c r="H16" t="s">
        <v>205</v>
      </c>
      <c r="I16" s="11">
        <f ca="1">(TODAY()-staff[[#This Row],[Date Joined]])/365</f>
        <v>1.9506849315068493</v>
      </c>
      <c r="J16" s="71">
        <f ca="1">IF(staff[[#This Row],[Tenure]]&gt;2,3%,2%)*staff[[#This Row],[Salary]]</f>
        <v>870.2</v>
      </c>
      <c r="K16" s="5">
        <v>43510</v>
      </c>
      <c r="L16">
        <f>VLOOKUP(staff[[#This Row],[Rating]],'RATING QUANTIFIED'!$C$4:$D$8,2,0)</f>
        <v>1</v>
      </c>
    </row>
    <row r="17" spans="1:12" x14ac:dyDescent="0.25">
      <c r="A17" t="s">
        <v>80</v>
      </c>
      <c r="B17" t="s">
        <v>15</v>
      </c>
      <c r="C17">
        <v>28</v>
      </c>
      <c r="D17" t="s">
        <v>42</v>
      </c>
      <c r="E17" s="7">
        <v>44820</v>
      </c>
      <c r="F17" t="s">
        <v>19</v>
      </c>
      <c r="G17" s="5">
        <v>43510</v>
      </c>
      <c r="H17" t="s">
        <v>207</v>
      </c>
      <c r="I17" s="11">
        <f ca="1">(TODAY()-staff[[#This Row],[Date Joined]])/365</f>
        <v>1.7808219178082192</v>
      </c>
      <c r="J17" s="71">
        <f ca="1">IF(staff[[#This Row],[Tenure]]&gt;2,3%,2%)*staff[[#This Row],[Salary]]</f>
        <v>870.2</v>
      </c>
      <c r="K17" s="5">
        <v>43510</v>
      </c>
      <c r="L17">
        <f>VLOOKUP(staff[[#This Row],[Rating]],'RATING QUANTIFIED'!$C$4:$D$8,2,0)</f>
        <v>1</v>
      </c>
    </row>
    <row r="18" spans="1:12" x14ac:dyDescent="0.25">
      <c r="A18" s="6" t="s">
        <v>176</v>
      </c>
      <c r="B18" s="6" t="s">
        <v>8</v>
      </c>
      <c r="C18" s="6">
        <v>32</v>
      </c>
      <c r="D18" s="6" t="s">
        <v>13</v>
      </c>
      <c r="E18" s="7">
        <v>44293</v>
      </c>
      <c r="F18" s="6" t="s">
        <v>12</v>
      </c>
      <c r="G18" s="5">
        <v>43840</v>
      </c>
      <c r="H18" s="6" t="s">
        <v>205</v>
      </c>
      <c r="I18" s="11">
        <f ca="1">(TODAY()-staff[[#This Row],[Date Joined]])/365</f>
        <v>3.2246575342465755</v>
      </c>
      <c r="J18" s="71">
        <f ca="1">IF(staff[[#This Row],[Tenure]]&gt;2,3%,2%)*staff[[#This Row],[Salary]]</f>
        <v>1315.2</v>
      </c>
      <c r="K18" s="5">
        <v>43840</v>
      </c>
      <c r="L18">
        <f>VLOOKUP(staff[[#This Row],[Rating]],'RATING QUANTIFIED'!$C$4:$D$8,2,0)</f>
        <v>4</v>
      </c>
    </row>
    <row r="19" spans="1:12" x14ac:dyDescent="0.25">
      <c r="A19" t="s">
        <v>84</v>
      </c>
      <c r="B19" t="s">
        <v>8</v>
      </c>
      <c r="C19">
        <v>32</v>
      </c>
      <c r="D19" t="s">
        <v>13</v>
      </c>
      <c r="E19" s="7">
        <v>44354</v>
      </c>
      <c r="F19" t="s">
        <v>12</v>
      </c>
      <c r="G19" s="5">
        <v>43840</v>
      </c>
      <c r="H19" t="s">
        <v>207</v>
      </c>
      <c r="I19" s="11">
        <f ca="1">(TODAY()-staff[[#This Row],[Date Joined]])/365</f>
        <v>3.0575342465753423</v>
      </c>
      <c r="J19" s="71">
        <f ca="1">IF(staff[[#This Row],[Tenure]]&gt;2,3%,2%)*staff[[#This Row],[Salary]]</f>
        <v>1315.2</v>
      </c>
      <c r="K19" s="5">
        <v>43840</v>
      </c>
      <c r="L19">
        <f>VLOOKUP(staff[[#This Row],[Rating]],'RATING QUANTIFIED'!$C$4:$D$8,2,0)</f>
        <v>4</v>
      </c>
    </row>
    <row r="20" spans="1:12" x14ac:dyDescent="0.25">
      <c r="A20" s="6" t="s">
        <v>201</v>
      </c>
      <c r="B20" s="6" t="s">
        <v>8</v>
      </c>
      <c r="C20" s="6">
        <v>32</v>
      </c>
      <c r="D20" s="6" t="s">
        <v>16</v>
      </c>
      <c r="E20" s="7">
        <v>44339</v>
      </c>
      <c r="F20" s="6" t="s">
        <v>56</v>
      </c>
      <c r="G20" s="5">
        <v>45510</v>
      </c>
      <c r="H20" s="6" t="s">
        <v>205</v>
      </c>
      <c r="I20" s="11">
        <f ca="1">(TODAY()-staff[[#This Row],[Date Joined]])/365</f>
        <v>3.0986301369863014</v>
      </c>
      <c r="J20" s="71">
        <f ca="1">IF(staff[[#This Row],[Tenure]]&gt;2,3%,2%)*staff[[#This Row],[Salary]]</f>
        <v>1365.3</v>
      </c>
      <c r="K20" s="5">
        <v>45510</v>
      </c>
      <c r="L20">
        <f>VLOOKUP(staff[[#This Row],[Rating]],'RATING QUANTIFIED'!$C$4:$D$8,2,0)</f>
        <v>3</v>
      </c>
    </row>
    <row r="21" spans="1:12" x14ac:dyDescent="0.25">
      <c r="A21" t="s">
        <v>108</v>
      </c>
      <c r="B21" t="s">
        <v>8</v>
      </c>
      <c r="C21">
        <v>32</v>
      </c>
      <c r="D21" t="s">
        <v>16</v>
      </c>
      <c r="E21" s="7">
        <v>44400</v>
      </c>
      <c r="F21" t="s">
        <v>56</v>
      </c>
      <c r="G21" s="5">
        <v>45510</v>
      </c>
      <c r="H21" t="s">
        <v>207</v>
      </c>
      <c r="I21" s="11">
        <f ca="1">(TODAY()-staff[[#This Row],[Date Joined]])/365</f>
        <v>2.9315068493150687</v>
      </c>
      <c r="J21" s="71">
        <f ca="1">IF(staff[[#This Row],[Tenure]]&gt;2,3%,2%)*staff[[#This Row],[Salary]]</f>
        <v>1365.3</v>
      </c>
      <c r="K21" s="5">
        <v>45510</v>
      </c>
      <c r="L21">
        <f>VLOOKUP(staff[[#This Row],[Rating]],'RATING QUANTIFIED'!$C$4:$D$8,2,0)</f>
        <v>3</v>
      </c>
    </row>
    <row r="22" spans="1:12" x14ac:dyDescent="0.25">
      <c r="A22" t="s">
        <v>151</v>
      </c>
      <c r="B22" t="s">
        <v>15</v>
      </c>
      <c r="C22">
        <v>26</v>
      </c>
      <c r="D22" t="s">
        <v>16</v>
      </c>
      <c r="E22" s="7">
        <v>44164</v>
      </c>
      <c r="F22" t="s">
        <v>9</v>
      </c>
      <c r="G22" s="5">
        <v>47360</v>
      </c>
      <c r="H22" t="s">
        <v>205</v>
      </c>
      <c r="I22" s="11">
        <f ca="1">(TODAY()-staff[[#This Row],[Date Joined]])/365</f>
        <v>3.5780821917808221</v>
      </c>
      <c r="J22" s="71">
        <f ca="1">IF(staff[[#This Row],[Tenure]]&gt;2,3%,2%)*staff[[#This Row],[Salary]]</f>
        <v>1420.8</v>
      </c>
      <c r="K22" s="5">
        <v>47360</v>
      </c>
      <c r="L22">
        <f>VLOOKUP(staff[[#This Row],[Rating]],'RATING QUANTIFIED'!$C$4:$D$8,2,0)</f>
        <v>3</v>
      </c>
    </row>
    <row r="23" spans="1:12" x14ac:dyDescent="0.25">
      <c r="A23" t="s">
        <v>59</v>
      </c>
      <c r="B23" t="s">
        <v>15</v>
      </c>
      <c r="C23">
        <v>26</v>
      </c>
      <c r="D23" t="s">
        <v>16</v>
      </c>
      <c r="E23" s="7">
        <v>44225</v>
      </c>
      <c r="F23" t="s">
        <v>9</v>
      </c>
      <c r="G23" s="5">
        <v>47360</v>
      </c>
      <c r="H23" t="s">
        <v>207</v>
      </c>
      <c r="I23" s="11">
        <f ca="1">(TODAY()-staff[[#This Row],[Date Joined]])/365</f>
        <v>3.4109589041095889</v>
      </c>
      <c r="J23" s="71">
        <f ca="1">IF(staff[[#This Row],[Tenure]]&gt;2,3%,2%)*staff[[#This Row],[Salary]]</f>
        <v>1420.8</v>
      </c>
      <c r="K23" s="5">
        <v>47360</v>
      </c>
      <c r="L23">
        <f>VLOOKUP(staff[[#This Row],[Rating]],'RATING QUANTIFIED'!$C$4:$D$8,2,0)</f>
        <v>3</v>
      </c>
    </row>
    <row r="24" spans="1:12" x14ac:dyDescent="0.25">
      <c r="A24" s="6" t="s">
        <v>123</v>
      </c>
      <c r="B24" s="6" t="s">
        <v>15</v>
      </c>
      <c r="C24" s="6">
        <v>28</v>
      </c>
      <c r="D24" s="6" t="s">
        <v>13</v>
      </c>
      <c r="E24" s="7">
        <v>43980</v>
      </c>
      <c r="F24" s="6" t="s">
        <v>21</v>
      </c>
      <c r="G24" s="5">
        <v>48170</v>
      </c>
      <c r="H24" s="6" t="s">
        <v>205</v>
      </c>
      <c r="I24" s="11">
        <f ca="1">(TODAY()-staff[[#This Row],[Date Joined]])/365</f>
        <v>4.0821917808219181</v>
      </c>
      <c r="J24" s="71">
        <f ca="1">IF(staff[[#This Row],[Tenure]]&gt;2,3%,2%)*staff[[#This Row],[Salary]]</f>
        <v>1445.1</v>
      </c>
      <c r="K24" s="5">
        <v>48170</v>
      </c>
      <c r="L24">
        <f>VLOOKUP(staff[[#This Row],[Rating]],'RATING QUANTIFIED'!$C$4:$D$8,2,0)</f>
        <v>4</v>
      </c>
    </row>
    <row r="25" spans="1:12" x14ac:dyDescent="0.25">
      <c r="A25" t="s">
        <v>29</v>
      </c>
      <c r="B25" t="s">
        <v>15</v>
      </c>
      <c r="C25">
        <v>28</v>
      </c>
      <c r="D25" t="s">
        <v>13</v>
      </c>
      <c r="E25" s="7">
        <v>44041</v>
      </c>
      <c r="F25" t="s">
        <v>21</v>
      </c>
      <c r="G25" s="5">
        <v>48170</v>
      </c>
      <c r="H25" t="s">
        <v>207</v>
      </c>
      <c r="I25" s="11">
        <f ca="1">(TODAY()-staff[[#This Row],[Date Joined]])/365</f>
        <v>3.9150684931506849</v>
      </c>
      <c r="J25" s="71">
        <f ca="1">IF(staff[[#This Row],[Tenure]]&gt;2,3%,2%)*staff[[#This Row],[Salary]]</f>
        <v>1445.1</v>
      </c>
      <c r="K25" s="5">
        <v>48170</v>
      </c>
      <c r="L25">
        <f>VLOOKUP(staff[[#This Row],[Rating]],'RATING QUANTIFIED'!$C$4:$D$8,2,0)</f>
        <v>4</v>
      </c>
    </row>
    <row r="26" spans="1:12" x14ac:dyDescent="0.25">
      <c r="A26" t="s">
        <v>144</v>
      </c>
      <c r="B26" t="s">
        <v>15</v>
      </c>
      <c r="C26">
        <v>33</v>
      </c>
      <c r="D26" t="s">
        <v>13</v>
      </c>
      <c r="E26" s="7">
        <v>44640</v>
      </c>
      <c r="F26" t="s">
        <v>9</v>
      </c>
      <c r="G26" s="5">
        <v>48530</v>
      </c>
      <c r="H26" t="s">
        <v>205</v>
      </c>
      <c r="I26" s="11">
        <f ca="1">(TODAY()-staff[[#This Row],[Date Joined]])/365</f>
        <v>2.2739726027397262</v>
      </c>
      <c r="J26" s="71">
        <f ca="1">IF(staff[[#This Row],[Tenure]]&gt;2,3%,2%)*staff[[#This Row],[Salary]]</f>
        <v>1455.8999999999999</v>
      </c>
      <c r="K26" s="5">
        <v>48530</v>
      </c>
      <c r="L26">
        <f>VLOOKUP(staff[[#This Row],[Rating]],'RATING QUANTIFIED'!$C$4:$D$8,2,0)</f>
        <v>4</v>
      </c>
    </row>
    <row r="27" spans="1:12" x14ac:dyDescent="0.25">
      <c r="A27" t="s">
        <v>51</v>
      </c>
      <c r="B27" t="s">
        <v>15</v>
      </c>
      <c r="C27">
        <v>33</v>
      </c>
      <c r="D27" t="s">
        <v>13</v>
      </c>
      <c r="E27" s="7">
        <v>44701</v>
      </c>
      <c r="F27" t="s">
        <v>9</v>
      </c>
      <c r="G27" s="5">
        <v>48530</v>
      </c>
      <c r="H27" t="s">
        <v>207</v>
      </c>
      <c r="I27" s="11">
        <f ca="1">(TODAY()-staff[[#This Row],[Date Joined]])/365</f>
        <v>2.106849315068493</v>
      </c>
      <c r="J27" s="71">
        <f ca="1">IF(staff[[#This Row],[Tenure]]&gt;2,3%,2%)*staff[[#This Row],[Salary]]</f>
        <v>1455.8999999999999</v>
      </c>
      <c r="K27" s="5">
        <v>48530</v>
      </c>
      <c r="L27">
        <f>VLOOKUP(staff[[#This Row],[Rating]],'RATING QUANTIFIED'!$C$4:$D$8,2,0)</f>
        <v>4</v>
      </c>
    </row>
    <row r="28" spans="1:12" x14ac:dyDescent="0.25">
      <c r="A28" t="s">
        <v>113</v>
      </c>
      <c r="B28" t="s">
        <v>15</v>
      </c>
      <c r="C28">
        <v>31</v>
      </c>
      <c r="D28" t="s">
        <v>16</v>
      </c>
      <c r="E28" s="7">
        <v>44450</v>
      </c>
      <c r="F28" t="s">
        <v>12</v>
      </c>
      <c r="G28" s="5">
        <v>48950</v>
      </c>
      <c r="H28" t="s">
        <v>205</v>
      </c>
      <c r="I28" s="11">
        <f ca="1">(TODAY()-staff[[#This Row],[Date Joined]])/365</f>
        <v>2.7945205479452055</v>
      </c>
      <c r="J28" s="71">
        <f ca="1">IF(staff[[#This Row],[Tenure]]&gt;2,3%,2%)*staff[[#This Row],[Salary]]</f>
        <v>1468.5</v>
      </c>
      <c r="K28" s="5">
        <v>48950</v>
      </c>
      <c r="L28">
        <f>VLOOKUP(staff[[#This Row],[Rating]],'RATING QUANTIFIED'!$C$4:$D$8,2,0)</f>
        <v>3</v>
      </c>
    </row>
    <row r="29" spans="1:12" x14ac:dyDescent="0.25">
      <c r="A29" t="s">
        <v>14</v>
      </c>
      <c r="B29" t="s">
        <v>15</v>
      </c>
      <c r="C29">
        <v>31</v>
      </c>
      <c r="D29" t="s">
        <v>16</v>
      </c>
      <c r="E29" s="7">
        <v>44511</v>
      </c>
      <c r="F29" t="s">
        <v>12</v>
      </c>
      <c r="G29" s="5">
        <v>48950</v>
      </c>
      <c r="H29" t="s">
        <v>207</v>
      </c>
      <c r="I29" s="11">
        <f ca="1">(TODAY()-staff[[#This Row],[Date Joined]])/365</f>
        <v>2.6273972602739728</v>
      </c>
      <c r="J29" s="71">
        <f ca="1">IF(staff[[#This Row],[Tenure]]&gt;2,3%,2%)*staff[[#This Row],[Salary]]</f>
        <v>1468.5</v>
      </c>
      <c r="K29" s="5">
        <v>48950</v>
      </c>
      <c r="L29">
        <f>VLOOKUP(staff[[#This Row],[Rating]],'RATING QUANTIFIED'!$C$4:$D$8,2,0)</f>
        <v>3</v>
      </c>
    </row>
    <row r="30" spans="1:12" x14ac:dyDescent="0.25">
      <c r="A30" t="s">
        <v>146</v>
      </c>
      <c r="B30" t="s">
        <v>15</v>
      </c>
      <c r="C30">
        <v>27</v>
      </c>
      <c r="D30" t="s">
        <v>16</v>
      </c>
      <c r="E30" s="7">
        <v>44506</v>
      </c>
      <c r="F30" t="s">
        <v>21</v>
      </c>
      <c r="G30" s="5">
        <v>48980</v>
      </c>
      <c r="H30" t="s">
        <v>205</v>
      </c>
      <c r="I30" s="11">
        <f ca="1">(TODAY()-staff[[#This Row],[Date Joined]])/365</f>
        <v>2.6410958904109587</v>
      </c>
      <c r="J30" s="71">
        <f ca="1">IF(staff[[#This Row],[Tenure]]&gt;2,3%,2%)*staff[[#This Row],[Salary]]</f>
        <v>1469.3999999999999</v>
      </c>
      <c r="K30" s="5">
        <v>48980</v>
      </c>
      <c r="L30">
        <f>VLOOKUP(staff[[#This Row],[Rating]],'RATING QUANTIFIED'!$C$4:$D$8,2,0)</f>
        <v>3</v>
      </c>
    </row>
    <row r="31" spans="1:12" x14ac:dyDescent="0.25">
      <c r="A31" t="s">
        <v>53</v>
      </c>
      <c r="B31" t="s">
        <v>15</v>
      </c>
      <c r="C31">
        <v>27</v>
      </c>
      <c r="D31" t="s">
        <v>16</v>
      </c>
      <c r="E31" s="7">
        <v>44567</v>
      </c>
      <c r="F31" t="s">
        <v>21</v>
      </c>
      <c r="G31" s="5">
        <v>48980</v>
      </c>
      <c r="H31" t="s">
        <v>207</v>
      </c>
      <c r="I31" s="11">
        <f ca="1">(TODAY()-staff[[#This Row],[Date Joined]])/365</f>
        <v>2.473972602739726</v>
      </c>
      <c r="J31" s="71">
        <f ca="1">IF(staff[[#This Row],[Tenure]]&gt;2,3%,2%)*staff[[#This Row],[Salary]]</f>
        <v>1469.3999999999999</v>
      </c>
      <c r="K31" s="5">
        <v>48980</v>
      </c>
      <c r="L31">
        <f>VLOOKUP(staff[[#This Row],[Rating]],'RATING QUANTIFIED'!$C$4:$D$8,2,0)</f>
        <v>3</v>
      </c>
    </row>
    <row r="32" spans="1:12" x14ac:dyDescent="0.25">
      <c r="A32" s="6" t="s">
        <v>165</v>
      </c>
      <c r="B32" s="6" t="s">
        <v>8</v>
      </c>
      <c r="C32" s="6">
        <v>34</v>
      </c>
      <c r="D32" s="6" t="s">
        <v>24</v>
      </c>
      <c r="E32" s="7">
        <v>44660</v>
      </c>
      <c r="F32" s="6" t="s">
        <v>19</v>
      </c>
      <c r="G32" s="5">
        <v>49630</v>
      </c>
      <c r="H32" s="6" t="s">
        <v>205</v>
      </c>
      <c r="I32" s="11">
        <f ca="1">(TODAY()-staff[[#This Row],[Date Joined]])/365</f>
        <v>2.2191780821917808</v>
      </c>
      <c r="J32" s="71">
        <f ca="1">IF(staff[[#This Row],[Tenure]]&gt;2,3%,2%)*staff[[#This Row],[Salary]]</f>
        <v>1488.8999999999999</v>
      </c>
      <c r="K32" s="5">
        <v>49630</v>
      </c>
      <c r="L32">
        <f>VLOOKUP(staff[[#This Row],[Rating]],'RATING QUANTIFIED'!$C$4:$D$8,2,0)</f>
        <v>2</v>
      </c>
    </row>
    <row r="33" spans="1:12" x14ac:dyDescent="0.25">
      <c r="A33" t="s">
        <v>73</v>
      </c>
      <c r="B33" t="s">
        <v>8</v>
      </c>
      <c r="C33">
        <v>34</v>
      </c>
      <c r="D33" t="s">
        <v>24</v>
      </c>
      <c r="E33" s="7">
        <v>44721</v>
      </c>
      <c r="F33" t="s">
        <v>19</v>
      </c>
      <c r="G33" s="5">
        <v>49630</v>
      </c>
      <c r="H33" t="s">
        <v>207</v>
      </c>
      <c r="I33" s="11">
        <f ca="1">(TODAY()-staff[[#This Row],[Date Joined]])/365</f>
        <v>2.0520547945205481</v>
      </c>
      <c r="J33" s="71">
        <f ca="1">IF(staff[[#This Row],[Tenure]]&gt;2,3%,2%)*staff[[#This Row],[Salary]]</f>
        <v>1488.8999999999999</v>
      </c>
      <c r="K33" s="5">
        <v>49630</v>
      </c>
      <c r="L33">
        <f>VLOOKUP(staff[[#This Row],[Rating]],'RATING QUANTIFIED'!$C$4:$D$8,2,0)</f>
        <v>2</v>
      </c>
    </row>
    <row r="34" spans="1:12" x14ac:dyDescent="0.25">
      <c r="A34" t="s">
        <v>155</v>
      </c>
      <c r="B34" t="s">
        <v>15</v>
      </c>
      <c r="C34">
        <v>24</v>
      </c>
      <c r="D34" t="s">
        <v>24</v>
      </c>
      <c r="E34" s="7">
        <v>44375</v>
      </c>
      <c r="F34" t="s">
        <v>21</v>
      </c>
      <c r="G34" s="5">
        <v>52610</v>
      </c>
      <c r="H34" t="s">
        <v>205</v>
      </c>
      <c r="I34" s="11">
        <f ca="1">(TODAY()-staff[[#This Row],[Date Joined]])/365</f>
        <v>3</v>
      </c>
      <c r="J34" s="71">
        <f ca="1">IF(staff[[#This Row],[Tenure]]&gt;2,3%,2%)*staff[[#This Row],[Salary]]</f>
        <v>1578.3</v>
      </c>
      <c r="K34" s="5">
        <v>52610</v>
      </c>
      <c r="L34">
        <f>VLOOKUP(staff[[#This Row],[Rating]],'RATING QUANTIFIED'!$C$4:$D$8,2,0)</f>
        <v>2</v>
      </c>
    </row>
    <row r="35" spans="1:12" x14ac:dyDescent="0.25">
      <c r="A35" t="s">
        <v>63</v>
      </c>
      <c r="B35" t="s">
        <v>15</v>
      </c>
      <c r="C35">
        <v>24</v>
      </c>
      <c r="D35" t="s">
        <v>24</v>
      </c>
      <c r="E35" s="7">
        <v>44436</v>
      </c>
      <c r="F35" t="s">
        <v>21</v>
      </c>
      <c r="G35" s="5">
        <v>52610</v>
      </c>
      <c r="H35" t="s">
        <v>207</v>
      </c>
      <c r="I35" s="11">
        <f ca="1">(TODAY()-staff[[#This Row],[Date Joined]])/365</f>
        <v>2.8328767123287673</v>
      </c>
      <c r="J35" s="71">
        <f ca="1">IF(staff[[#This Row],[Tenure]]&gt;2,3%,2%)*staff[[#This Row],[Salary]]</f>
        <v>1578.3</v>
      </c>
      <c r="K35" s="5">
        <v>52610</v>
      </c>
      <c r="L35">
        <f>VLOOKUP(staff[[#This Row],[Rating]],'RATING QUANTIFIED'!$C$4:$D$8,2,0)</f>
        <v>2</v>
      </c>
    </row>
    <row r="36" spans="1:12" x14ac:dyDescent="0.25">
      <c r="A36" t="s">
        <v>167</v>
      </c>
      <c r="B36" t="s">
        <v>8</v>
      </c>
      <c r="C36">
        <v>28</v>
      </c>
      <c r="D36" t="s">
        <v>16</v>
      </c>
      <c r="E36" s="7">
        <v>44296</v>
      </c>
      <c r="F36" t="s">
        <v>19</v>
      </c>
      <c r="G36" s="5">
        <v>53240</v>
      </c>
      <c r="H36" t="s">
        <v>205</v>
      </c>
      <c r="I36" s="11">
        <f ca="1">(TODAY()-staff[[#This Row],[Date Joined]])/365</f>
        <v>3.2164383561643834</v>
      </c>
      <c r="J36" s="71">
        <f ca="1">IF(staff[[#This Row],[Tenure]]&gt;2,3%,2%)*staff[[#This Row],[Salary]]</f>
        <v>1597.2</v>
      </c>
      <c r="K36" s="5">
        <v>53240</v>
      </c>
      <c r="L36">
        <f>VLOOKUP(staff[[#This Row],[Rating]],'RATING QUANTIFIED'!$C$4:$D$8,2,0)</f>
        <v>3</v>
      </c>
    </row>
    <row r="37" spans="1:12" x14ac:dyDescent="0.25">
      <c r="A37" t="s">
        <v>75</v>
      </c>
      <c r="B37" t="s">
        <v>8</v>
      </c>
      <c r="C37">
        <v>28</v>
      </c>
      <c r="D37" t="s">
        <v>16</v>
      </c>
      <c r="E37" s="7">
        <v>44357</v>
      </c>
      <c r="F37" t="s">
        <v>19</v>
      </c>
      <c r="G37" s="5">
        <v>53240</v>
      </c>
      <c r="H37" t="s">
        <v>207</v>
      </c>
      <c r="I37" s="11">
        <f ca="1">(TODAY()-staff[[#This Row],[Date Joined]])/365</f>
        <v>3.0493150684931507</v>
      </c>
      <c r="J37" s="71">
        <f ca="1">IF(staff[[#This Row],[Tenure]]&gt;2,3%,2%)*staff[[#This Row],[Salary]]</f>
        <v>1597.2</v>
      </c>
      <c r="K37" s="5">
        <v>53240</v>
      </c>
      <c r="L37">
        <f>VLOOKUP(staff[[#This Row],[Rating]],'RATING QUANTIFIED'!$C$4:$D$8,2,0)</f>
        <v>3</v>
      </c>
    </row>
    <row r="38" spans="1:12" x14ac:dyDescent="0.25">
      <c r="A38" t="s">
        <v>157</v>
      </c>
      <c r="B38" t="s">
        <v>15</v>
      </c>
      <c r="C38">
        <v>32</v>
      </c>
      <c r="D38" t="s">
        <v>16</v>
      </c>
      <c r="E38" s="7">
        <v>44403</v>
      </c>
      <c r="F38" t="s">
        <v>19</v>
      </c>
      <c r="G38" s="5">
        <v>53540</v>
      </c>
      <c r="H38" t="s">
        <v>205</v>
      </c>
      <c r="I38" s="11">
        <f ca="1">(TODAY()-staff[[#This Row],[Date Joined]])/365</f>
        <v>2.9232876712328766</v>
      </c>
      <c r="J38" s="71">
        <f ca="1">IF(staff[[#This Row],[Tenure]]&gt;2,3%,2%)*staff[[#This Row],[Salary]]</f>
        <v>1606.2</v>
      </c>
      <c r="K38" s="5">
        <v>53540</v>
      </c>
      <c r="L38">
        <f>VLOOKUP(staff[[#This Row],[Rating]],'RATING QUANTIFIED'!$C$4:$D$8,2,0)</f>
        <v>3</v>
      </c>
    </row>
    <row r="39" spans="1:12" x14ac:dyDescent="0.25">
      <c r="A39" t="s">
        <v>139</v>
      </c>
      <c r="B39" t="s">
        <v>15</v>
      </c>
      <c r="C39">
        <v>26</v>
      </c>
      <c r="D39" t="s">
        <v>16</v>
      </c>
      <c r="E39" s="7">
        <v>44350</v>
      </c>
      <c r="F39" t="s">
        <v>9</v>
      </c>
      <c r="G39" s="5">
        <v>53540</v>
      </c>
      <c r="H39" t="s">
        <v>205</v>
      </c>
      <c r="I39" s="11">
        <f ca="1">(TODAY()-staff[[#This Row],[Date Joined]])/365</f>
        <v>3.0684931506849313</v>
      </c>
      <c r="J39" s="71">
        <f ca="1">IF(staff[[#This Row],[Tenure]]&gt;2,3%,2%)*staff[[#This Row],[Salary]]</f>
        <v>1606.2</v>
      </c>
      <c r="K39" s="5">
        <v>53540</v>
      </c>
      <c r="L39">
        <f>VLOOKUP(staff[[#This Row],[Rating]],'RATING QUANTIFIED'!$C$4:$D$8,2,0)</f>
        <v>3</v>
      </c>
    </row>
    <row r="40" spans="1:12" x14ac:dyDescent="0.25">
      <c r="A40" t="s">
        <v>65</v>
      </c>
      <c r="B40" t="s">
        <v>15</v>
      </c>
      <c r="C40">
        <v>32</v>
      </c>
      <c r="D40" t="s">
        <v>16</v>
      </c>
      <c r="E40" s="7">
        <v>44465</v>
      </c>
      <c r="F40" t="s">
        <v>19</v>
      </c>
      <c r="G40" s="5">
        <v>53540</v>
      </c>
      <c r="H40" t="s">
        <v>207</v>
      </c>
      <c r="I40" s="11">
        <f ca="1">(TODAY()-staff[[#This Row],[Date Joined]])/365</f>
        <v>2.7534246575342465</v>
      </c>
      <c r="J40" s="71">
        <f ca="1">IF(staff[[#This Row],[Tenure]]&gt;2,3%,2%)*staff[[#This Row],[Salary]]</f>
        <v>1606.2</v>
      </c>
      <c r="K40" s="5">
        <v>53540</v>
      </c>
      <c r="L40">
        <f>VLOOKUP(staff[[#This Row],[Rating]],'RATING QUANTIFIED'!$C$4:$D$8,2,0)</f>
        <v>3</v>
      </c>
    </row>
    <row r="41" spans="1:12" x14ac:dyDescent="0.25">
      <c r="A41" t="s">
        <v>46</v>
      </c>
      <c r="B41" t="s">
        <v>15</v>
      </c>
      <c r="C41">
        <v>26</v>
      </c>
      <c r="D41" t="s">
        <v>16</v>
      </c>
      <c r="E41" s="7">
        <v>44411</v>
      </c>
      <c r="F41" t="s">
        <v>9</v>
      </c>
      <c r="G41" s="5">
        <v>53540</v>
      </c>
      <c r="H41" t="s">
        <v>207</v>
      </c>
      <c r="I41" s="11">
        <f ca="1">(TODAY()-staff[[#This Row],[Date Joined]])/365</f>
        <v>2.9013698630136986</v>
      </c>
      <c r="J41" s="71">
        <f ca="1">IF(staff[[#This Row],[Tenure]]&gt;2,3%,2%)*staff[[#This Row],[Salary]]</f>
        <v>1606.2</v>
      </c>
      <c r="K41" s="5">
        <v>53540</v>
      </c>
      <c r="L41">
        <f>VLOOKUP(staff[[#This Row],[Rating]],'RATING QUANTIFIED'!$C$4:$D$8,2,0)</f>
        <v>3</v>
      </c>
    </row>
    <row r="42" spans="1:12" x14ac:dyDescent="0.25">
      <c r="A42" t="s">
        <v>174</v>
      </c>
      <c r="B42" t="s">
        <v>15</v>
      </c>
      <c r="C42">
        <v>33</v>
      </c>
      <c r="D42" t="s">
        <v>16</v>
      </c>
      <c r="E42" s="7">
        <v>44448</v>
      </c>
      <c r="F42" t="s">
        <v>12</v>
      </c>
      <c r="G42" s="5">
        <v>53870</v>
      </c>
      <c r="H42" t="s">
        <v>205</v>
      </c>
      <c r="I42" s="11">
        <f ca="1">(TODAY()-staff[[#This Row],[Date Joined]])/365</f>
        <v>2.8</v>
      </c>
      <c r="J42" s="71">
        <f ca="1">IF(staff[[#This Row],[Tenure]]&gt;2,3%,2%)*staff[[#This Row],[Salary]]</f>
        <v>1616.1</v>
      </c>
      <c r="K42" s="5">
        <v>53870</v>
      </c>
      <c r="L42">
        <f>VLOOKUP(staff[[#This Row],[Rating]],'RATING QUANTIFIED'!$C$4:$D$8,2,0)</f>
        <v>3</v>
      </c>
    </row>
    <row r="43" spans="1:12" x14ac:dyDescent="0.25">
      <c r="A43" t="s">
        <v>82</v>
      </c>
      <c r="B43" t="s">
        <v>15</v>
      </c>
      <c r="C43">
        <v>33</v>
      </c>
      <c r="D43" t="s">
        <v>16</v>
      </c>
      <c r="E43" s="7">
        <v>44509</v>
      </c>
      <c r="F43" t="s">
        <v>12</v>
      </c>
      <c r="G43" s="5">
        <v>53870</v>
      </c>
      <c r="H43" t="s">
        <v>207</v>
      </c>
      <c r="I43" s="11">
        <f ca="1">(TODAY()-staff[[#This Row],[Date Joined]])/365</f>
        <v>2.6328767123287671</v>
      </c>
      <c r="J43" s="71">
        <f ca="1">IF(staff[[#This Row],[Tenure]]&gt;2,3%,2%)*staff[[#This Row],[Salary]]</f>
        <v>1616.1</v>
      </c>
      <c r="K43" s="5">
        <v>53870</v>
      </c>
      <c r="L43">
        <f>VLOOKUP(staff[[#This Row],[Rating]],'RATING QUANTIFIED'!$C$4:$D$8,2,0)</f>
        <v>3</v>
      </c>
    </row>
    <row r="44" spans="1:12" x14ac:dyDescent="0.25">
      <c r="A44" s="6" t="s">
        <v>182</v>
      </c>
      <c r="B44" s="6" t="s">
        <v>15</v>
      </c>
      <c r="C44" s="6">
        <v>27</v>
      </c>
      <c r="D44" s="6" t="s">
        <v>16</v>
      </c>
      <c r="E44" s="7">
        <v>44073</v>
      </c>
      <c r="F44" s="6" t="s">
        <v>19</v>
      </c>
      <c r="G44" s="5">
        <v>54970</v>
      </c>
      <c r="H44" s="6" t="s">
        <v>205</v>
      </c>
      <c r="I44" s="11">
        <f ca="1">(TODAY()-staff[[#This Row],[Date Joined]])/365</f>
        <v>3.8273972602739725</v>
      </c>
      <c r="J44" s="71">
        <f ca="1">IF(staff[[#This Row],[Tenure]]&gt;2,3%,2%)*staff[[#This Row],[Salary]]</f>
        <v>1649.1</v>
      </c>
      <c r="K44" s="5">
        <v>54970</v>
      </c>
      <c r="L44">
        <f>VLOOKUP(staff[[#This Row],[Rating]],'RATING QUANTIFIED'!$C$4:$D$8,2,0)</f>
        <v>3</v>
      </c>
    </row>
    <row r="45" spans="1:12" x14ac:dyDescent="0.25">
      <c r="A45" t="s">
        <v>89</v>
      </c>
      <c r="B45" t="s">
        <v>15</v>
      </c>
      <c r="C45">
        <v>27</v>
      </c>
      <c r="D45" t="s">
        <v>16</v>
      </c>
      <c r="E45" s="7">
        <v>44134</v>
      </c>
      <c r="F45" t="s">
        <v>19</v>
      </c>
      <c r="G45" s="5">
        <v>54970</v>
      </c>
      <c r="H45" t="s">
        <v>207</v>
      </c>
      <c r="I45" s="11">
        <f ca="1">(TODAY()-staff[[#This Row],[Date Joined]])/365</f>
        <v>3.6602739726027398</v>
      </c>
      <c r="J45" s="71">
        <f ca="1">IF(staff[[#This Row],[Tenure]]&gt;2,3%,2%)*staff[[#This Row],[Salary]]</f>
        <v>1649.1</v>
      </c>
      <c r="K45" s="5">
        <v>54970</v>
      </c>
      <c r="L45">
        <f>VLOOKUP(staff[[#This Row],[Rating]],'RATING QUANTIFIED'!$C$4:$D$8,2,0)</f>
        <v>3</v>
      </c>
    </row>
    <row r="46" spans="1:12" x14ac:dyDescent="0.25">
      <c r="A46" s="6" t="s">
        <v>202</v>
      </c>
      <c r="B46" s="6" t="s">
        <v>8</v>
      </c>
      <c r="C46" s="6">
        <v>38</v>
      </c>
      <c r="D46" s="6" t="s">
        <v>13</v>
      </c>
      <c r="E46" s="7">
        <v>44268</v>
      </c>
      <c r="F46" s="6" t="s">
        <v>19</v>
      </c>
      <c r="G46" s="5">
        <v>56870</v>
      </c>
      <c r="H46" s="6" t="s">
        <v>205</v>
      </c>
      <c r="I46" s="11">
        <f ca="1">(TODAY()-staff[[#This Row],[Date Joined]])/365</f>
        <v>3.2931506849315069</v>
      </c>
      <c r="J46" s="71">
        <f ca="1">IF(staff[[#This Row],[Tenure]]&gt;2,3%,2%)*staff[[#This Row],[Salary]]</f>
        <v>1706.1</v>
      </c>
      <c r="K46" s="5">
        <v>56870</v>
      </c>
      <c r="L46">
        <f>VLOOKUP(staff[[#This Row],[Rating]],'RATING QUANTIFIED'!$C$4:$D$8,2,0)</f>
        <v>4</v>
      </c>
    </row>
    <row r="47" spans="1:12" x14ac:dyDescent="0.25">
      <c r="A47" t="s">
        <v>109</v>
      </c>
      <c r="B47" t="s">
        <v>8</v>
      </c>
      <c r="C47">
        <v>38</v>
      </c>
      <c r="D47" t="s">
        <v>13</v>
      </c>
      <c r="E47" s="7">
        <v>44329</v>
      </c>
      <c r="F47" t="s">
        <v>19</v>
      </c>
      <c r="G47" s="5">
        <v>56870</v>
      </c>
      <c r="H47" t="s">
        <v>207</v>
      </c>
      <c r="I47" s="11">
        <f ca="1">(TODAY()-staff[[#This Row],[Date Joined]])/365</f>
        <v>3.1260273972602741</v>
      </c>
      <c r="J47" s="71">
        <f ca="1">IF(staff[[#This Row],[Tenure]]&gt;2,3%,2%)*staff[[#This Row],[Salary]]</f>
        <v>1706.1</v>
      </c>
      <c r="K47" s="5">
        <v>56870</v>
      </c>
      <c r="L47">
        <f>VLOOKUP(staff[[#This Row],[Rating]],'RATING QUANTIFIED'!$C$4:$D$8,2,0)</f>
        <v>4</v>
      </c>
    </row>
    <row r="48" spans="1:12" x14ac:dyDescent="0.25">
      <c r="A48" t="s">
        <v>125</v>
      </c>
      <c r="B48" t="s">
        <v>15</v>
      </c>
      <c r="C48">
        <v>21</v>
      </c>
      <c r="D48" t="s">
        <v>16</v>
      </c>
      <c r="E48" s="7">
        <v>44701</v>
      </c>
      <c r="F48" t="s">
        <v>9</v>
      </c>
      <c r="G48" s="5">
        <v>57090</v>
      </c>
      <c r="H48" t="s">
        <v>205</v>
      </c>
      <c r="I48" s="11">
        <f ca="1">(TODAY()-staff[[#This Row],[Date Joined]])/365</f>
        <v>2.106849315068493</v>
      </c>
      <c r="J48" s="71">
        <f ca="1">IF(staff[[#This Row],[Tenure]]&gt;2,3%,2%)*staff[[#This Row],[Salary]]</f>
        <v>1712.7</v>
      </c>
      <c r="K48" s="5">
        <v>57090</v>
      </c>
      <c r="L48">
        <f>VLOOKUP(staff[[#This Row],[Rating]],'RATING QUANTIFIED'!$C$4:$D$8,2,0)</f>
        <v>3</v>
      </c>
    </row>
    <row r="49" spans="1:12" x14ac:dyDescent="0.25">
      <c r="A49" t="s">
        <v>31</v>
      </c>
      <c r="B49" t="s">
        <v>15</v>
      </c>
      <c r="C49">
        <v>21</v>
      </c>
      <c r="D49" t="s">
        <v>16</v>
      </c>
      <c r="E49" s="7">
        <v>44762</v>
      </c>
      <c r="F49" t="s">
        <v>9</v>
      </c>
      <c r="G49" s="5">
        <v>57090</v>
      </c>
      <c r="H49" t="s">
        <v>207</v>
      </c>
      <c r="I49" s="11">
        <f ca="1">(TODAY()-staff[[#This Row],[Date Joined]])/365</f>
        <v>1.9397260273972603</v>
      </c>
      <c r="J49" s="71">
        <f ca="1">IF(staff[[#This Row],[Tenure]]&gt;2,3%,2%)*staff[[#This Row],[Salary]]</f>
        <v>1141.8</v>
      </c>
      <c r="K49" s="5">
        <v>57090</v>
      </c>
      <c r="L49">
        <f>VLOOKUP(staff[[#This Row],[Rating]],'RATING QUANTIFIED'!$C$4:$D$8,2,0)</f>
        <v>3</v>
      </c>
    </row>
    <row r="50" spans="1:12" x14ac:dyDescent="0.25">
      <c r="A50" t="s">
        <v>120</v>
      </c>
      <c r="B50" t="s">
        <v>8</v>
      </c>
      <c r="C50">
        <v>31</v>
      </c>
      <c r="D50" t="s">
        <v>16</v>
      </c>
      <c r="E50" s="7">
        <v>44604</v>
      </c>
      <c r="F50" t="s">
        <v>12</v>
      </c>
      <c r="G50" s="5">
        <v>58100</v>
      </c>
      <c r="H50" t="s">
        <v>205</v>
      </c>
      <c r="I50" s="11">
        <f ca="1">(TODAY()-staff[[#This Row],[Date Joined]])/365</f>
        <v>2.3726027397260272</v>
      </c>
      <c r="J50" s="71">
        <f ca="1">IF(staff[[#This Row],[Tenure]]&gt;2,3%,2%)*staff[[#This Row],[Salary]]</f>
        <v>1743</v>
      </c>
      <c r="K50" s="5">
        <v>58100</v>
      </c>
      <c r="L50">
        <f>VLOOKUP(staff[[#This Row],[Rating]],'RATING QUANTIFIED'!$C$4:$D$8,2,0)</f>
        <v>3</v>
      </c>
    </row>
    <row r="51" spans="1:12" x14ac:dyDescent="0.25">
      <c r="A51" t="s">
        <v>26</v>
      </c>
      <c r="B51" t="s">
        <v>8</v>
      </c>
      <c r="C51">
        <v>31</v>
      </c>
      <c r="D51" t="s">
        <v>16</v>
      </c>
      <c r="E51" s="7">
        <v>44663</v>
      </c>
      <c r="F51" t="s">
        <v>12</v>
      </c>
      <c r="G51" s="5">
        <v>58100</v>
      </c>
      <c r="H51" t="s">
        <v>207</v>
      </c>
      <c r="I51" s="11">
        <f ca="1">(TODAY()-staff[[#This Row],[Date Joined]])/365</f>
        <v>2.2109589041095892</v>
      </c>
      <c r="J51" s="71">
        <f ca="1">IF(staff[[#This Row],[Tenure]]&gt;2,3%,2%)*staff[[#This Row],[Salary]]</f>
        <v>1743</v>
      </c>
      <c r="K51" s="5">
        <v>58100</v>
      </c>
      <c r="L51">
        <f>VLOOKUP(staff[[#This Row],[Rating]],'RATING QUANTIFIED'!$C$4:$D$8,2,0)</f>
        <v>3</v>
      </c>
    </row>
    <row r="52" spans="1:12" x14ac:dyDescent="0.25">
      <c r="A52" t="s">
        <v>130</v>
      </c>
      <c r="B52" t="s">
        <v>8</v>
      </c>
      <c r="C52">
        <v>34</v>
      </c>
      <c r="D52" t="s">
        <v>16</v>
      </c>
      <c r="E52" s="7">
        <v>44594</v>
      </c>
      <c r="F52" t="s">
        <v>21</v>
      </c>
      <c r="G52" s="5">
        <v>58940</v>
      </c>
      <c r="H52" t="s">
        <v>205</v>
      </c>
      <c r="I52" s="11">
        <f ca="1">(TODAY()-staff[[#This Row],[Date Joined]])/365</f>
        <v>2.4</v>
      </c>
      <c r="J52" s="71">
        <f ca="1">IF(staff[[#This Row],[Tenure]]&gt;2,3%,2%)*staff[[#This Row],[Salary]]</f>
        <v>1768.2</v>
      </c>
      <c r="K52" s="5">
        <v>58940</v>
      </c>
      <c r="L52">
        <f>VLOOKUP(staff[[#This Row],[Rating]],'RATING QUANTIFIED'!$C$4:$D$8,2,0)</f>
        <v>3</v>
      </c>
    </row>
    <row r="53" spans="1:12" x14ac:dyDescent="0.25">
      <c r="A53" t="s">
        <v>36</v>
      </c>
      <c r="B53" t="s">
        <v>8</v>
      </c>
      <c r="C53">
        <v>34</v>
      </c>
      <c r="D53" t="s">
        <v>16</v>
      </c>
      <c r="E53" s="7">
        <v>44653</v>
      </c>
      <c r="F53" t="s">
        <v>21</v>
      </c>
      <c r="G53" s="5">
        <v>58940</v>
      </c>
      <c r="H53" t="s">
        <v>207</v>
      </c>
      <c r="I53" s="11">
        <f ca="1">(TODAY()-staff[[#This Row],[Date Joined]])/365</f>
        <v>2.2383561643835614</v>
      </c>
      <c r="J53" s="71">
        <f ca="1">IF(staff[[#This Row],[Tenure]]&gt;2,3%,2%)*staff[[#This Row],[Salary]]</f>
        <v>1768.2</v>
      </c>
      <c r="K53" s="5">
        <v>58940</v>
      </c>
      <c r="L53">
        <f>VLOOKUP(staff[[#This Row],[Rating]],'RATING QUANTIFIED'!$C$4:$D$8,2,0)</f>
        <v>3</v>
      </c>
    </row>
    <row r="54" spans="1:12" x14ac:dyDescent="0.25">
      <c r="A54" t="s">
        <v>193</v>
      </c>
      <c r="B54" t="s">
        <v>15</v>
      </c>
      <c r="C54">
        <v>19</v>
      </c>
      <c r="D54" t="s">
        <v>16</v>
      </c>
      <c r="E54" s="7">
        <v>44218</v>
      </c>
      <c r="F54" t="s">
        <v>9</v>
      </c>
      <c r="G54" s="5">
        <v>58960</v>
      </c>
      <c r="H54" t="s">
        <v>205</v>
      </c>
      <c r="I54" s="11">
        <f ca="1">(TODAY()-staff[[#This Row],[Date Joined]])/365</f>
        <v>3.43013698630137</v>
      </c>
      <c r="J54" s="71">
        <f ca="1">IF(staff[[#This Row],[Tenure]]&gt;2,3%,2%)*staff[[#This Row],[Salary]]</f>
        <v>1768.8</v>
      </c>
      <c r="K54" s="5">
        <v>58960</v>
      </c>
      <c r="L54">
        <f>VLOOKUP(staff[[#This Row],[Rating]],'RATING QUANTIFIED'!$C$4:$D$8,2,0)</f>
        <v>3</v>
      </c>
    </row>
    <row r="55" spans="1:12" x14ac:dyDescent="0.25">
      <c r="A55" t="s">
        <v>100</v>
      </c>
      <c r="B55" t="s">
        <v>15</v>
      </c>
      <c r="C55">
        <v>19</v>
      </c>
      <c r="D55" t="s">
        <v>16</v>
      </c>
      <c r="E55" s="7">
        <v>44277</v>
      </c>
      <c r="F55" t="s">
        <v>9</v>
      </c>
      <c r="G55" s="5">
        <v>58960</v>
      </c>
      <c r="H55" t="s">
        <v>207</v>
      </c>
      <c r="I55" s="11">
        <f ca="1">(TODAY()-staff[[#This Row],[Date Joined]])/365</f>
        <v>3.2684931506849315</v>
      </c>
      <c r="J55" s="71">
        <f ca="1">IF(staff[[#This Row],[Tenure]]&gt;2,3%,2%)*staff[[#This Row],[Salary]]</f>
        <v>1768.8</v>
      </c>
      <c r="K55" s="5">
        <v>58960</v>
      </c>
      <c r="L55">
        <f>VLOOKUP(staff[[#This Row],[Rating]],'RATING QUANTIFIED'!$C$4:$D$8,2,0)</f>
        <v>3</v>
      </c>
    </row>
    <row r="56" spans="1:12" x14ac:dyDescent="0.25">
      <c r="A56" t="s">
        <v>171</v>
      </c>
      <c r="B56" t="s">
        <v>15</v>
      </c>
      <c r="C56">
        <v>33</v>
      </c>
      <c r="D56" t="s">
        <v>16</v>
      </c>
      <c r="E56" s="7">
        <v>44181</v>
      </c>
      <c r="F56" t="s">
        <v>21</v>
      </c>
      <c r="G56" s="5">
        <v>59430</v>
      </c>
      <c r="H56" t="s">
        <v>205</v>
      </c>
      <c r="I56" s="11">
        <f ca="1">(TODAY()-staff[[#This Row],[Date Joined]])/365</f>
        <v>3.5315068493150683</v>
      </c>
      <c r="J56" s="71">
        <f ca="1">IF(staff[[#This Row],[Tenure]]&gt;2,3%,2%)*staff[[#This Row],[Salary]]</f>
        <v>1782.8999999999999</v>
      </c>
      <c r="K56" s="5">
        <v>59430</v>
      </c>
      <c r="L56">
        <f>VLOOKUP(staff[[#This Row],[Rating]],'RATING QUANTIFIED'!$C$4:$D$8,2,0)</f>
        <v>3</v>
      </c>
    </row>
    <row r="57" spans="1:12" x14ac:dyDescent="0.25">
      <c r="A57" t="s">
        <v>79</v>
      </c>
      <c r="B57" t="s">
        <v>15</v>
      </c>
      <c r="C57">
        <v>33</v>
      </c>
      <c r="D57" t="s">
        <v>16</v>
      </c>
      <c r="E57" s="7">
        <v>44243</v>
      </c>
      <c r="F57" t="s">
        <v>21</v>
      </c>
      <c r="G57" s="5">
        <v>59430</v>
      </c>
      <c r="H57" t="s">
        <v>207</v>
      </c>
      <c r="I57" s="11">
        <f ca="1">(TODAY()-staff[[#This Row],[Date Joined]])/365</f>
        <v>3.3616438356164382</v>
      </c>
      <c r="J57" s="71">
        <f ca="1">IF(staff[[#This Row],[Tenure]]&gt;2,3%,2%)*staff[[#This Row],[Salary]]</f>
        <v>1782.8999999999999</v>
      </c>
      <c r="K57" s="5">
        <v>59430</v>
      </c>
      <c r="L57">
        <f>VLOOKUP(staff[[#This Row],[Rating]],'RATING QUANTIFIED'!$C$4:$D$8,2,0)</f>
        <v>3</v>
      </c>
    </row>
    <row r="58" spans="1:12" x14ac:dyDescent="0.25">
      <c r="A58" t="s">
        <v>132</v>
      </c>
      <c r="B58" t="s">
        <v>8</v>
      </c>
      <c r="C58">
        <v>34</v>
      </c>
      <c r="D58" t="s">
        <v>16</v>
      </c>
      <c r="E58" s="7">
        <v>44550</v>
      </c>
      <c r="F58" t="s">
        <v>21</v>
      </c>
      <c r="G58" s="5">
        <v>60130</v>
      </c>
      <c r="H58" t="s">
        <v>205</v>
      </c>
      <c r="I58" s="11">
        <f ca="1">(TODAY()-staff[[#This Row],[Date Joined]])/365</f>
        <v>2.5205479452054793</v>
      </c>
      <c r="J58" s="71">
        <f ca="1">IF(staff[[#This Row],[Tenure]]&gt;2,3%,2%)*staff[[#This Row],[Salary]]</f>
        <v>1803.8999999999999</v>
      </c>
      <c r="K58" s="5">
        <v>60130</v>
      </c>
      <c r="L58">
        <f>VLOOKUP(staff[[#This Row],[Rating]],'RATING QUANTIFIED'!$C$4:$D$8,2,0)</f>
        <v>3</v>
      </c>
    </row>
    <row r="59" spans="1:12" x14ac:dyDescent="0.25">
      <c r="A59" t="s">
        <v>38</v>
      </c>
      <c r="B59" t="s">
        <v>8</v>
      </c>
      <c r="C59">
        <v>34</v>
      </c>
      <c r="D59" t="s">
        <v>16</v>
      </c>
      <c r="E59" s="7">
        <v>44612</v>
      </c>
      <c r="F59" t="s">
        <v>21</v>
      </c>
      <c r="G59" s="5">
        <v>60130</v>
      </c>
      <c r="H59" t="s">
        <v>207</v>
      </c>
      <c r="I59" s="11">
        <f ca="1">(TODAY()-staff[[#This Row],[Date Joined]])/365</f>
        <v>2.3506849315068492</v>
      </c>
      <c r="J59" s="71">
        <f ca="1">IF(staff[[#This Row],[Tenure]]&gt;2,3%,2%)*staff[[#This Row],[Salary]]</f>
        <v>1803.8999999999999</v>
      </c>
      <c r="K59" s="5">
        <v>60130</v>
      </c>
      <c r="L59">
        <f>VLOOKUP(staff[[#This Row],[Rating]],'RATING QUANTIFIED'!$C$4:$D$8,2,0)</f>
        <v>3</v>
      </c>
    </row>
    <row r="60" spans="1:12" x14ac:dyDescent="0.25">
      <c r="A60" t="s">
        <v>131</v>
      </c>
      <c r="B60" t="s">
        <v>15</v>
      </c>
      <c r="C60">
        <v>30</v>
      </c>
      <c r="D60" t="s">
        <v>16</v>
      </c>
      <c r="E60" s="7">
        <v>44607</v>
      </c>
      <c r="F60" t="s">
        <v>9</v>
      </c>
      <c r="G60" s="5">
        <v>60570</v>
      </c>
      <c r="H60" t="s">
        <v>205</v>
      </c>
      <c r="I60" s="11">
        <f ca="1">(TODAY()-staff[[#This Row],[Date Joined]])/365</f>
        <v>2.3643835616438356</v>
      </c>
      <c r="J60" s="71">
        <f ca="1">IF(staff[[#This Row],[Tenure]]&gt;2,3%,2%)*staff[[#This Row],[Salary]]</f>
        <v>1817.1</v>
      </c>
      <c r="K60" s="5">
        <v>60570</v>
      </c>
      <c r="L60">
        <f>VLOOKUP(staff[[#This Row],[Rating]],'RATING QUANTIFIED'!$C$4:$D$8,2,0)</f>
        <v>3</v>
      </c>
    </row>
    <row r="61" spans="1:12" x14ac:dyDescent="0.25">
      <c r="A61" t="s">
        <v>37</v>
      </c>
      <c r="B61" t="s">
        <v>15</v>
      </c>
      <c r="C61">
        <v>30</v>
      </c>
      <c r="D61" t="s">
        <v>16</v>
      </c>
      <c r="E61" s="7">
        <v>44666</v>
      </c>
      <c r="F61" t="s">
        <v>9</v>
      </c>
      <c r="G61" s="5">
        <v>60570</v>
      </c>
      <c r="H61" t="s">
        <v>207</v>
      </c>
      <c r="I61" s="11">
        <f ca="1">(TODAY()-staff[[#This Row],[Date Joined]])/365</f>
        <v>2.2027397260273971</v>
      </c>
      <c r="J61" s="71">
        <f ca="1">IF(staff[[#This Row],[Tenure]]&gt;2,3%,2%)*staff[[#This Row],[Salary]]</f>
        <v>1817.1</v>
      </c>
      <c r="K61" s="5">
        <v>60570</v>
      </c>
      <c r="L61">
        <f>VLOOKUP(staff[[#This Row],[Rating]],'RATING QUANTIFIED'!$C$4:$D$8,2,0)</f>
        <v>3</v>
      </c>
    </row>
    <row r="62" spans="1:12" x14ac:dyDescent="0.25">
      <c r="A62" t="s">
        <v>153</v>
      </c>
      <c r="B62" t="s">
        <v>8</v>
      </c>
      <c r="C62">
        <v>24</v>
      </c>
      <c r="D62" t="s">
        <v>16</v>
      </c>
      <c r="E62" s="7">
        <v>44087</v>
      </c>
      <c r="F62" t="s">
        <v>12</v>
      </c>
      <c r="G62" s="5">
        <v>62780</v>
      </c>
      <c r="H62" t="s">
        <v>205</v>
      </c>
      <c r="I62" s="11">
        <f ca="1">(TODAY()-staff[[#This Row],[Date Joined]])/365</f>
        <v>3.7890410958904108</v>
      </c>
      <c r="J62" s="71">
        <f ca="1">IF(staff[[#This Row],[Tenure]]&gt;2,3%,2%)*staff[[#This Row],[Salary]]</f>
        <v>1883.3999999999999</v>
      </c>
      <c r="K62" s="5">
        <v>62780</v>
      </c>
      <c r="L62">
        <f>VLOOKUP(staff[[#This Row],[Rating]],'RATING QUANTIFIED'!$C$4:$D$8,2,0)</f>
        <v>3</v>
      </c>
    </row>
    <row r="63" spans="1:12" x14ac:dyDescent="0.25">
      <c r="A63" t="s">
        <v>61</v>
      </c>
      <c r="B63" t="s">
        <v>8</v>
      </c>
      <c r="C63">
        <v>24</v>
      </c>
      <c r="D63" t="s">
        <v>16</v>
      </c>
      <c r="E63" s="7">
        <v>44148</v>
      </c>
      <c r="F63" t="s">
        <v>12</v>
      </c>
      <c r="G63" s="5">
        <v>62780</v>
      </c>
      <c r="H63" t="s">
        <v>207</v>
      </c>
      <c r="I63" s="11">
        <f ca="1">(TODAY()-staff[[#This Row],[Date Joined]])/365</f>
        <v>3.6219178082191781</v>
      </c>
      <c r="J63" s="71">
        <f ca="1">IF(staff[[#This Row],[Tenure]]&gt;2,3%,2%)*staff[[#This Row],[Salary]]</f>
        <v>1883.3999999999999</v>
      </c>
      <c r="K63" s="5">
        <v>62780</v>
      </c>
      <c r="L63">
        <f>VLOOKUP(staff[[#This Row],[Rating]],'RATING QUANTIFIED'!$C$4:$D$8,2,0)</f>
        <v>3</v>
      </c>
    </row>
    <row r="64" spans="1:12" x14ac:dyDescent="0.25">
      <c r="A64" t="s">
        <v>116</v>
      </c>
      <c r="B64" t="s">
        <v>206</v>
      </c>
      <c r="C64">
        <v>30</v>
      </c>
      <c r="D64" t="s">
        <v>16</v>
      </c>
      <c r="E64" s="7">
        <v>44535</v>
      </c>
      <c r="F64" t="s">
        <v>21</v>
      </c>
      <c r="G64" s="5">
        <v>64000</v>
      </c>
      <c r="H64" t="s">
        <v>205</v>
      </c>
      <c r="I64" s="11">
        <f ca="1">(TODAY()-staff[[#This Row],[Date Joined]])/365</f>
        <v>2.5616438356164384</v>
      </c>
      <c r="J64" s="71">
        <f ca="1">IF(staff[[#This Row],[Tenure]]&gt;2,3%,2%)*staff[[#This Row],[Salary]]</f>
        <v>1920</v>
      </c>
      <c r="K64" s="5">
        <v>64000</v>
      </c>
      <c r="L64">
        <f>VLOOKUP(staff[[#This Row],[Rating]],'RATING QUANTIFIED'!$C$4:$D$8,2,0)</f>
        <v>3</v>
      </c>
    </row>
    <row r="65" spans="1:12" x14ac:dyDescent="0.25">
      <c r="A65" t="s">
        <v>20</v>
      </c>
      <c r="B65" t="s">
        <v>206</v>
      </c>
      <c r="C65">
        <v>30</v>
      </c>
      <c r="D65" t="s">
        <v>16</v>
      </c>
      <c r="E65" s="7">
        <v>44597</v>
      </c>
      <c r="F65" t="s">
        <v>21</v>
      </c>
      <c r="G65" s="5">
        <v>64000</v>
      </c>
      <c r="H65" t="s">
        <v>207</v>
      </c>
      <c r="I65" s="11">
        <f ca="1">(TODAY()-staff[[#This Row],[Date Joined]])/365</f>
        <v>2.3917808219178083</v>
      </c>
      <c r="J65" s="71">
        <f ca="1">IF(staff[[#This Row],[Tenure]]&gt;2,3%,2%)*staff[[#This Row],[Salary]]</f>
        <v>1920</v>
      </c>
      <c r="K65" s="5">
        <v>64000</v>
      </c>
      <c r="L65">
        <f>VLOOKUP(staff[[#This Row],[Rating]],'RATING QUANTIFIED'!$C$4:$D$8,2,0)</f>
        <v>3</v>
      </c>
    </row>
    <row r="66" spans="1:12" x14ac:dyDescent="0.25">
      <c r="A66" t="s">
        <v>186</v>
      </c>
      <c r="B66" t="s">
        <v>8</v>
      </c>
      <c r="C66">
        <v>33</v>
      </c>
      <c r="D66" t="s">
        <v>16</v>
      </c>
      <c r="E66" s="7">
        <v>44006</v>
      </c>
      <c r="F66" t="s">
        <v>21</v>
      </c>
      <c r="G66" s="5">
        <v>65360</v>
      </c>
      <c r="H66" t="s">
        <v>205</v>
      </c>
      <c r="I66" s="11">
        <f ca="1">(TODAY()-staff[[#This Row],[Date Joined]])/365</f>
        <v>4.0109589041095894</v>
      </c>
      <c r="J66" s="71">
        <f ca="1">IF(staff[[#This Row],[Tenure]]&gt;2,3%,2%)*staff[[#This Row],[Salary]]</f>
        <v>1960.8</v>
      </c>
      <c r="K66" s="5">
        <v>65360</v>
      </c>
      <c r="L66">
        <f>VLOOKUP(staff[[#This Row],[Rating]],'RATING QUANTIFIED'!$C$4:$D$8,2,0)</f>
        <v>3</v>
      </c>
    </row>
    <row r="67" spans="1:12" x14ac:dyDescent="0.25">
      <c r="A67" t="s">
        <v>93</v>
      </c>
      <c r="B67" t="s">
        <v>8</v>
      </c>
      <c r="C67">
        <v>33</v>
      </c>
      <c r="D67" t="s">
        <v>16</v>
      </c>
      <c r="E67" s="7">
        <v>44067</v>
      </c>
      <c r="F67" t="s">
        <v>21</v>
      </c>
      <c r="G67" s="5">
        <v>65360</v>
      </c>
      <c r="H67" t="s">
        <v>207</v>
      </c>
      <c r="I67" s="11">
        <f ca="1">(TODAY()-staff[[#This Row],[Date Joined]])/365</f>
        <v>3.8438356164383563</v>
      </c>
      <c r="J67" s="71">
        <f ca="1">IF(staff[[#This Row],[Tenure]]&gt;2,3%,2%)*staff[[#This Row],[Salary]]</f>
        <v>1960.8</v>
      </c>
      <c r="K67" s="5">
        <v>65360</v>
      </c>
      <c r="L67">
        <f>VLOOKUP(staff[[#This Row],[Rating]],'RATING QUANTIFIED'!$C$4:$D$8,2,0)</f>
        <v>3</v>
      </c>
    </row>
    <row r="68" spans="1:12" x14ac:dyDescent="0.25">
      <c r="A68" t="s">
        <v>168</v>
      </c>
      <c r="B68" t="s">
        <v>15</v>
      </c>
      <c r="C68">
        <v>25</v>
      </c>
      <c r="D68" t="s">
        <v>16</v>
      </c>
      <c r="E68" s="7">
        <v>44322</v>
      </c>
      <c r="F68" t="s">
        <v>19</v>
      </c>
      <c r="G68" s="5">
        <v>65700</v>
      </c>
      <c r="H68" t="s">
        <v>205</v>
      </c>
      <c r="I68" s="11">
        <f ca="1">(TODAY()-staff[[#This Row],[Date Joined]])/365</f>
        <v>3.1452054794520548</v>
      </c>
      <c r="J68" s="71">
        <f ca="1">IF(staff[[#This Row],[Tenure]]&gt;2,3%,2%)*staff[[#This Row],[Salary]]</f>
        <v>1971</v>
      </c>
      <c r="K68" s="5">
        <v>65700</v>
      </c>
      <c r="L68">
        <f>VLOOKUP(staff[[#This Row],[Rating]],'RATING QUANTIFIED'!$C$4:$D$8,2,0)</f>
        <v>3</v>
      </c>
    </row>
    <row r="69" spans="1:12" x14ac:dyDescent="0.25">
      <c r="A69" t="s">
        <v>76</v>
      </c>
      <c r="B69" t="s">
        <v>15</v>
      </c>
      <c r="C69">
        <v>25</v>
      </c>
      <c r="D69" t="s">
        <v>16</v>
      </c>
      <c r="E69" s="7">
        <v>44383</v>
      </c>
      <c r="F69" t="s">
        <v>19</v>
      </c>
      <c r="G69" s="5">
        <v>65700</v>
      </c>
      <c r="H69" t="s">
        <v>207</v>
      </c>
      <c r="I69" s="11">
        <f ca="1">(TODAY()-staff[[#This Row],[Date Joined]])/365</f>
        <v>2.978082191780822</v>
      </c>
      <c r="J69" s="71">
        <f ca="1">IF(staff[[#This Row],[Tenure]]&gt;2,3%,2%)*staff[[#This Row],[Salary]]</f>
        <v>1971</v>
      </c>
      <c r="K69" s="5">
        <v>65700</v>
      </c>
      <c r="L69">
        <f>VLOOKUP(staff[[#This Row],[Rating]],'RATING QUANTIFIED'!$C$4:$D$8,2,0)</f>
        <v>3</v>
      </c>
    </row>
    <row r="70" spans="1:12" x14ac:dyDescent="0.25">
      <c r="A70" t="s">
        <v>126</v>
      </c>
      <c r="B70" t="s">
        <v>8</v>
      </c>
      <c r="C70">
        <v>21</v>
      </c>
      <c r="D70" t="s">
        <v>16</v>
      </c>
      <c r="E70" s="7">
        <v>44256</v>
      </c>
      <c r="F70" t="s">
        <v>21</v>
      </c>
      <c r="G70" s="5">
        <v>65920</v>
      </c>
      <c r="H70" t="s">
        <v>205</v>
      </c>
      <c r="I70" s="11">
        <f ca="1">(TODAY()-staff[[#This Row],[Date Joined]])/365</f>
        <v>3.3260273972602739</v>
      </c>
      <c r="J70" s="71">
        <f ca="1">IF(staff[[#This Row],[Tenure]]&gt;2,3%,2%)*staff[[#This Row],[Salary]]</f>
        <v>1977.6</v>
      </c>
      <c r="K70" s="5">
        <v>65920</v>
      </c>
      <c r="L70">
        <f>VLOOKUP(staff[[#This Row],[Rating]],'RATING QUANTIFIED'!$C$4:$D$8,2,0)</f>
        <v>3</v>
      </c>
    </row>
    <row r="71" spans="1:12" x14ac:dyDescent="0.25">
      <c r="A71" t="s">
        <v>32</v>
      </c>
      <c r="B71" t="s">
        <v>8</v>
      </c>
      <c r="C71">
        <v>21</v>
      </c>
      <c r="D71" t="s">
        <v>16</v>
      </c>
      <c r="E71" s="7">
        <v>44317</v>
      </c>
      <c r="F71" t="s">
        <v>21</v>
      </c>
      <c r="G71" s="5">
        <v>65920</v>
      </c>
      <c r="H71" t="s">
        <v>207</v>
      </c>
      <c r="I71" s="11">
        <f ca="1">(TODAY()-staff[[#This Row],[Date Joined]])/365</f>
        <v>3.1589041095890411</v>
      </c>
      <c r="J71" s="71">
        <f ca="1">IF(staff[[#This Row],[Tenure]]&gt;2,3%,2%)*staff[[#This Row],[Salary]]</f>
        <v>1977.6</v>
      </c>
      <c r="K71" s="5">
        <v>65920</v>
      </c>
      <c r="L71">
        <f>VLOOKUP(staff[[#This Row],[Rating]],'RATING QUANTIFIED'!$C$4:$D$8,2,0)</f>
        <v>3</v>
      </c>
    </row>
    <row r="72" spans="1:12" x14ac:dyDescent="0.25">
      <c r="A72" t="s">
        <v>121</v>
      </c>
      <c r="B72" t="s">
        <v>8</v>
      </c>
      <c r="C72">
        <v>30</v>
      </c>
      <c r="D72" t="s">
        <v>24</v>
      </c>
      <c r="E72" s="7">
        <v>44328</v>
      </c>
      <c r="F72" t="s">
        <v>21</v>
      </c>
      <c r="G72" s="5">
        <v>67910</v>
      </c>
      <c r="H72" t="s">
        <v>205</v>
      </c>
      <c r="I72" s="11">
        <f ca="1">(TODAY()-staff[[#This Row],[Date Joined]])/365</f>
        <v>3.128767123287671</v>
      </c>
      <c r="J72" s="71">
        <f ca="1">IF(staff[[#This Row],[Tenure]]&gt;2,3%,2%)*staff[[#This Row],[Salary]]</f>
        <v>2037.3</v>
      </c>
      <c r="K72" s="5">
        <v>67910</v>
      </c>
      <c r="L72">
        <f>VLOOKUP(staff[[#This Row],[Rating]],'RATING QUANTIFIED'!$C$4:$D$8,2,0)</f>
        <v>2</v>
      </c>
    </row>
    <row r="73" spans="1:12" x14ac:dyDescent="0.25">
      <c r="A73" t="s">
        <v>27</v>
      </c>
      <c r="B73" t="s">
        <v>8</v>
      </c>
      <c r="C73">
        <v>30</v>
      </c>
      <c r="D73" t="s">
        <v>24</v>
      </c>
      <c r="E73" s="7">
        <v>44389</v>
      </c>
      <c r="F73" t="s">
        <v>21</v>
      </c>
      <c r="G73" s="5">
        <v>67910</v>
      </c>
      <c r="H73" t="s">
        <v>207</v>
      </c>
      <c r="I73" s="11">
        <f ca="1">(TODAY()-staff[[#This Row],[Date Joined]])/365</f>
        <v>2.9616438356164383</v>
      </c>
      <c r="J73" s="71">
        <f ca="1">IF(staff[[#This Row],[Tenure]]&gt;2,3%,2%)*staff[[#This Row],[Salary]]</f>
        <v>2037.3</v>
      </c>
      <c r="K73" s="5">
        <v>67910</v>
      </c>
      <c r="L73">
        <f>VLOOKUP(staff[[#This Row],[Rating]],'RATING QUANTIFIED'!$C$4:$D$8,2,0)</f>
        <v>2</v>
      </c>
    </row>
    <row r="74" spans="1:12" x14ac:dyDescent="0.25">
      <c r="A74" t="s">
        <v>138</v>
      </c>
      <c r="B74" t="s">
        <v>15</v>
      </c>
      <c r="C74">
        <v>30</v>
      </c>
      <c r="D74" t="s">
        <v>16</v>
      </c>
      <c r="E74" s="7">
        <v>44640</v>
      </c>
      <c r="F74" t="s">
        <v>9</v>
      </c>
      <c r="G74" s="5">
        <v>67950</v>
      </c>
      <c r="H74" t="s">
        <v>205</v>
      </c>
      <c r="I74" s="11">
        <f ca="1">(TODAY()-staff[[#This Row],[Date Joined]])/365</f>
        <v>2.2739726027397262</v>
      </c>
      <c r="J74" s="71">
        <f ca="1">IF(staff[[#This Row],[Tenure]]&gt;2,3%,2%)*staff[[#This Row],[Salary]]</f>
        <v>2038.5</v>
      </c>
      <c r="K74" s="5">
        <v>67950</v>
      </c>
      <c r="L74">
        <f>VLOOKUP(staff[[#This Row],[Rating]],'RATING QUANTIFIED'!$C$4:$D$8,2,0)</f>
        <v>3</v>
      </c>
    </row>
    <row r="75" spans="1:12" x14ac:dyDescent="0.25">
      <c r="A75" t="s">
        <v>45</v>
      </c>
      <c r="B75" t="s">
        <v>15</v>
      </c>
      <c r="C75">
        <v>30</v>
      </c>
      <c r="D75" t="s">
        <v>16</v>
      </c>
      <c r="E75" s="7">
        <v>44701</v>
      </c>
      <c r="F75" t="s">
        <v>9</v>
      </c>
      <c r="G75" s="5">
        <v>67950</v>
      </c>
      <c r="H75" t="s">
        <v>207</v>
      </c>
      <c r="I75" s="11">
        <f ca="1">(TODAY()-staff[[#This Row],[Date Joined]])/365</f>
        <v>2.106849315068493</v>
      </c>
      <c r="J75" s="71">
        <f ca="1">IF(staff[[#This Row],[Tenure]]&gt;2,3%,2%)*staff[[#This Row],[Salary]]</f>
        <v>2038.5</v>
      </c>
      <c r="K75" s="5">
        <v>67950</v>
      </c>
      <c r="L75">
        <f>VLOOKUP(staff[[#This Row],[Rating]],'RATING QUANTIFIED'!$C$4:$D$8,2,0)</f>
        <v>3</v>
      </c>
    </row>
    <row r="76" spans="1:12" x14ac:dyDescent="0.25">
      <c r="A76" t="s">
        <v>184</v>
      </c>
      <c r="B76" t="s">
        <v>8</v>
      </c>
      <c r="C76">
        <v>20</v>
      </c>
      <c r="D76" t="s">
        <v>24</v>
      </c>
      <c r="E76" s="7">
        <v>44476</v>
      </c>
      <c r="F76" t="s">
        <v>19</v>
      </c>
      <c r="G76" s="5">
        <v>68900</v>
      </c>
      <c r="H76" t="s">
        <v>205</v>
      </c>
      <c r="I76" s="11">
        <f ca="1">(TODAY()-staff[[#This Row],[Date Joined]])/365</f>
        <v>2.7232876712328768</v>
      </c>
      <c r="J76" s="71">
        <f ca="1">IF(staff[[#This Row],[Tenure]]&gt;2,3%,2%)*staff[[#This Row],[Salary]]</f>
        <v>2067</v>
      </c>
      <c r="K76" s="5">
        <v>68900</v>
      </c>
      <c r="L76">
        <f>VLOOKUP(staff[[#This Row],[Rating]],'RATING QUANTIFIED'!$C$4:$D$8,2,0)</f>
        <v>2</v>
      </c>
    </row>
    <row r="77" spans="1:12" x14ac:dyDescent="0.25">
      <c r="A77" t="s">
        <v>91</v>
      </c>
      <c r="B77" t="s">
        <v>8</v>
      </c>
      <c r="C77">
        <v>20</v>
      </c>
      <c r="D77" t="s">
        <v>24</v>
      </c>
      <c r="E77" s="7">
        <v>44537</v>
      </c>
      <c r="F77" t="s">
        <v>19</v>
      </c>
      <c r="G77" s="5">
        <v>68900</v>
      </c>
      <c r="H77" t="s">
        <v>207</v>
      </c>
      <c r="I77" s="11">
        <f ca="1">(TODAY()-staff[[#This Row],[Date Joined]])/365</f>
        <v>2.5561643835616437</v>
      </c>
      <c r="J77" s="71">
        <f ca="1">IF(staff[[#This Row],[Tenure]]&gt;2,3%,2%)*staff[[#This Row],[Salary]]</f>
        <v>2067</v>
      </c>
      <c r="K77" s="5">
        <v>68900</v>
      </c>
      <c r="L77">
        <f>VLOOKUP(staff[[#This Row],[Rating]],'RATING QUANTIFIED'!$C$4:$D$8,2,0)</f>
        <v>2</v>
      </c>
    </row>
    <row r="78" spans="1:12" x14ac:dyDescent="0.25">
      <c r="A78" t="s">
        <v>190</v>
      </c>
      <c r="B78" t="s">
        <v>15</v>
      </c>
      <c r="C78">
        <v>37</v>
      </c>
      <c r="D78" t="s">
        <v>16</v>
      </c>
      <c r="E78" s="7">
        <v>44640</v>
      </c>
      <c r="F78" t="s">
        <v>12</v>
      </c>
      <c r="G78" s="5">
        <v>69070</v>
      </c>
      <c r="H78" t="s">
        <v>205</v>
      </c>
      <c r="I78" s="11">
        <f ca="1">(TODAY()-staff[[#This Row],[Date Joined]])/365</f>
        <v>2.2739726027397262</v>
      </c>
      <c r="J78" s="71">
        <f ca="1">IF(staff[[#This Row],[Tenure]]&gt;2,3%,2%)*staff[[#This Row],[Salary]]</f>
        <v>2072.1</v>
      </c>
      <c r="K78" s="5">
        <v>69070</v>
      </c>
      <c r="L78">
        <f>VLOOKUP(staff[[#This Row],[Rating]],'RATING QUANTIFIED'!$C$4:$D$8,2,0)</f>
        <v>3</v>
      </c>
    </row>
    <row r="79" spans="1:12" x14ac:dyDescent="0.25">
      <c r="A79" t="s">
        <v>97</v>
      </c>
      <c r="B79" t="s">
        <v>15</v>
      </c>
      <c r="C79">
        <v>37</v>
      </c>
      <c r="D79" t="s">
        <v>16</v>
      </c>
      <c r="E79" s="7">
        <v>44701</v>
      </c>
      <c r="F79" t="s">
        <v>12</v>
      </c>
      <c r="G79" s="5">
        <v>69070</v>
      </c>
      <c r="H79" t="s">
        <v>207</v>
      </c>
      <c r="I79" s="11">
        <f ca="1">(TODAY()-staff[[#This Row],[Date Joined]])/365</f>
        <v>2.106849315068493</v>
      </c>
      <c r="J79" s="71">
        <f ca="1">IF(staff[[#This Row],[Tenure]]&gt;2,3%,2%)*staff[[#This Row],[Salary]]</f>
        <v>2072.1</v>
      </c>
      <c r="K79" s="5">
        <v>69070</v>
      </c>
      <c r="L79">
        <f>VLOOKUP(staff[[#This Row],[Rating]],'RATING QUANTIFIED'!$C$4:$D$8,2,0)</f>
        <v>3</v>
      </c>
    </row>
    <row r="80" spans="1:12" x14ac:dyDescent="0.25">
      <c r="A80" t="s">
        <v>119</v>
      </c>
      <c r="B80" t="s">
        <v>15</v>
      </c>
      <c r="C80">
        <v>30</v>
      </c>
      <c r="D80" t="s">
        <v>16</v>
      </c>
      <c r="E80" s="7">
        <v>44214</v>
      </c>
      <c r="F80" t="s">
        <v>12</v>
      </c>
      <c r="G80" s="5">
        <v>69120</v>
      </c>
      <c r="H80" t="s">
        <v>205</v>
      </c>
      <c r="I80" s="11">
        <f ca="1">(TODAY()-staff[[#This Row],[Date Joined]])/365</f>
        <v>3.441095890410959</v>
      </c>
      <c r="J80" s="71">
        <f ca="1">IF(staff[[#This Row],[Tenure]]&gt;2,3%,2%)*staff[[#This Row],[Salary]]</f>
        <v>2073.6</v>
      </c>
      <c r="K80" s="5">
        <v>69120</v>
      </c>
      <c r="L80">
        <f>VLOOKUP(staff[[#This Row],[Rating]],'RATING QUANTIFIED'!$C$4:$D$8,2,0)</f>
        <v>3</v>
      </c>
    </row>
    <row r="81" spans="1:12" x14ac:dyDescent="0.25">
      <c r="A81" t="s">
        <v>25</v>
      </c>
      <c r="B81" t="s">
        <v>15</v>
      </c>
      <c r="C81">
        <v>30</v>
      </c>
      <c r="D81" t="s">
        <v>16</v>
      </c>
      <c r="E81" s="7">
        <v>44273</v>
      </c>
      <c r="F81" t="s">
        <v>12</v>
      </c>
      <c r="G81" s="5">
        <v>69120</v>
      </c>
      <c r="H81" t="s">
        <v>207</v>
      </c>
      <c r="I81" s="11">
        <f ca="1">(TODAY()-staff[[#This Row],[Date Joined]])/365</f>
        <v>3.2794520547945205</v>
      </c>
      <c r="J81" s="71">
        <f ca="1">IF(staff[[#This Row],[Tenure]]&gt;2,3%,2%)*staff[[#This Row],[Salary]]</f>
        <v>2073.6</v>
      </c>
      <c r="K81" s="5">
        <v>69120</v>
      </c>
      <c r="L81">
        <f>VLOOKUP(staff[[#This Row],[Rating]],'RATING QUANTIFIED'!$C$4:$D$8,2,0)</f>
        <v>3</v>
      </c>
    </row>
    <row r="82" spans="1:12" x14ac:dyDescent="0.25">
      <c r="A82" s="6" t="s">
        <v>159</v>
      </c>
      <c r="B82" s="6" t="s">
        <v>15</v>
      </c>
      <c r="C82" s="6">
        <v>30</v>
      </c>
      <c r="D82" s="6" t="s">
        <v>16</v>
      </c>
      <c r="E82" s="7">
        <v>44789</v>
      </c>
      <c r="F82" s="6" t="s">
        <v>12</v>
      </c>
      <c r="G82" s="5">
        <v>69710</v>
      </c>
      <c r="H82" s="6" t="s">
        <v>205</v>
      </c>
      <c r="I82" s="11">
        <f ca="1">(TODAY()-staff[[#This Row],[Date Joined]])/365</f>
        <v>1.8657534246575342</v>
      </c>
      <c r="J82" s="71">
        <f ca="1">IF(staff[[#This Row],[Tenure]]&gt;2,3%,2%)*staff[[#This Row],[Salary]]</f>
        <v>1394.2</v>
      </c>
      <c r="K82" s="5">
        <v>69710</v>
      </c>
      <c r="L82">
        <f>VLOOKUP(staff[[#This Row],[Rating]],'RATING QUANTIFIED'!$C$4:$D$8,2,0)</f>
        <v>3</v>
      </c>
    </row>
    <row r="83" spans="1:12" x14ac:dyDescent="0.25">
      <c r="A83" t="s">
        <v>67</v>
      </c>
      <c r="B83" t="s">
        <v>15</v>
      </c>
      <c r="C83">
        <v>30</v>
      </c>
      <c r="D83" t="s">
        <v>16</v>
      </c>
      <c r="E83" s="7">
        <v>44850</v>
      </c>
      <c r="F83" t="s">
        <v>12</v>
      </c>
      <c r="G83" s="5">
        <v>69710</v>
      </c>
      <c r="H83" t="s">
        <v>207</v>
      </c>
      <c r="I83" s="11">
        <f ca="1">(TODAY()-staff[[#This Row],[Date Joined]])/365</f>
        <v>1.6986301369863013</v>
      </c>
      <c r="J83" s="71">
        <f ca="1">IF(staff[[#This Row],[Tenure]]&gt;2,3%,2%)*staff[[#This Row],[Salary]]</f>
        <v>1394.2</v>
      </c>
      <c r="K83" s="5">
        <v>69710</v>
      </c>
      <c r="L83">
        <f>VLOOKUP(staff[[#This Row],[Rating]],'RATING QUANTIFIED'!$C$4:$D$8,2,0)</f>
        <v>3</v>
      </c>
    </row>
    <row r="84" spans="1:12" x14ac:dyDescent="0.25">
      <c r="A84" t="s">
        <v>183</v>
      </c>
      <c r="B84" t="s">
        <v>15</v>
      </c>
      <c r="C84">
        <v>42</v>
      </c>
      <c r="D84" t="s">
        <v>24</v>
      </c>
      <c r="E84" s="7">
        <v>44670</v>
      </c>
      <c r="F84" t="s">
        <v>21</v>
      </c>
      <c r="G84" s="5">
        <v>70270</v>
      </c>
      <c r="H84" t="s">
        <v>205</v>
      </c>
      <c r="I84" s="11">
        <f ca="1">(TODAY()-staff[[#This Row],[Date Joined]])/365</f>
        <v>2.1917808219178081</v>
      </c>
      <c r="J84" s="71">
        <f ca="1">IF(staff[[#This Row],[Tenure]]&gt;2,3%,2%)*staff[[#This Row],[Salary]]</f>
        <v>2108.1</v>
      </c>
      <c r="K84" s="5">
        <v>70270</v>
      </c>
      <c r="L84">
        <f>VLOOKUP(staff[[#This Row],[Rating]],'RATING QUANTIFIED'!$C$4:$D$8,2,0)</f>
        <v>2</v>
      </c>
    </row>
    <row r="85" spans="1:12" x14ac:dyDescent="0.25">
      <c r="A85" t="s">
        <v>90</v>
      </c>
      <c r="B85" t="s">
        <v>15</v>
      </c>
      <c r="C85">
        <v>42</v>
      </c>
      <c r="D85" t="s">
        <v>24</v>
      </c>
      <c r="E85" s="7">
        <v>44731</v>
      </c>
      <c r="F85" t="s">
        <v>21</v>
      </c>
      <c r="G85" s="5">
        <v>70270</v>
      </c>
      <c r="H85" t="s">
        <v>207</v>
      </c>
      <c r="I85" s="11">
        <f ca="1">(TODAY()-staff[[#This Row],[Date Joined]])/365</f>
        <v>2.0246575342465754</v>
      </c>
      <c r="J85" s="71">
        <f ca="1">IF(staff[[#This Row],[Tenure]]&gt;2,3%,2%)*staff[[#This Row],[Salary]]</f>
        <v>2108.1</v>
      </c>
      <c r="K85" s="5">
        <v>70270</v>
      </c>
      <c r="L85">
        <f>VLOOKUP(staff[[#This Row],[Rating]],'RATING QUANTIFIED'!$C$4:$D$8,2,0)</f>
        <v>2</v>
      </c>
    </row>
    <row r="86" spans="1:12" x14ac:dyDescent="0.25">
      <c r="A86" t="s">
        <v>162</v>
      </c>
      <c r="B86" t="s">
        <v>15</v>
      </c>
      <c r="C86">
        <v>46</v>
      </c>
      <c r="D86" t="s">
        <v>16</v>
      </c>
      <c r="E86" s="7">
        <v>44697</v>
      </c>
      <c r="F86" t="s">
        <v>9</v>
      </c>
      <c r="G86" s="5">
        <v>70610</v>
      </c>
      <c r="H86" t="s">
        <v>205</v>
      </c>
      <c r="I86" s="11">
        <f ca="1">(TODAY()-staff[[#This Row],[Date Joined]])/365</f>
        <v>2.117808219178082</v>
      </c>
      <c r="J86" s="71">
        <f ca="1">IF(staff[[#This Row],[Tenure]]&gt;2,3%,2%)*staff[[#This Row],[Salary]]</f>
        <v>2118.2999999999997</v>
      </c>
      <c r="K86" s="5">
        <v>70610</v>
      </c>
      <c r="L86">
        <f>VLOOKUP(staff[[#This Row],[Rating]],'RATING QUANTIFIED'!$C$4:$D$8,2,0)</f>
        <v>3</v>
      </c>
    </row>
    <row r="87" spans="1:12" x14ac:dyDescent="0.25">
      <c r="A87" t="s">
        <v>70</v>
      </c>
      <c r="B87" t="s">
        <v>15</v>
      </c>
      <c r="C87">
        <v>46</v>
      </c>
      <c r="D87" t="s">
        <v>16</v>
      </c>
      <c r="E87" s="7">
        <v>44758</v>
      </c>
      <c r="F87" t="s">
        <v>9</v>
      </c>
      <c r="G87" s="5">
        <v>70610</v>
      </c>
      <c r="H87" t="s">
        <v>207</v>
      </c>
      <c r="I87" s="11">
        <f ca="1">(TODAY()-staff[[#This Row],[Date Joined]])/365</f>
        <v>1.9506849315068493</v>
      </c>
      <c r="J87" s="71">
        <f ca="1">IF(staff[[#This Row],[Tenure]]&gt;2,3%,2%)*staff[[#This Row],[Salary]]</f>
        <v>1412.2</v>
      </c>
      <c r="K87" s="5">
        <v>70610</v>
      </c>
      <c r="L87">
        <f>VLOOKUP(staff[[#This Row],[Rating]],'RATING QUANTIFIED'!$C$4:$D$8,2,0)</f>
        <v>3</v>
      </c>
    </row>
    <row r="88" spans="1:12" x14ac:dyDescent="0.25">
      <c r="A88" t="s">
        <v>187</v>
      </c>
      <c r="B88" t="s">
        <v>15</v>
      </c>
      <c r="C88">
        <v>36</v>
      </c>
      <c r="D88" t="s">
        <v>16</v>
      </c>
      <c r="E88" s="7">
        <v>44272</v>
      </c>
      <c r="F88" t="s">
        <v>21</v>
      </c>
      <c r="G88" s="5">
        <v>71380</v>
      </c>
      <c r="H88" t="s">
        <v>205</v>
      </c>
      <c r="I88" s="11">
        <f ca="1">(TODAY()-staff[[#This Row],[Date Joined]])/365</f>
        <v>3.2821917808219179</v>
      </c>
      <c r="J88" s="71">
        <f ca="1">IF(staff[[#This Row],[Tenure]]&gt;2,3%,2%)*staff[[#This Row],[Salary]]</f>
        <v>2141.4</v>
      </c>
      <c r="K88" s="5">
        <v>71380</v>
      </c>
      <c r="L88">
        <f>VLOOKUP(staff[[#This Row],[Rating]],'RATING QUANTIFIED'!$C$4:$D$8,2,0)</f>
        <v>3</v>
      </c>
    </row>
    <row r="89" spans="1:12" x14ac:dyDescent="0.25">
      <c r="A89" t="s">
        <v>94</v>
      </c>
      <c r="B89" t="s">
        <v>15</v>
      </c>
      <c r="C89">
        <v>36</v>
      </c>
      <c r="D89" t="s">
        <v>16</v>
      </c>
      <c r="E89" s="7">
        <v>44333</v>
      </c>
      <c r="F89" t="s">
        <v>21</v>
      </c>
      <c r="G89" s="5">
        <v>71380</v>
      </c>
      <c r="H89" t="s">
        <v>207</v>
      </c>
      <c r="I89" s="11">
        <f ca="1">(TODAY()-staff[[#This Row],[Date Joined]])/365</f>
        <v>3.1150684931506851</v>
      </c>
      <c r="J89" s="71">
        <f ca="1">IF(staff[[#This Row],[Tenure]]&gt;2,3%,2%)*staff[[#This Row],[Salary]]</f>
        <v>2141.4</v>
      </c>
      <c r="K89" s="5">
        <v>71380</v>
      </c>
      <c r="L89">
        <f>VLOOKUP(staff[[#This Row],[Rating]],'RATING QUANTIFIED'!$C$4:$D$8,2,0)</f>
        <v>3</v>
      </c>
    </row>
    <row r="90" spans="1:12" x14ac:dyDescent="0.25">
      <c r="A90" s="6" t="s">
        <v>115</v>
      </c>
      <c r="B90" s="6" t="s">
        <v>15</v>
      </c>
      <c r="C90" s="6">
        <v>33</v>
      </c>
      <c r="D90" s="6" t="s">
        <v>16</v>
      </c>
      <c r="E90" s="7">
        <v>44324</v>
      </c>
      <c r="F90" s="6" t="s">
        <v>19</v>
      </c>
      <c r="G90" s="5">
        <v>74550</v>
      </c>
      <c r="H90" s="6" t="s">
        <v>205</v>
      </c>
      <c r="I90" s="11">
        <f ca="1">(TODAY()-staff[[#This Row],[Date Joined]])/365</f>
        <v>3.1397260273972605</v>
      </c>
      <c r="J90" s="71">
        <f ca="1">IF(staff[[#This Row],[Tenure]]&gt;2,3%,2%)*staff[[#This Row],[Salary]]</f>
        <v>2236.5</v>
      </c>
      <c r="K90" s="5">
        <v>74550</v>
      </c>
      <c r="L90">
        <f>VLOOKUP(staff[[#This Row],[Rating]],'RATING QUANTIFIED'!$C$4:$D$8,2,0)</f>
        <v>3</v>
      </c>
    </row>
    <row r="91" spans="1:12" x14ac:dyDescent="0.25">
      <c r="A91" t="s">
        <v>18</v>
      </c>
      <c r="B91" t="s">
        <v>15</v>
      </c>
      <c r="C91">
        <v>33</v>
      </c>
      <c r="D91" t="s">
        <v>16</v>
      </c>
      <c r="E91" s="7">
        <v>44385</v>
      </c>
      <c r="F91" t="s">
        <v>19</v>
      </c>
      <c r="G91" s="5">
        <v>74550</v>
      </c>
      <c r="H91" t="s">
        <v>207</v>
      </c>
      <c r="I91" s="11">
        <f ca="1">(TODAY()-staff[[#This Row],[Date Joined]])/365</f>
        <v>2.9726027397260273</v>
      </c>
      <c r="J91" s="71">
        <f ca="1">IF(staff[[#This Row],[Tenure]]&gt;2,3%,2%)*staff[[#This Row],[Salary]]</f>
        <v>2236.5</v>
      </c>
      <c r="K91" s="5">
        <v>74550</v>
      </c>
      <c r="L91">
        <f>VLOOKUP(staff[[#This Row],[Rating]],'RATING QUANTIFIED'!$C$4:$D$8,2,0)</f>
        <v>3</v>
      </c>
    </row>
    <row r="92" spans="1:12" x14ac:dyDescent="0.25">
      <c r="A92" s="6" t="s">
        <v>111</v>
      </c>
      <c r="B92" s="6" t="s">
        <v>8</v>
      </c>
      <c r="C92" s="6">
        <v>42</v>
      </c>
      <c r="D92" s="6" t="s">
        <v>10</v>
      </c>
      <c r="E92" s="7">
        <v>44718</v>
      </c>
      <c r="F92" s="6" t="s">
        <v>9</v>
      </c>
      <c r="G92" s="5">
        <v>75000</v>
      </c>
      <c r="H92" s="6" t="s">
        <v>205</v>
      </c>
      <c r="I92" s="11">
        <f ca="1">(TODAY()-staff[[#This Row],[Date Joined]])/365</f>
        <v>2.0602739726027397</v>
      </c>
      <c r="J92" s="71">
        <f ca="1">IF(staff[[#This Row],[Tenure]]&gt;2,3%,2%)*staff[[#This Row],[Salary]]</f>
        <v>2250</v>
      </c>
      <c r="K92" s="5">
        <v>75000</v>
      </c>
      <c r="L92">
        <f>VLOOKUP(staff[[#This Row],[Rating]],'RATING QUANTIFIED'!$C$4:$D$8,2,0)</f>
        <v>5</v>
      </c>
    </row>
    <row r="93" spans="1:12" x14ac:dyDescent="0.25">
      <c r="A93" t="s">
        <v>7</v>
      </c>
      <c r="B93" t="s">
        <v>8</v>
      </c>
      <c r="C93">
        <v>42</v>
      </c>
      <c r="D93" t="s">
        <v>10</v>
      </c>
      <c r="E93" s="7">
        <v>44779</v>
      </c>
      <c r="F93" t="s">
        <v>9</v>
      </c>
      <c r="G93" s="5">
        <v>75000</v>
      </c>
      <c r="H93" t="s">
        <v>207</v>
      </c>
      <c r="I93" s="11">
        <f ca="1">(TODAY()-staff[[#This Row],[Date Joined]])/365</f>
        <v>1.893150684931507</v>
      </c>
      <c r="J93" s="71">
        <f ca="1">IF(staff[[#This Row],[Tenure]]&gt;2,3%,2%)*staff[[#This Row],[Salary]]</f>
        <v>1500</v>
      </c>
      <c r="K93" s="5">
        <v>75000</v>
      </c>
      <c r="L93">
        <f>VLOOKUP(staff[[#This Row],[Rating]],'RATING QUANTIFIED'!$C$4:$D$8,2,0)</f>
        <v>5</v>
      </c>
    </row>
    <row r="94" spans="1:12" x14ac:dyDescent="0.25">
      <c r="A94" t="s">
        <v>188</v>
      </c>
      <c r="B94" t="s">
        <v>8</v>
      </c>
      <c r="C94">
        <v>33</v>
      </c>
      <c r="D94" t="s">
        <v>16</v>
      </c>
      <c r="E94" s="7">
        <v>44253</v>
      </c>
      <c r="F94" t="s">
        <v>12</v>
      </c>
      <c r="G94" s="5">
        <v>75280</v>
      </c>
      <c r="H94" t="s">
        <v>205</v>
      </c>
      <c r="I94" s="11">
        <f ca="1">(TODAY()-staff[[#This Row],[Date Joined]])/365</f>
        <v>3.3342465753424659</v>
      </c>
      <c r="J94" s="71">
        <f ca="1">IF(staff[[#This Row],[Tenure]]&gt;2,3%,2%)*staff[[#This Row],[Salary]]</f>
        <v>2258.4</v>
      </c>
      <c r="K94" s="5">
        <v>75280</v>
      </c>
      <c r="L94">
        <f>VLOOKUP(staff[[#This Row],[Rating]],'RATING QUANTIFIED'!$C$4:$D$8,2,0)</f>
        <v>3</v>
      </c>
    </row>
    <row r="95" spans="1:12" x14ac:dyDescent="0.25">
      <c r="A95" t="s">
        <v>95</v>
      </c>
      <c r="B95" t="s">
        <v>8</v>
      </c>
      <c r="C95">
        <v>33</v>
      </c>
      <c r="D95" t="s">
        <v>16</v>
      </c>
      <c r="E95" s="7">
        <v>44312</v>
      </c>
      <c r="F95" t="s">
        <v>12</v>
      </c>
      <c r="G95" s="5">
        <v>75280</v>
      </c>
      <c r="H95" t="s">
        <v>207</v>
      </c>
      <c r="I95" s="11">
        <f ca="1">(TODAY()-staff[[#This Row],[Date Joined]])/365</f>
        <v>3.1726027397260275</v>
      </c>
      <c r="J95" s="71">
        <f ca="1">IF(staff[[#This Row],[Tenure]]&gt;2,3%,2%)*staff[[#This Row],[Salary]]</f>
        <v>2258.4</v>
      </c>
      <c r="K95" s="5">
        <v>75280</v>
      </c>
      <c r="L95">
        <f>VLOOKUP(staff[[#This Row],[Rating]],'RATING QUANTIFIED'!$C$4:$D$8,2,0)</f>
        <v>3</v>
      </c>
    </row>
    <row r="96" spans="1:12" x14ac:dyDescent="0.25">
      <c r="A96" t="s">
        <v>135</v>
      </c>
      <c r="B96" t="s">
        <v>8</v>
      </c>
      <c r="C96">
        <v>33</v>
      </c>
      <c r="D96" t="s">
        <v>42</v>
      </c>
      <c r="E96" s="7">
        <v>44313</v>
      </c>
      <c r="F96" t="s">
        <v>12</v>
      </c>
      <c r="G96" s="5">
        <v>75480</v>
      </c>
      <c r="H96" t="s">
        <v>205</v>
      </c>
      <c r="I96" s="11">
        <f ca="1">(TODAY()-staff[[#This Row],[Date Joined]])/365</f>
        <v>3.1698630136986301</v>
      </c>
      <c r="J96" s="71">
        <f ca="1">IF(staff[[#This Row],[Tenure]]&gt;2,3%,2%)*staff[[#This Row],[Salary]]</f>
        <v>2264.4</v>
      </c>
      <c r="K96" s="5">
        <v>75480</v>
      </c>
      <c r="L96">
        <f>VLOOKUP(staff[[#This Row],[Rating]],'RATING QUANTIFIED'!$C$4:$D$8,2,0)</f>
        <v>1</v>
      </c>
    </row>
    <row r="97" spans="1:12" x14ac:dyDescent="0.25">
      <c r="A97" t="s">
        <v>41</v>
      </c>
      <c r="B97" t="s">
        <v>8</v>
      </c>
      <c r="C97">
        <v>33</v>
      </c>
      <c r="D97" t="s">
        <v>42</v>
      </c>
      <c r="E97" s="7">
        <v>44374</v>
      </c>
      <c r="F97" t="s">
        <v>12</v>
      </c>
      <c r="G97" s="5">
        <v>75480</v>
      </c>
      <c r="H97" t="s">
        <v>207</v>
      </c>
      <c r="I97" s="11">
        <f ca="1">(TODAY()-staff[[#This Row],[Date Joined]])/365</f>
        <v>3.0027397260273974</v>
      </c>
      <c r="J97" s="71">
        <f ca="1">IF(staff[[#This Row],[Tenure]]&gt;2,3%,2%)*staff[[#This Row],[Salary]]</f>
        <v>2264.4</v>
      </c>
      <c r="K97" s="5">
        <v>75480</v>
      </c>
      <c r="L97">
        <f>VLOOKUP(staff[[#This Row],[Rating]],'RATING QUANTIFIED'!$C$4:$D$8,2,0)</f>
        <v>1</v>
      </c>
    </row>
    <row r="98" spans="1:12" x14ac:dyDescent="0.25">
      <c r="A98" t="s">
        <v>170</v>
      </c>
      <c r="B98" t="s">
        <v>15</v>
      </c>
      <c r="C98">
        <v>21</v>
      </c>
      <c r="D98" t="s">
        <v>16</v>
      </c>
      <c r="E98" s="7">
        <v>44180</v>
      </c>
      <c r="F98" t="s">
        <v>56</v>
      </c>
      <c r="G98" s="5">
        <v>75880</v>
      </c>
      <c r="H98" t="s">
        <v>205</v>
      </c>
      <c r="I98" s="11">
        <f ca="1">(TODAY()-staff[[#This Row],[Date Joined]])/365</f>
        <v>3.5342465753424657</v>
      </c>
      <c r="J98" s="71">
        <f ca="1">IF(staff[[#This Row],[Tenure]]&gt;2,3%,2%)*staff[[#This Row],[Salary]]</f>
        <v>2276.4</v>
      </c>
      <c r="K98" s="5">
        <v>75880</v>
      </c>
      <c r="L98">
        <f>VLOOKUP(staff[[#This Row],[Rating]],'RATING QUANTIFIED'!$C$4:$D$8,2,0)</f>
        <v>3</v>
      </c>
    </row>
    <row r="99" spans="1:12" x14ac:dyDescent="0.25">
      <c r="A99" t="s">
        <v>78</v>
      </c>
      <c r="B99" t="s">
        <v>15</v>
      </c>
      <c r="C99">
        <v>21</v>
      </c>
      <c r="D99" t="s">
        <v>16</v>
      </c>
      <c r="E99" s="7">
        <v>44242</v>
      </c>
      <c r="F99" t="s">
        <v>56</v>
      </c>
      <c r="G99" s="5">
        <v>75880</v>
      </c>
      <c r="H99" t="s">
        <v>207</v>
      </c>
      <c r="I99" s="11">
        <f ca="1">(TODAY()-staff[[#This Row],[Date Joined]])/365</f>
        <v>3.3643835616438356</v>
      </c>
      <c r="J99" s="71">
        <f ca="1">IF(staff[[#This Row],[Tenure]]&gt;2,3%,2%)*staff[[#This Row],[Salary]]</f>
        <v>2276.4</v>
      </c>
      <c r="K99" s="5">
        <v>75880</v>
      </c>
      <c r="L99">
        <f>VLOOKUP(staff[[#This Row],[Rating]],'RATING QUANTIFIED'!$C$4:$D$8,2,0)</f>
        <v>3</v>
      </c>
    </row>
    <row r="100" spans="1:12" x14ac:dyDescent="0.25">
      <c r="A100" t="s">
        <v>129</v>
      </c>
      <c r="B100" t="s">
        <v>8</v>
      </c>
      <c r="C100">
        <v>28</v>
      </c>
      <c r="D100" t="s">
        <v>16</v>
      </c>
      <c r="E100" s="7">
        <v>44124</v>
      </c>
      <c r="F100" t="s">
        <v>21</v>
      </c>
      <c r="G100" s="5">
        <v>75970</v>
      </c>
      <c r="H100" t="s">
        <v>205</v>
      </c>
      <c r="I100" s="11">
        <f ca="1">(TODAY()-staff[[#This Row],[Date Joined]])/365</f>
        <v>3.6876712328767125</v>
      </c>
      <c r="J100" s="71">
        <f ca="1">IF(staff[[#This Row],[Tenure]]&gt;2,3%,2%)*staff[[#This Row],[Salary]]</f>
        <v>2279.1</v>
      </c>
      <c r="K100" s="5">
        <v>75970</v>
      </c>
      <c r="L100">
        <f>VLOOKUP(staff[[#This Row],[Rating]],'RATING QUANTIFIED'!$C$4:$D$8,2,0)</f>
        <v>3</v>
      </c>
    </row>
    <row r="101" spans="1:12" x14ac:dyDescent="0.25">
      <c r="A101" t="s">
        <v>35</v>
      </c>
      <c r="B101" t="s">
        <v>8</v>
      </c>
      <c r="C101">
        <v>28</v>
      </c>
      <c r="D101" t="s">
        <v>16</v>
      </c>
      <c r="E101" s="7">
        <v>44185</v>
      </c>
      <c r="F101" t="s">
        <v>21</v>
      </c>
      <c r="G101" s="5">
        <v>75970</v>
      </c>
      <c r="H101" t="s">
        <v>207</v>
      </c>
      <c r="I101" s="11">
        <f ca="1">(TODAY()-staff[[#This Row],[Date Joined]])/365</f>
        <v>3.5205479452054793</v>
      </c>
      <c r="J101" s="71">
        <f ca="1">IF(staff[[#This Row],[Tenure]]&gt;2,3%,2%)*staff[[#This Row],[Salary]]</f>
        <v>2279.1</v>
      </c>
      <c r="K101" s="5">
        <v>75970</v>
      </c>
      <c r="L101">
        <f>VLOOKUP(staff[[#This Row],[Rating]],'RATING QUANTIFIED'!$C$4:$D$8,2,0)</f>
        <v>3</v>
      </c>
    </row>
    <row r="102" spans="1:12" x14ac:dyDescent="0.25">
      <c r="A102" s="6" t="s">
        <v>154</v>
      </c>
      <c r="B102" s="6" t="s">
        <v>8</v>
      </c>
      <c r="C102" s="6">
        <v>22</v>
      </c>
      <c r="D102" s="6" t="s">
        <v>13</v>
      </c>
      <c r="E102" s="7">
        <v>44388</v>
      </c>
      <c r="F102" s="6" t="s">
        <v>9</v>
      </c>
      <c r="G102" s="5">
        <v>76900</v>
      </c>
      <c r="H102" s="6" t="s">
        <v>205</v>
      </c>
      <c r="I102" s="11">
        <f ca="1">(TODAY()-staff[[#This Row],[Date Joined]])/365</f>
        <v>2.9643835616438357</v>
      </c>
      <c r="J102" s="71">
        <f ca="1">IF(staff[[#This Row],[Tenure]]&gt;2,3%,2%)*staff[[#This Row],[Salary]]</f>
        <v>2307</v>
      </c>
      <c r="K102" s="5">
        <v>76900</v>
      </c>
      <c r="L102">
        <f>VLOOKUP(staff[[#This Row],[Rating]],'RATING QUANTIFIED'!$C$4:$D$8,2,0)</f>
        <v>4</v>
      </c>
    </row>
    <row r="103" spans="1:12" x14ac:dyDescent="0.25">
      <c r="A103" t="s">
        <v>62</v>
      </c>
      <c r="B103" t="s">
        <v>8</v>
      </c>
      <c r="C103">
        <v>22</v>
      </c>
      <c r="D103" t="s">
        <v>13</v>
      </c>
      <c r="E103" s="7">
        <v>44450</v>
      </c>
      <c r="F103" t="s">
        <v>9</v>
      </c>
      <c r="G103" s="5">
        <v>76900</v>
      </c>
      <c r="H103" t="s">
        <v>207</v>
      </c>
      <c r="I103" s="11">
        <f ca="1">(TODAY()-staff[[#This Row],[Date Joined]])/365</f>
        <v>2.7945205479452055</v>
      </c>
      <c r="J103" s="71">
        <f ca="1">IF(staff[[#This Row],[Tenure]]&gt;2,3%,2%)*staff[[#This Row],[Salary]]</f>
        <v>2307</v>
      </c>
      <c r="K103" s="5">
        <v>76900</v>
      </c>
      <c r="L103">
        <f>VLOOKUP(staff[[#This Row],[Rating]],'RATING QUANTIFIED'!$C$4:$D$8,2,0)</f>
        <v>4</v>
      </c>
    </row>
    <row r="104" spans="1:12" x14ac:dyDescent="0.25">
      <c r="A104" t="s">
        <v>164</v>
      </c>
      <c r="B104" t="s">
        <v>8</v>
      </c>
      <c r="C104">
        <v>36</v>
      </c>
      <c r="D104" t="s">
        <v>16</v>
      </c>
      <c r="E104" s="7">
        <v>44468</v>
      </c>
      <c r="F104" t="s">
        <v>9</v>
      </c>
      <c r="G104" s="5">
        <v>78390</v>
      </c>
      <c r="H104" t="s">
        <v>205</v>
      </c>
      <c r="I104" s="11">
        <f ca="1">(TODAY()-staff[[#This Row],[Date Joined]])/365</f>
        <v>2.7452054794520548</v>
      </c>
      <c r="J104" s="71">
        <f ca="1">IF(staff[[#This Row],[Tenure]]&gt;2,3%,2%)*staff[[#This Row],[Salary]]</f>
        <v>2351.6999999999998</v>
      </c>
      <c r="K104" s="5">
        <v>78390</v>
      </c>
      <c r="L104">
        <f>VLOOKUP(staff[[#This Row],[Rating]],'RATING QUANTIFIED'!$C$4:$D$8,2,0)</f>
        <v>3</v>
      </c>
    </row>
    <row r="105" spans="1:12" x14ac:dyDescent="0.25">
      <c r="A105" t="s">
        <v>72</v>
      </c>
      <c r="B105" t="s">
        <v>8</v>
      </c>
      <c r="C105">
        <v>36</v>
      </c>
      <c r="D105" t="s">
        <v>16</v>
      </c>
      <c r="E105" s="7">
        <v>44529</v>
      </c>
      <c r="F105" t="s">
        <v>9</v>
      </c>
      <c r="G105" s="5">
        <v>78390</v>
      </c>
      <c r="H105" t="s">
        <v>207</v>
      </c>
      <c r="I105" s="11">
        <f ca="1">(TODAY()-staff[[#This Row],[Date Joined]])/365</f>
        <v>2.5780821917808221</v>
      </c>
      <c r="J105" s="71">
        <f ca="1">IF(staff[[#This Row],[Tenure]]&gt;2,3%,2%)*staff[[#This Row],[Salary]]</f>
        <v>2351.6999999999998</v>
      </c>
      <c r="K105" s="5">
        <v>78390</v>
      </c>
      <c r="L105">
        <f>VLOOKUP(staff[[#This Row],[Rating]],'RATING QUANTIFIED'!$C$4:$D$8,2,0)</f>
        <v>3</v>
      </c>
    </row>
    <row r="106" spans="1:12" x14ac:dyDescent="0.25">
      <c r="A106" t="s">
        <v>141</v>
      </c>
      <c r="B106" t="s">
        <v>8</v>
      </c>
      <c r="C106">
        <v>36</v>
      </c>
      <c r="D106" t="s">
        <v>16</v>
      </c>
      <c r="E106" s="7">
        <v>44433</v>
      </c>
      <c r="F106" t="s">
        <v>19</v>
      </c>
      <c r="G106" s="5">
        <v>78540</v>
      </c>
      <c r="H106" t="s">
        <v>205</v>
      </c>
      <c r="I106" s="11">
        <f ca="1">(TODAY()-staff[[#This Row],[Date Joined]])/365</f>
        <v>2.8410958904109589</v>
      </c>
      <c r="J106" s="71">
        <f ca="1">IF(staff[[#This Row],[Tenure]]&gt;2,3%,2%)*staff[[#This Row],[Salary]]</f>
        <v>2356.1999999999998</v>
      </c>
      <c r="K106" s="5">
        <v>78540</v>
      </c>
      <c r="L106">
        <f>VLOOKUP(staff[[#This Row],[Rating]],'RATING QUANTIFIED'!$C$4:$D$8,2,0)</f>
        <v>3</v>
      </c>
    </row>
    <row r="107" spans="1:12" x14ac:dyDescent="0.25">
      <c r="A107" t="s">
        <v>48</v>
      </c>
      <c r="B107" t="s">
        <v>8</v>
      </c>
      <c r="C107">
        <v>36</v>
      </c>
      <c r="D107" t="s">
        <v>16</v>
      </c>
      <c r="E107" s="7">
        <v>44494</v>
      </c>
      <c r="F107" t="s">
        <v>19</v>
      </c>
      <c r="G107" s="5">
        <v>78540</v>
      </c>
      <c r="H107" t="s">
        <v>207</v>
      </c>
      <c r="I107" s="11">
        <f ca="1">(TODAY()-staff[[#This Row],[Date Joined]])/365</f>
        <v>2.6739726027397261</v>
      </c>
      <c r="J107" s="71">
        <f ca="1">IF(staff[[#This Row],[Tenure]]&gt;2,3%,2%)*staff[[#This Row],[Salary]]</f>
        <v>2356.1999999999998</v>
      </c>
      <c r="K107" s="5">
        <v>78540</v>
      </c>
      <c r="L107">
        <f>VLOOKUP(staff[[#This Row],[Rating]],'RATING QUANTIFIED'!$C$4:$D$8,2,0)</f>
        <v>3</v>
      </c>
    </row>
    <row r="108" spans="1:12" x14ac:dyDescent="0.25">
      <c r="A108" s="6" t="s">
        <v>197</v>
      </c>
      <c r="B108" s="6" t="s">
        <v>15</v>
      </c>
      <c r="C108" s="6">
        <v>20</v>
      </c>
      <c r="D108" s="6" t="s">
        <v>16</v>
      </c>
      <c r="E108" s="7">
        <v>44683</v>
      </c>
      <c r="F108" s="6" t="s">
        <v>9</v>
      </c>
      <c r="G108" s="5">
        <v>79570</v>
      </c>
      <c r="H108" s="6" t="s">
        <v>205</v>
      </c>
      <c r="I108" s="11">
        <f ca="1">(TODAY()-staff[[#This Row],[Date Joined]])/365</f>
        <v>2.1561643835616437</v>
      </c>
      <c r="J108" s="71">
        <f ca="1">IF(staff[[#This Row],[Tenure]]&gt;2,3%,2%)*staff[[#This Row],[Salary]]</f>
        <v>2387.1</v>
      </c>
      <c r="K108" s="5">
        <v>79570</v>
      </c>
      <c r="L108">
        <f>VLOOKUP(staff[[#This Row],[Rating]],'RATING QUANTIFIED'!$C$4:$D$8,2,0)</f>
        <v>3</v>
      </c>
    </row>
    <row r="109" spans="1:12" x14ac:dyDescent="0.25">
      <c r="A109" t="s">
        <v>104</v>
      </c>
      <c r="B109" t="s">
        <v>15</v>
      </c>
      <c r="C109">
        <v>20</v>
      </c>
      <c r="D109" t="s">
        <v>16</v>
      </c>
      <c r="E109" s="7">
        <v>44744</v>
      </c>
      <c r="F109" t="s">
        <v>9</v>
      </c>
      <c r="G109" s="5">
        <v>79570</v>
      </c>
      <c r="H109" t="s">
        <v>207</v>
      </c>
      <c r="I109" s="11">
        <f ca="1">(TODAY()-staff[[#This Row],[Date Joined]])/365</f>
        <v>1.989041095890411</v>
      </c>
      <c r="J109" s="71">
        <f ca="1">IF(staff[[#This Row],[Tenure]]&gt;2,3%,2%)*staff[[#This Row],[Salary]]</f>
        <v>1591.4</v>
      </c>
      <c r="K109" s="5">
        <v>79570</v>
      </c>
      <c r="L109">
        <f>VLOOKUP(staff[[#This Row],[Rating]],'RATING QUANTIFIED'!$C$4:$D$8,2,0)</f>
        <v>3</v>
      </c>
    </row>
    <row r="110" spans="1:12" x14ac:dyDescent="0.25">
      <c r="A110" t="s">
        <v>133</v>
      </c>
      <c r="B110" t="s">
        <v>8</v>
      </c>
      <c r="C110">
        <v>25</v>
      </c>
      <c r="D110" t="s">
        <v>13</v>
      </c>
      <c r="E110" s="7">
        <v>44633</v>
      </c>
      <c r="F110" t="s">
        <v>12</v>
      </c>
      <c r="G110" s="5">
        <v>80700</v>
      </c>
      <c r="H110" t="s">
        <v>205</v>
      </c>
      <c r="I110" s="11">
        <f ca="1">(TODAY()-staff[[#This Row],[Date Joined]])/365</f>
        <v>2.2931506849315069</v>
      </c>
      <c r="J110" s="71">
        <f ca="1">IF(staff[[#This Row],[Tenure]]&gt;2,3%,2%)*staff[[#This Row],[Salary]]</f>
        <v>2421</v>
      </c>
      <c r="K110" s="5">
        <v>80700</v>
      </c>
      <c r="L110">
        <f>VLOOKUP(staff[[#This Row],[Rating]],'RATING QUANTIFIED'!$C$4:$D$8,2,0)</f>
        <v>4</v>
      </c>
    </row>
    <row r="111" spans="1:12" x14ac:dyDescent="0.25">
      <c r="A111" t="s">
        <v>39</v>
      </c>
      <c r="B111" t="s">
        <v>8</v>
      </c>
      <c r="C111">
        <v>25</v>
      </c>
      <c r="D111" t="s">
        <v>13</v>
      </c>
      <c r="E111" s="7">
        <v>44694</v>
      </c>
      <c r="F111" t="s">
        <v>12</v>
      </c>
      <c r="G111" s="5">
        <v>80700</v>
      </c>
      <c r="H111" t="s">
        <v>207</v>
      </c>
      <c r="I111" s="11">
        <f ca="1">(TODAY()-staff[[#This Row],[Date Joined]])/365</f>
        <v>2.1260273972602741</v>
      </c>
      <c r="J111" s="71">
        <f ca="1">IF(staff[[#This Row],[Tenure]]&gt;2,3%,2%)*staff[[#This Row],[Salary]]</f>
        <v>2421</v>
      </c>
      <c r="K111" s="5">
        <v>80700</v>
      </c>
      <c r="L111">
        <f>VLOOKUP(staff[[#This Row],[Rating]],'RATING QUANTIFIED'!$C$4:$D$8,2,0)</f>
        <v>4</v>
      </c>
    </row>
    <row r="112" spans="1:12" x14ac:dyDescent="0.25">
      <c r="A112" t="s">
        <v>185</v>
      </c>
      <c r="B112" t="s">
        <v>8</v>
      </c>
      <c r="C112">
        <v>27</v>
      </c>
      <c r="D112" t="s">
        <v>16</v>
      </c>
      <c r="E112" s="7">
        <v>44625</v>
      </c>
      <c r="F112" t="s">
        <v>12</v>
      </c>
      <c r="G112" s="5">
        <v>83750</v>
      </c>
      <c r="H112" t="s">
        <v>205</v>
      </c>
      <c r="I112" s="11">
        <f ca="1">(TODAY()-staff[[#This Row],[Date Joined]])/365</f>
        <v>2.3150684931506849</v>
      </c>
      <c r="J112" s="71">
        <f ca="1">IF(staff[[#This Row],[Tenure]]&gt;2,3%,2%)*staff[[#This Row],[Salary]]</f>
        <v>2512.5</v>
      </c>
      <c r="K112" s="5">
        <v>83750</v>
      </c>
      <c r="L112">
        <f>VLOOKUP(staff[[#This Row],[Rating]],'RATING QUANTIFIED'!$C$4:$D$8,2,0)</f>
        <v>3</v>
      </c>
    </row>
    <row r="113" spans="1:12" x14ac:dyDescent="0.25">
      <c r="A113" t="s">
        <v>92</v>
      </c>
      <c r="B113" t="s">
        <v>8</v>
      </c>
      <c r="C113">
        <v>27</v>
      </c>
      <c r="D113" t="s">
        <v>16</v>
      </c>
      <c r="E113" s="7">
        <v>44686</v>
      </c>
      <c r="F113" t="s">
        <v>12</v>
      </c>
      <c r="G113" s="5">
        <v>83750</v>
      </c>
      <c r="H113" t="s">
        <v>207</v>
      </c>
      <c r="I113" s="11">
        <f ca="1">(TODAY()-staff[[#This Row],[Date Joined]])/365</f>
        <v>2.1479452054794521</v>
      </c>
      <c r="J113" s="71">
        <f ca="1">IF(staff[[#This Row],[Tenure]]&gt;2,3%,2%)*staff[[#This Row],[Salary]]</f>
        <v>2512.5</v>
      </c>
      <c r="K113" s="5">
        <v>83750</v>
      </c>
      <c r="L113">
        <f>VLOOKUP(staff[[#This Row],[Rating]],'RATING QUANTIFIED'!$C$4:$D$8,2,0)</f>
        <v>3</v>
      </c>
    </row>
    <row r="114" spans="1:12" x14ac:dyDescent="0.25">
      <c r="A114" t="s">
        <v>122</v>
      </c>
      <c r="B114" t="s">
        <v>8</v>
      </c>
      <c r="C114">
        <v>34</v>
      </c>
      <c r="D114" t="s">
        <v>16</v>
      </c>
      <c r="E114" s="7">
        <v>44397</v>
      </c>
      <c r="F114" t="s">
        <v>21</v>
      </c>
      <c r="G114" s="5">
        <v>85000</v>
      </c>
      <c r="H114" t="s">
        <v>205</v>
      </c>
      <c r="I114" s="11">
        <f ca="1">(TODAY()-staff[[#This Row],[Date Joined]])/365</f>
        <v>2.9397260273972603</v>
      </c>
      <c r="J114" s="71">
        <f ca="1">IF(staff[[#This Row],[Tenure]]&gt;2,3%,2%)*staff[[#This Row],[Salary]]</f>
        <v>2550</v>
      </c>
      <c r="K114" s="5">
        <v>85000</v>
      </c>
      <c r="L114">
        <f>VLOOKUP(staff[[#This Row],[Rating]],'RATING QUANTIFIED'!$C$4:$D$8,2,0)</f>
        <v>3</v>
      </c>
    </row>
    <row r="115" spans="1:12" x14ac:dyDescent="0.25">
      <c r="A115" t="s">
        <v>28</v>
      </c>
      <c r="B115" t="s">
        <v>8</v>
      </c>
      <c r="C115">
        <v>34</v>
      </c>
      <c r="D115" t="s">
        <v>16</v>
      </c>
      <c r="E115" s="7">
        <v>44459</v>
      </c>
      <c r="F115" t="s">
        <v>21</v>
      </c>
      <c r="G115" s="5">
        <v>85000</v>
      </c>
      <c r="H115" t="s">
        <v>207</v>
      </c>
      <c r="I115" s="11">
        <f ca="1">(TODAY()-staff[[#This Row],[Date Joined]])/365</f>
        <v>2.7698630136986302</v>
      </c>
      <c r="J115" s="71">
        <f ca="1">IF(staff[[#This Row],[Tenure]]&gt;2,3%,2%)*staff[[#This Row],[Salary]]</f>
        <v>2550</v>
      </c>
      <c r="K115" s="5">
        <v>85000</v>
      </c>
      <c r="L115">
        <f>VLOOKUP(staff[[#This Row],[Rating]],'RATING QUANTIFIED'!$C$4:$D$8,2,0)</f>
        <v>3</v>
      </c>
    </row>
    <row r="116" spans="1:12" x14ac:dyDescent="0.25">
      <c r="A116" t="s">
        <v>181</v>
      </c>
      <c r="B116" t="s">
        <v>8</v>
      </c>
      <c r="C116">
        <v>33</v>
      </c>
      <c r="D116" t="s">
        <v>16</v>
      </c>
      <c r="E116" s="7">
        <v>44747</v>
      </c>
      <c r="F116" t="s">
        <v>21</v>
      </c>
      <c r="G116" s="5">
        <v>86570</v>
      </c>
      <c r="H116" t="s">
        <v>205</v>
      </c>
      <c r="I116" s="11">
        <f ca="1">(TODAY()-staff[[#This Row],[Date Joined]])/365</f>
        <v>1.9808219178082191</v>
      </c>
      <c r="J116" s="71">
        <f ca="1">IF(staff[[#This Row],[Tenure]]&gt;2,3%,2%)*staff[[#This Row],[Salary]]</f>
        <v>1731.4</v>
      </c>
      <c r="K116" s="5">
        <v>86570</v>
      </c>
      <c r="L116">
        <f>VLOOKUP(staff[[#This Row],[Rating]],'RATING QUANTIFIED'!$C$4:$D$8,2,0)</f>
        <v>3</v>
      </c>
    </row>
    <row r="117" spans="1:12" x14ac:dyDescent="0.25">
      <c r="A117" t="s">
        <v>88</v>
      </c>
      <c r="B117" t="s">
        <v>8</v>
      </c>
      <c r="C117">
        <v>33</v>
      </c>
      <c r="D117" t="s">
        <v>16</v>
      </c>
      <c r="E117" s="7">
        <v>44809</v>
      </c>
      <c r="F117" t="s">
        <v>21</v>
      </c>
      <c r="G117" s="5">
        <v>86570</v>
      </c>
      <c r="H117" t="s">
        <v>207</v>
      </c>
      <c r="I117" s="11">
        <f ca="1">(TODAY()-staff[[#This Row],[Date Joined]])/365</f>
        <v>1.810958904109589</v>
      </c>
      <c r="J117" s="71">
        <f ca="1">IF(staff[[#This Row],[Tenure]]&gt;2,3%,2%)*staff[[#This Row],[Salary]]</f>
        <v>1731.4</v>
      </c>
      <c r="K117" s="5">
        <v>86570</v>
      </c>
      <c r="L117">
        <f>VLOOKUP(staff[[#This Row],[Rating]],'RATING QUANTIFIED'!$C$4:$D$8,2,0)</f>
        <v>3</v>
      </c>
    </row>
    <row r="118" spans="1:12" x14ac:dyDescent="0.25">
      <c r="A118" t="s">
        <v>166</v>
      </c>
      <c r="B118" t="s">
        <v>8</v>
      </c>
      <c r="C118">
        <v>40</v>
      </c>
      <c r="D118" t="s">
        <v>16</v>
      </c>
      <c r="E118" s="7">
        <v>44276</v>
      </c>
      <c r="F118" t="s">
        <v>12</v>
      </c>
      <c r="G118" s="5">
        <v>87620</v>
      </c>
      <c r="H118" t="s">
        <v>205</v>
      </c>
      <c r="I118" s="11">
        <f ca="1">(TODAY()-staff[[#This Row],[Date Joined]])/365</f>
        <v>3.2712328767123289</v>
      </c>
      <c r="J118" s="71">
        <f ca="1">IF(staff[[#This Row],[Tenure]]&gt;2,3%,2%)*staff[[#This Row],[Salary]]</f>
        <v>2628.6</v>
      </c>
      <c r="K118" s="5">
        <v>87620</v>
      </c>
      <c r="L118">
        <f>VLOOKUP(staff[[#This Row],[Rating]],'RATING QUANTIFIED'!$C$4:$D$8,2,0)</f>
        <v>3</v>
      </c>
    </row>
    <row r="119" spans="1:12" x14ac:dyDescent="0.25">
      <c r="A119" t="s">
        <v>74</v>
      </c>
      <c r="B119" t="s">
        <v>8</v>
      </c>
      <c r="C119">
        <v>40</v>
      </c>
      <c r="D119" t="s">
        <v>16</v>
      </c>
      <c r="E119" s="7">
        <v>44337</v>
      </c>
      <c r="F119" t="s">
        <v>12</v>
      </c>
      <c r="G119" s="5">
        <v>87620</v>
      </c>
      <c r="H119" t="s">
        <v>207</v>
      </c>
      <c r="I119" s="11">
        <f ca="1">(TODAY()-staff[[#This Row],[Date Joined]])/365</f>
        <v>3.1041095890410957</v>
      </c>
      <c r="J119" s="71">
        <f ca="1">IF(staff[[#This Row],[Tenure]]&gt;2,3%,2%)*staff[[#This Row],[Salary]]</f>
        <v>2628.6</v>
      </c>
      <c r="K119" s="5">
        <v>87620</v>
      </c>
      <c r="L119">
        <f>VLOOKUP(staff[[#This Row],[Rating]],'RATING QUANTIFIED'!$C$4:$D$8,2,0)</f>
        <v>3</v>
      </c>
    </row>
    <row r="120" spans="1:12" x14ac:dyDescent="0.25">
      <c r="A120" s="6" t="s">
        <v>118</v>
      </c>
      <c r="B120" s="6" t="s">
        <v>15</v>
      </c>
      <c r="C120" s="6">
        <v>37</v>
      </c>
      <c r="D120" s="6" t="s">
        <v>24</v>
      </c>
      <c r="E120" s="7">
        <v>44277</v>
      </c>
      <c r="F120" s="6" t="s">
        <v>12</v>
      </c>
      <c r="G120" s="5">
        <v>88050</v>
      </c>
      <c r="H120" s="6" t="s">
        <v>205</v>
      </c>
      <c r="I120" s="11">
        <f ca="1">(TODAY()-staff[[#This Row],[Date Joined]])/365</f>
        <v>3.2684931506849315</v>
      </c>
      <c r="J120" s="71">
        <f ca="1">IF(staff[[#This Row],[Tenure]]&gt;2,3%,2%)*staff[[#This Row],[Salary]]</f>
        <v>2641.5</v>
      </c>
      <c r="K120" s="5">
        <v>88050</v>
      </c>
      <c r="L120">
        <f>VLOOKUP(staff[[#This Row],[Rating]],'RATING QUANTIFIED'!$C$4:$D$8,2,0)</f>
        <v>2</v>
      </c>
    </row>
    <row r="121" spans="1:12" x14ac:dyDescent="0.25">
      <c r="A121" t="s">
        <v>23</v>
      </c>
      <c r="B121" t="s">
        <v>15</v>
      </c>
      <c r="C121">
        <v>37</v>
      </c>
      <c r="D121" t="s">
        <v>24</v>
      </c>
      <c r="E121" s="7">
        <v>44338</v>
      </c>
      <c r="F121" t="s">
        <v>12</v>
      </c>
      <c r="G121" s="5">
        <v>88050</v>
      </c>
      <c r="H121" t="s">
        <v>207</v>
      </c>
      <c r="I121" s="11">
        <f ca="1">(TODAY()-staff[[#This Row],[Date Joined]])/365</f>
        <v>3.1013698630136988</v>
      </c>
      <c r="J121" s="71">
        <f ca="1">IF(staff[[#This Row],[Tenure]]&gt;2,3%,2%)*staff[[#This Row],[Salary]]</f>
        <v>2641.5</v>
      </c>
      <c r="K121" s="5">
        <v>88050</v>
      </c>
      <c r="L121">
        <f>VLOOKUP(staff[[#This Row],[Rating]],'RATING QUANTIFIED'!$C$4:$D$8,2,0)</f>
        <v>2</v>
      </c>
    </row>
    <row r="122" spans="1:12" x14ac:dyDescent="0.25">
      <c r="A122" t="s">
        <v>112</v>
      </c>
      <c r="B122" t="s">
        <v>206</v>
      </c>
      <c r="C122">
        <v>27</v>
      </c>
      <c r="D122" t="s">
        <v>13</v>
      </c>
      <c r="E122" s="7">
        <v>44212</v>
      </c>
      <c r="F122" t="s">
        <v>12</v>
      </c>
      <c r="G122" s="5">
        <v>90700</v>
      </c>
      <c r="H122" t="s">
        <v>205</v>
      </c>
      <c r="I122" s="11">
        <f ca="1">(TODAY()-staff[[#This Row],[Date Joined]])/365</f>
        <v>3.4465753424657533</v>
      </c>
      <c r="J122" s="71">
        <f ca="1">IF(staff[[#This Row],[Tenure]]&gt;2,3%,2%)*staff[[#This Row],[Salary]]</f>
        <v>2721</v>
      </c>
      <c r="K122" s="5">
        <v>90700</v>
      </c>
      <c r="L122">
        <f>VLOOKUP(staff[[#This Row],[Rating]],'RATING QUANTIFIED'!$C$4:$D$8,2,0)</f>
        <v>4</v>
      </c>
    </row>
    <row r="123" spans="1:12" x14ac:dyDescent="0.25">
      <c r="A123" t="s">
        <v>11</v>
      </c>
      <c r="B123" t="s">
        <v>206</v>
      </c>
      <c r="C123">
        <v>26</v>
      </c>
      <c r="D123" t="s">
        <v>13</v>
      </c>
      <c r="E123" s="7">
        <v>44271</v>
      </c>
      <c r="F123" t="s">
        <v>12</v>
      </c>
      <c r="G123" s="5">
        <v>90700</v>
      </c>
      <c r="H123" t="s">
        <v>207</v>
      </c>
      <c r="I123" s="11">
        <f ca="1">(TODAY()-staff[[#This Row],[Date Joined]])/365</f>
        <v>3.2849315068493152</v>
      </c>
      <c r="J123" s="71">
        <f ca="1">IF(staff[[#This Row],[Tenure]]&gt;2,3%,2%)*staff[[#This Row],[Salary]]</f>
        <v>2721</v>
      </c>
      <c r="K123" s="5">
        <v>90700</v>
      </c>
      <c r="L123">
        <f>VLOOKUP(staff[[#This Row],[Rating]],'RATING QUANTIFIED'!$C$4:$D$8,2,0)</f>
        <v>4</v>
      </c>
    </row>
    <row r="124" spans="1:12" x14ac:dyDescent="0.25">
      <c r="A124" s="6" t="s">
        <v>145</v>
      </c>
      <c r="B124" s="6" t="s">
        <v>206</v>
      </c>
      <c r="C124" s="6">
        <v>32</v>
      </c>
      <c r="D124" s="6" t="s">
        <v>16</v>
      </c>
      <c r="E124" s="7">
        <v>44713</v>
      </c>
      <c r="F124" s="6" t="s">
        <v>12</v>
      </c>
      <c r="G124" s="5">
        <v>91310</v>
      </c>
      <c r="H124" s="6" t="s">
        <v>205</v>
      </c>
      <c r="I124" s="11">
        <f ca="1">(TODAY()-staff[[#This Row],[Date Joined]])/365</f>
        <v>2.0739726027397261</v>
      </c>
      <c r="J124" s="71">
        <f ca="1">IF(staff[[#This Row],[Tenure]]&gt;2,3%,2%)*staff[[#This Row],[Salary]]</f>
        <v>2739.2999999999997</v>
      </c>
      <c r="K124" s="5">
        <v>91310</v>
      </c>
      <c r="L124">
        <f>VLOOKUP(staff[[#This Row],[Rating]],'RATING QUANTIFIED'!$C$4:$D$8,2,0)</f>
        <v>3</v>
      </c>
    </row>
    <row r="125" spans="1:12" x14ac:dyDescent="0.25">
      <c r="A125" t="s">
        <v>52</v>
      </c>
      <c r="B125" t="s">
        <v>206</v>
      </c>
      <c r="C125">
        <v>32</v>
      </c>
      <c r="D125" t="s">
        <v>16</v>
      </c>
      <c r="E125" s="7">
        <v>44774</v>
      </c>
      <c r="F125" t="s">
        <v>12</v>
      </c>
      <c r="G125" s="5">
        <v>91310</v>
      </c>
      <c r="H125" t="s">
        <v>207</v>
      </c>
      <c r="I125" s="11">
        <f ca="1">(TODAY()-staff[[#This Row],[Date Joined]])/365</f>
        <v>1.9068493150684931</v>
      </c>
      <c r="J125" s="71">
        <f ca="1">IF(staff[[#This Row],[Tenure]]&gt;2,3%,2%)*staff[[#This Row],[Salary]]</f>
        <v>1826.2</v>
      </c>
      <c r="K125" s="5">
        <v>91310</v>
      </c>
      <c r="L125">
        <f>VLOOKUP(staff[[#This Row],[Rating]],'RATING QUANTIFIED'!$C$4:$D$8,2,0)</f>
        <v>3</v>
      </c>
    </row>
    <row r="126" spans="1:12" x14ac:dyDescent="0.25">
      <c r="A126" t="s">
        <v>160</v>
      </c>
      <c r="B126" t="s">
        <v>15</v>
      </c>
      <c r="C126">
        <v>27</v>
      </c>
      <c r="D126" t="s">
        <v>13</v>
      </c>
      <c r="E126" s="7">
        <v>44174</v>
      </c>
      <c r="F126" t="s">
        <v>21</v>
      </c>
      <c r="G126" s="5">
        <v>91650</v>
      </c>
      <c r="H126" t="s">
        <v>205</v>
      </c>
      <c r="I126" s="11">
        <f ca="1">(TODAY()-staff[[#This Row],[Date Joined]])/365</f>
        <v>3.5506849315068494</v>
      </c>
      <c r="J126" s="71">
        <f ca="1">IF(staff[[#This Row],[Tenure]]&gt;2,3%,2%)*staff[[#This Row],[Salary]]</f>
        <v>2749.5</v>
      </c>
      <c r="K126" s="5">
        <v>91650</v>
      </c>
      <c r="L126">
        <f>VLOOKUP(staff[[#This Row],[Rating]],'RATING QUANTIFIED'!$C$4:$D$8,2,0)</f>
        <v>4</v>
      </c>
    </row>
    <row r="127" spans="1:12" x14ac:dyDescent="0.25">
      <c r="A127" t="s">
        <v>68</v>
      </c>
      <c r="B127" t="s">
        <v>15</v>
      </c>
      <c r="C127">
        <v>27</v>
      </c>
      <c r="D127" t="s">
        <v>13</v>
      </c>
      <c r="E127" s="7">
        <v>44236</v>
      </c>
      <c r="F127" t="s">
        <v>21</v>
      </c>
      <c r="G127" s="5">
        <v>91650</v>
      </c>
      <c r="H127" t="s">
        <v>207</v>
      </c>
      <c r="I127" s="11">
        <f ca="1">(TODAY()-staff[[#This Row],[Date Joined]])/365</f>
        <v>3.3808219178082193</v>
      </c>
      <c r="J127" s="71">
        <f ca="1">IF(staff[[#This Row],[Tenure]]&gt;2,3%,2%)*staff[[#This Row],[Salary]]</f>
        <v>2749.5</v>
      </c>
      <c r="K127" s="5">
        <v>91650</v>
      </c>
      <c r="L127">
        <f>VLOOKUP(staff[[#This Row],[Rating]],'RATING QUANTIFIED'!$C$4:$D$8,2,0)</f>
        <v>4</v>
      </c>
    </row>
    <row r="128" spans="1:12" x14ac:dyDescent="0.25">
      <c r="A128" t="s">
        <v>195</v>
      </c>
      <c r="B128" t="s">
        <v>8</v>
      </c>
      <c r="C128">
        <v>34</v>
      </c>
      <c r="D128" t="s">
        <v>16</v>
      </c>
      <c r="E128" s="7">
        <v>44383</v>
      </c>
      <c r="F128" t="s">
        <v>21</v>
      </c>
      <c r="G128" s="5">
        <v>92450</v>
      </c>
      <c r="H128" t="s">
        <v>205</v>
      </c>
      <c r="I128" s="11">
        <f ca="1">(TODAY()-staff[[#This Row],[Date Joined]])/365</f>
        <v>2.978082191780822</v>
      </c>
      <c r="J128" s="71">
        <f ca="1">IF(staff[[#This Row],[Tenure]]&gt;2,3%,2%)*staff[[#This Row],[Salary]]</f>
        <v>2773.5</v>
      </c>
      <c r="K128" s="5">
        <v>92450</v>
      </c>
      <c r="L128">
        <f>VLOOKUP(staff[[#This Row],[Rating]],'RATING QUANTIFIED'!$C$4:$D$8,2,0)</f>
        <v>3</v>
      </c>
    </row>
    <row r="129" spans="1:12" x14ac:dyDescent="0.25">
      <c r="A129" t="s">
        <v>102</v>
      </c>
      <c r="B129" t="s">
        <v>8</v>
      </c>
      <c r="C129">
        <v>34</v>
      </c>
      <c r="D129" t="s">
        <v>16</v>
      </c>
      <c r="E129" s="7">
        <v>44445</v>
      </c>
      <c r="F129" t="s">
        <v>21</v>
      </c>
      <c r="G129" s="5">
        <v>92450</v>
      </c>
      <c r="H129" t="s">
        <v>207</v>
      </c>
      <c r="I129" s="11">
        <f ca="1">(TODAY()-staff[[#This Row],[Date Joined]])/365</f>
        <v>2.8082191780821919</v>
      </c>
      <c r="J129" s="71">
        <f ca="1">IF(staff[[#This Row],[Tenure]]&gt;2,3%,2%)*staff[[#This Row],[Salary]]</f>
        <v>2773.5</v>
      </c>
      <c r="K129" s="5">
        <v>92450</v>
      </c>
      <c r="L129">
        <f>VLOOKUP(staff[[#This Row],[Rating]],'RATING QUANTIFIED'!$C$4:$D$8,2,0)</f>
        <v>3</v>
      </c>
    </row>
    <row r="130" spans="1:12" x14ac:dyDescent="0.25">
      <c r="A130" s="6" t="s">
        <v>169</v>
      </c>
      <c r="B130" s="6" t="s">
        <v>8</v>
      </c>
      <c r="C130" s="6">
        <v>25</v>
      </c>
      <c r="D130" s="6" t="s">
        <v>16</v>
      </c>
      <c r="E130" s="7">
        <v>44144</v>
      </c>
      <c r="F130" s="6" t="s">
        <v>19</v>
      </c>
      <c r="G130" s="5">
        <v>92700</v>
      </c>
      <c r="H130" s="6" t="s">
        <v>205</v>
      </c>
      <c r="I130" s="11">
        <f ca="1">(TODAY()-staff[[#This Row],[Date Joined]])/365</f>
        <v>3.6328767123287671</v>
      </c>
      <c r="J130" s="71">
        <f ca="1">IF(staff[[#This Row],[Tenure]]&gt;2,3%,2%)*staff[[#This Row],[Salary]]</f>
        <v>2781</v>
      </c>
      <c r="K130" s="5">
        <v>92700</v>
      </c>
      <c r="L130">
        <f>VLOOKUP(staff[[#This Row],[Rating]],'RATING QUANTIFIED'!$C$4:$D$8,2,0)</f>
        <v>3</v>
      </c>
    </row>
    <row r="131" spans="1:12" x14ac:dyDescent="0.25">
      <c r="A131" t="s">
        <v>77</v>
      </c>
      <c r="B131" t="s">
        <v>8</v>
      </c>
      <c r="C131">
        <v>25</v>
      </c>
      <c r="D131" t="s">
        <v>16</v>
      </c>
      <c r="E131" s="7">
        <v>44205</v>
      </c>
      <c r="F131" t="s">
        <v>19</v>
      </c>
      <c r="G131" s="5">
        <v>92700</v>
      </c>
      <c r="H131" t="s">
        <v>207</v>
      </c>
      <c r="I131" s="11">
        <f ca="1">(TODAY()-staff[[#This Row],[Date Joined]])/365</f>
        <v>3.4657534246575343</v>
      </c>
      <c r="J131" s="71">
        <f ca="1">IF(staff[[#This Row],[Tenure]]&gt;2,3%,2%)*staff[[#This Row],[Salary]]</f>
        <v>2781</v>
      </c>
      <c r="K131" s="5">
        <v>92700</v>
      </c>
      <c r="L131">
        <f>VLOOKUP(staff[[#This Row],[Rating]],'RATING QUANTIFIED'!$C$4:$D$8,2,0)</f>
        <v>3</v>
      </c>
    </row>
    <row r="132" spans="1:12" x14ac:dyDescent="0.25">
      <c r="A132" t="s">
        <v>163</v>
      </c>
      <c r="B132" t="s">
        <v>8</v>
      </c>
      <c r="C132">
        <v>33</v>
      </c>
      <c r="D132" t="s">
        <v>16</v>
      </c>
      <c r="E132" s="7">
        <v>44129</v>
      </c>
      <c r="F132" t="s">
        <v>12</v>
      </c>
      <c r="G132" s="5">
        <v>96140</v>
      </c>
      <c r="H132" t="s">
        <v>205</v>
      </c>
      <c r="I132" s="11">
        <f ca="1">(TODAY()-staff[[#This Row],[Date Joined]])/365</f>
        <v>3.6739726027397261</v>
      </c>
      <c r="J132" s="71">
        <f ca="1">IF(staff[[#This Row],[Tenure]]&gt;2,3%,2%)*staff[[#This Row],[Salary]]</f>
        <v>2884.2</v>
      </c>
      <c r="K132" s="5">
        <v>96140</v>
      </c>
      <c r="L132">
        <f>VLOOKUP(staff[[#This Row],[Rating]],'RATING QUANTIFIED'!$C$4:$D$8,2,0)</f>
        <v>3</v>
      </c>
    </row>
    <row r="133" spans="1:12" x14ac:dyDescent="0.25">
      <c r="A133" t="s">
        <v>71</v>
      </c>
      <c r="B133" t="s">
        <v>8</v>
      </c>
      <c r="C133">
        <v>33</v>
      </c>
      <c r="D133" t="s">
        <v>16</v>
      </c>
      <c r="E133" s="7">
        <v>44190</v>
      </c>
      <c r="F133" t="s">
        <v>12</v>
      </c>
      <c r="G133" s="5">
        <v>96140</v>
      </c>
      <c r="H133" t="s">
        <v>207</v>
      </c>
      <c r="I133" s="11">
        <f ca="1">(TODAY()-staff[[#This Row],[Date Joined]])/365</f>
        <v>3.506849315068493</v>
      </c>
      <c r="J133" s="71">
        <f ca="1">IF(staff[[#This Row],[Tenure]]&gt;2,3%,2%)*staff[[#This Row],[Salary]]</f>
        <v>2884.2</v>
      </c>
      <c r="K133" s="5">
        <v>96140</v>
      </c>
      <c r="L133">
        <f>VLOOKUP(staff[[#This Row],[Rating]],'RATING QUANTIFIED'!$C$4:$D$8,2,0)</f>
        <v>3</v>
      </c>
    </row>
    <row r="134" spans="1:12" x14ac:dyDescent="0.25">
      <c r="A134" s="6" t="s">
        <v>177</v>
      </c>
      <c r="B134" s="6" t="s">
        <v>15</v>
      </c>
      <c r="C134" s="6">
        <v>30</v>
      </c>
      <c r="D134" s="6" t="s">
        <v>16</v>
      </c>
      <c r="E134" s="7">
        <v>44544</v>
      </c>
      <c r="F134" s="6" t="s">
        <v>21</v>
      </c>
      <c r="G134" s="5">
        <v>96800</v>
      </c>
      <c r="H134" s="6" t="s">
        <v>205</v>
      </c>
      <c r="I134" s="11">
        <f ca="1">(TODAY()-staff[[#This Row],[Date Joined]])/365</f>
        <v>2.536986301369863</v>
      </c>
      <c r="J134" s="71">
        <f ca="1">IF(staff[[#This Row],[Tenure]]&gt;2,3%,2%)*staff[[#This Row],[Salary]]</f>
        <v>2904</v>
      </c>
      <c r="K134" s="5">
        <v>96800</v>
      </c>
      <c r="L134">
        <f>VLOOKUP(staff[[#This Row],[Rating]],'RATING QUANTIFIED'!$C$4:$D$8,2,0)</f>
        <v>3</v>
      </c>
    </row>
    <row r="135" spans="1:12" x14ac:dyDescent="0.25">
      <c r="A135" t="s">
        <v>85</v>
      </c>
      <c r="B135" t="s">
        <v>15</v>
      </c>
      <c r="C135">
        <v>30</v>
      </c>
      <c r="D135" t="s">
        <v>16</v>
      </c>
      <c r="E135" s="7">
        <v>44606</v>
      </c>
      <c r="F135" t="s">
        <v>21</v>
      </c>
      <c r="G135" s="5">
        <v>96800</v>
      </c>
      <c r="H135" t="s">
        <v>207</v>
      </c>
      <c r="I135" s="11">
        <f ca="1">(TODAY()-staff[[#This Row],[Date Joined]])/365</f>
        <v>2.3671232876712329</v>
      </c>
      <c r="J135" s="71">
        <f ca="1">IF(staff[[#This Row],[Tenure]]&gt;2,3%,2%)*staff[[#This Row],[Salary]]</f>
        <v>2904</v>
      </c>
      <c r="K135" s="5">
        <v>96800</v>
      </c>
      <c r="L135">
        <f>VLOOKUP(staff[[#This Row],[Rating]],'RATING QUANTIFIED'!$C$4:$D$8,2,0)</f>
        <v>3</v>
      </c>
    </row>
    <row r="136" spans="1:12" x14ac:dyDescent="0.25">
      <c r="A136" t="s">
        <v>198</v>
      </c>
      <c r="B136" t="s">
        <v>15</v>
      </c>
      <c r="C136">
        <v>40</v>
      </c>
      <c r="D136" t="s">
        <v>16</v>
      </c>
      <c r="E136" s="7">
        <v>44204</v>
      </c>
      <c r="F136" t="s">
        <v>9</v>
      </c>
      <c r="G136" s="5">
        <v>99750</v>
      </c>
      <c r="H136" t="s">
        <v>205</v>
      </c>
      <c r="I136" s="11">
        <f ca="1">(TODAY()-staff[[#This Row],[Date Joined]])/365</f>
        <v>3.4684931506849317</v>
      </c>
      <c r="J136" s="71">
        <f ca="1">IF(staff[[#This Row],[Tenure]]&gt;2,3%,2%)*staff[[#This Row],[Salary]]</f>
        <v>2992.5</v>
      </c>
      <c r="K136" s="5">
        <v>99750</v>
      </c>
      <c r="L136">
        <f>VLOOKUP(staff[[#This Row],[Rating]],'RATING QUANTIFIED'!$C$4:$D$8,2,0)</f>
        <v>3</v>
      </c>
    </row>
    <row r="137" spans="1:12" x14ac:dyDescent="0.25">
      <c r="A137" t="s">
        <v>105</v>
      </c>
      <c r="B137" t="s">
        <v>15</v>
      </c>
      <c r="C137">
        <v>40</v>
      </c>
      <c r="D137" t="s">
        <v>16</v>
      </c>
      <c r="E137" s="7">
        <v>44263</v>
      </c>
      <c r="F137" t="s">
        <v>9</v>
      </c>
      <c r="G137" s="5">
        <v>99750</v>
      </c>
      <c r="H137" t="s">
        <v>207</v>
      </c>
      <c r="I137" s="11">
        <f ca="1">(TODAY()-staff[[#This Row],[Date Joined]])/365</f>
        <v>3.3068493150684932</v>
      </c>
      <c r="J137" s="71">
        <f ca="1">IF(staff[[#This Row],[Tenure]]&gt;2,3%,2%)*staff[[#This Row],[Salary]]</f>
        <v>2992.5</v>
      </c>
      <c r="K137" s="5">
        <v>99750</v>
      </c>
      <c r="L137">
        <f>VLOOKUP(staff[[#This Row],[Rating]],'RATING QUANTIFIED'!$C$4:$D$8,2,0)</f>
        <v>3</v>
      </c>
    </row>
    <row r="138" spans="1:12" x14ac:dyDescent="0.25">
      <c r="A138" t="s">
        <v>200</v>
      </c>
      <c r="B138" t="s">
        <v>8</v>
      </c>
      <c r="C138">
        <v>28</v>
      </c>
      <c r="D138" t="s">
        <v>16</v>
      </c>
      <c r="E138" s="7">
        <v>44571</v>
      </c>
      <c r="F138" t="s">
        <v>9</v>
      </c>
      <c r="G138" s="5">
        <v>99970</v>
      </c>
      <c r="H138" t="s">
        <v>205</v>
      </c>
      <c r="I138" s="11">
        <f ca="1">(TODAY()-staff[[#This Row],[Date Joined]])/365</f>
        <v>2.463013698630137</v>
      </c>
      <c r="J138" s="71">
        <f ca="1">IF(staff[[#This Row],[Tenure]]&gt;2,3%,2%)*staff[[#This Row],[Salary]]</f>
        <v>2999.1</v>
      </c>
      <c r="K138" s="5">
        <v>99970</v>
      </c>
      <c r="L138">
        <f>VLOOKUP(staff[[#This Row],[Rating]],'RATING QUANTIFIED'!$C$4:$D$8,2,0)</f>
        <v>3</v>
      </c>
    </row>
    <row r="139" spans="1:12" x14ac:dyDescent="0.25">
      <c r="A139" t="s">
        <v>107</v>
      </c>
      <c r="B139" t="s">
        <v>8</v>
      </c>
      <c r="C139">
        <v>28</v>
      </c>
      <c r="D139" t="s">
        <v>16</v>
      </c>
      <c r="E139" s="7">
        <v>44630</v>
      </c>
      <c r="F139" t="s">
        <v>9</v>
      </c>
      <c r="G139" s="5">
        <v>99970</v>
      </c>
      <c r="H139" t="s">
        <v>207</v>
      </c>
      <c r="I139" s="11">
        <f ca="1">(TODAY()-staff[[#This Row],[Date Joined]])/365</f>
        <v>2.3013698630136985</v>
      </c>
      <c r="J139" s="71">
        <f ca="1">IF(staff[[#This Row],[Tenure]]&gt;2,3%,2%)*staff[[#This Row],[Salary]]</f>
        <v>2999.1</v>
      </c>
      <c r="K139" s="5">
        <v>99970</v>
      </c>
      <c r="L139">
        <f>VLOOKUP(staff[[#This Row],[Rating]],'RATING QUANTIFIED'!$C$4:$D$8,2,0)</f>
        <v>3</v>
      </c>
    </row>
    <row r="140" spans="1:12" x14ac:dyDescent="0.25">
      <c r="A140" t="s">
        <v>196</v>
      </c>
      <c r="B140" t="s">
        <v>15</v>
      </c>
      <c r="C140">
        <v>24</v>
      </c>
      <c r="D140" t="s">
        <v>16</v>
      </c>
      <c r="E140" s="7">
        <v>44625</v>
      </c>
      <c r="F140" t="s">
        <v>12</v>
      </c>
      <c r="G140" s="5">
        <v>100420</v>
      </c>
      <c r="H140" t="s">
        <v>205</v>
      </c>
      <c r="I140" s="11">
        <f ca="1">(TODAY()-staff[[#This Row],[Date Joined]])/365</f>
        <v>2.3150684931506849</v>
      </c>
      <c r="J140" s="71">
        <f ca="1">IF(staff[[#This Row],[Tenure]]&gt;2,3%,2%)*staff[[#This Row],[Salary]]</f>
        <v>3012.6</v>
      </c>
      <c r="K140" s="5">
        <v>100420</v>
      </c>
      <c r="L140">
        <f>VLOOKUP(staff[[#This Row],[Rating]],'RATING QUANTIFIED'!$C$4:$D$8,2,0)</f>
        <v>3</v>
      </c>
    </row>
    <row r="141" spans="1:12" x14ac:dyDescent="0.25">
      <c r="A141" t="s">
        <v>103</v>
      </c>
      <c r="B141" t="s">
        <v>15</v>
      </c>
      <c r="C141">
        <v>24</v>
      </c>
      <c r="D141" t="s">
        <v>16</v>
      </c>
      <c r="E141" s="7">
        <v>44686</v>
      </c>
      <c r="F141" t="s">
        <v>12</v>
      </c>
      <c r="G141" s="5">
        <v>100420</v>
      </c>
      <c r="H141" t="s">
        <v>207</v>
      </c>
      <c r="I141" s="11">
        <f ca="1">(TODAY()-staff[[#This Row],[Date Joined]])/365</f>
        <v>2.1479452054794521</v>
      </c>
      <c r="J141" s="71">
        <f ca="1">IF(staff[[#This Row],[Tenure]]&gt;2,3%,2%)*staff[[#This Row],[Salary]]</f>
        <v>3012.6</v>
      </c>
      <c r="K141" s="5">
        <v>100420</v>
      </c>
      <c r="L141">
        <f>VLOOKUP(staff[[#This Row],[Rating]],'RATING QUANTIFIED'!$C$4:$D$8,2,0)</f>
        <v>3</v>
      </c>
    </row>
    <row r="142" spans="1:12" x14ac:dyDescent="0.25">
      <c r="A142" s="6" t="s">
        <v>143</v>
      </c>
      <c r="B142" s="6" t="s">
        <v>15</v>
      </c>
      <c r="C142" s="6">
        <v>31</v>
      </c>
      <c r="D142" s="6" t="s">
        <v>16</v>
      </c>
      <c r="E142" s="7">
        <v>44663</v>
      </c>
      <c r="F142" s="6" t="s">
        <v>9</v>
      </c>
      <c r="G142" s="5">
        <v>103550</v>
      </c>
      <c r="H142" s="6" t="s">
        <v>205</v>
      </c>
      <c r="I142" s="11">
        <f ca="1">(TODAY()-staff[[#This Row],[Date Joined]])/365</f>
        <v>2.2109589041095892</v>
      </c>
      <c r="J142" s="71">
        <f ca="1">IF(staff[[#This Row],[Tenure]]&gt;2,3%,2%)*staff[[#This Row],[Salary]]</f>
        <v>3106.5</v>
      </c>
      <c r="K142" s="5">
        <v>103550</v>
      </c>
      <c r="L142">
        <f>VLOOKUP(staff[[#This Row],[Rating]],'RATING QUANTIFIED'!$C$4:$D$8,2,0)</f>
        <v>3</v>
      </c>
    </row>
    <row r="143" spans="1:12" x14ac:dyDescent="0.25">
      <c r="A143" t="s">
        <v>50</v>
      </c>
      <c r="B143" t="s">
        <v>15</v>
      </c>
      <c r="C143">
        <v>31</v>
      </c>
      <c r="D143" t="s">
        <v>16</v>
      </c>
      <c r="E143" s="7">
        <v>44724</v>
      </c>
      <c r="F143" t="s">
        <v>9</v>
      </c>
      <c r="G143" s="5">
        <v>103550</v>
      </c>
      <c r="H143" t="s">
        <v>207</v>
      </c>
      <c r="I143" s="11">
        <f ca="1">(TODAY()-staff[[#This Row],[Date Joined]])/365</f>
        <v>2.043835616438356</v>
      </c>
      <c r="J143" s="71">
        <f ca="1">IF(staff[[#This Row],[Tenure]]&gt;2,3%,2%)*staff[[#This Row],[Salary]]</f>
        <v>3106.5</v>
      </c>
      <c r="K143" s="5">
        <v>103550</v>
      </c>
      <c r="L143">
        <f>VLOOKUP(staff[[#This Row],[Rating]],'RATING QUANTIFIED'!$C$4:$D$8,2,0)</f>
        <v>3</v>
      </c>
    </row>
    <row r="144" spans="1:12" x14ac:dyDescent="0.25">
      <c r="A144" t="s">
        <v>189</v>
      </c>
      <c r="B144" t="s">
        <v>8</v>
      </c>
      <c r="C144">
        <v>28</v>
      </c>
      <c r="D144" t="s">
        <v>16</v>
      </c>
      <c r="E144" s="7">
        <v>44590</v>
      </c>
      <c r="F144" t="s">
        <v>9</v>
      </c>
      <c r="G144" s="5">
        <v>104120</v>
      </c>
      <c r="H144" t="s">
        <v>205</v>
      </c>
      <c r="I144" s="11">
        <f ca="1">(TODAY()-staff[[#This Row],[Date Joined]])/365</f>
        <v>2.4109589041095889</v>
      </c>
      <c r="J144" s="71">
        <f ca="1">IF(staff[[#This Row],[Tenure]]&gt;2,3%,2%)*staff[[#This Row],[Salary]]</f>
        <v>3123.6</v>
      </c>
      <c r="K144" s="5">
        <v>104120</v>
      </c>
      <c r="L144">
        <f>VLOOKUP(staff[[#This Row],[Rating]],'RATING QUANTIFIED'!$C$4:$D$8,2,0)</f>
        <v>3</v>
      </c>
    </row>
    <row r="145" spans="1:12" x14ac:dyDescent="0.25">
      <c r="A145" t="s">
        <v>96</v>
      </c>
      <c r="B145" t="s">
        <v>8</v>
      </c>
      <c r="C145">
        <v>28</v>
      </c>
      <c r="D145" t="s">
        <v>16</v>
      </c>
      <c r="E145" s="7">
        <v>44649</v>
      </c>
      <c r="F145" t="s">
        <v>9</v>
      </c>
      <c r="G145" s="5">
        <v>104120</v>
      </c>
      <c r="H145" t="s">
        <v>207</v>
      </c>
      <c r="I145" s="11">
        <f ca="1">(TODAY()-staff[[#This Row],[Date Joined]])/365</f>
        <v>2.2493150684931509</v>
      </c>
      <c r="J145" s="71">
        <f ca="1">IF(staff[[#This Row],[Tenure]]&gt;2,3%,2%)*staff[[#This Row],[Salary]]</f>
        <v>3123.6</v>
      </c>
      <c r="K145" s="5">
        <v>104120</v>
      </c>
      <c r="L145">
        <f>VLOOKUP(staff[[#This Row],[Rating]],'RATING QUANTIFIED'!$C$4:$D$8,2,0)</f>
        <v>3</v>
      </c>
    </row>
    <row r="146" spans="1:12" x14ac:dyDescent="0.25">
      <c r="A146" s="6" t="s">
        <v>194</v>
      </c>
      <c r="B146" s="6" t="s">
        <v>8</v>
      </c>
      <c r="C146" s="6">
        <v>40</v>
      </c>
      <c r="D146" s="6" t="s">
        <v>16</v>
      </c>
      <c r="E146" s="7">
        <v>44320</v>
      </c>
      <c r="F146" s="6" t="s">
        <v>12</v>
      </c>
      <c r="G146" s="5">
        <v>104410</v>
      </c>
      <c r="H146" s="6" t="s">
        <v>205</v>
      </c>
      <c r="I146" s="11">
        <f ca="1">(TODAY()-staff[[#This Row],[Date Joined]])/365</f>
        <v>3.1506849315068495</v>
      </c>
      <c r="J146" s="71">
        <f ca="1">IF(staff[[#This Row],[Tenure]]&gt;2,3%,2%)*staff[[#This Row],[Salary]]</f>
        <v>3132.2999999999997</v>
      </c>
      <c r="K146" s="5">
        <v>104410</v>
      </c>
      <c r="L146">
        <f>VLOOKUP(staff[[#This Row],[Rating]],'RATING QUANTIFIED'!$C$4:$D$8,2,0)</f>
        <v>3</v>
      </c>
    </row>
    <row r="147" spans="1:12" x14ac:dyDescent="0.25">
      <c r="A147" t="s">
        <v>101</v>
      </c>
      <c r="B147" t="s">
        <v>8</v>
      </c>
      <c r="C147">
        <v>40</v>
      </c>
      <c r="D147" t="s">
        <v>16</v>
      </c>
      <c r="E147" s="7">
        <v>44381</v>
      </c>
      <c r="F147" t="s">
        <v>12</v>
      </c>
      <c r="G147" s="5">
        <v>104410</v>
      </c>
      <c r="H147" t="s">
        <v>207</v>
      </c>
      <c r="I147" s="11">
        <f ca="1">(TODAY()-staff[[#This Row],[Date Joined]])/365</f>
        <v>2.9835616438356163</v>
      </c>
      <c r="J147" s="71">
        <f ca="1">IF(staff[[#This Row],[Tenure]]&gt;2,3%,2%)*staff[[#This Row],[Salary]]</f>
        <v>3132.2999999999997</v>
      </c>
      <c r="K147" s="5">
        <v>104410</v>
      </c>
      <c r="L147">
        <f>VLOOKUP(staff[[#This Row],[Rating]],'RATING QUANTIFIED'!$C$4:$D$8,2,0)</f>
        <v>3</v>
      </c>
    </row>
    <row r="148" spans="1:12" x14ac:dyDescent="0.25">
      <c r="A148" t="s">
        <v>136</v>
      </c>
      <c r="B148" t="s">
        <v>8</v>
      </c>
      <c r="C148">
        <v>28</v>
      </c>
      <c r="D148" t="s">
        <v>16</v>
      </c>
      <c r="E148" s="7">
        <v>44425</v>
      </c>
      <c r="F148" t="s">
        <v>9</v>
      </c>
      <c r="G148" s="5">
        <v>104770</v>
      </c>
      <c r="H148" t="s">
        <v>205</v>
      </c>
      <c r="I148" s="11">
        <f ca="1">(TODAY()-staff[[#This Row],[Date Joined]])/365</f>
        <v>2.8630136986301369</v>
      </c>
      <c r="J148" s="71">
        <f ca="1">IF(staff[[#This Row],[Tenure]]&gt;2,3%,2%)*staff[[#This Row],[Salary]]</f>
        <v>3143.1</v>
      </c>
      <c r="K148" s="5">
        <v>104770</v>
      </c>
      <c r="L148">
        <f>VLOOKUP(staff[[#This Row],[Rating]],'RATING QUANTIFIED'!$C$4:$D$8,2,0)</f>
        <v>3</v>
      </c>
    </row>
    <row r="149" spans="1:12" x14ac:dyDescent="0.25">
      <c r="A149" t="s">
        <v>43</v>
      </c>
      <c r="B149" t="s">
        <v>8</v>
      </c>
      <c r="C149">
        <v>28</v>
      </c>
      <c r="D149" t="s">
        <v>16</v>
      </c>
      <c r="E149" s="7">
        <v>44486</v>
      </c>
      <c r="F149" t="s">
        <v>9</v>
      </c>
      <c r="G149" s="5">
        <v>104770</v>
      </c>
      <c r="H149" t="s">
        <v>207</v>
      </c>
      <c r="I149" s="11">
        <f ca="1">(TODAY()-staff[[#This Row],[Date Joined]])/365</f>
        <v>2.6958904109589041</v>
      </c>
      <c r="J149" s="71">
        <f ca="1">IF(staff[[#This Row],[Tenure]]&gt;2,3%,2%)*staff[[#This Row],[Salary]]</f>
        <v>3143.1</v>
      </c>
      <c r="K149" s="5">
        <v>104770</v>
      </c>
      <c r="L149">
        <f>VLOOKUP(staff[[#This Row],[Rating]],'RATING QUANTIFIED'!$C$4:$D$8,2,0)</f>
        <v>3</v>
      </c>
    </row>
    <row r="150" spans="1:12" x14ac:dyDescent="0.25">
      <c r="A150" t="s">
        <v>161</v>
      </c>
      <c r="B150" t="s">
        <v>15</v>
      </c>
      <c r="C150">
        <v>23</v>
      </c>
      <c r="D150" t="s">
        <v>16</v>
      </c>
      <c r="E150" s="7">
        <v>44378</v>
      </c>
      <c r="F150" t="s">
        <v>9</v>
      </c>
      <c r="G150" s="5">
        <v>106460</v>
      </c>
      <c r="H150" t="s">
        <v>205</v>
      </c>
      <c r="I150" s="11">
        <f ca="1">(TODAY()-staff[[#This Row],[Date Joined]])/365</f>
        <v>2.9917808219178084</v>
      </c>
      <c r="J150" s="71">
        <f ca="1">IF(staff[[#This Row],[Tenure]]&gt;2,3%,2%)*staff[[#This Row],[Salary]]</f>
        <v>3193.7999999999997</v>
      </c>
      <c r="K150" s="5">
        <v>106460</v>
      </c>
      <c r="L150">
        <f>VLOOKUP(staff[[#This Row],[Rating]],'RATING QUANTIFIED'!$C$4:$D$8,2,0)</f>
        <v>3</v>
      </c>
    </row>
    <row r="151" spans="1:12" x14ac:dyDescent="0.25">
      <c r="A151" t="s">
        <v>69</v>
      </c>
      <c r="B151" t="s">
        <v>15</v>
      </c>
      <c r="C151">
        <v>23</v>
      </c>
      <c r="D151" t="s">
        <v>16</v>
      </c>
      <c r="E151" s="7">
        <v>44440</v>
      </c>
      <c r="F151" t="s">
        <v>9</v>
      </c>
      <c r="G151" s="5">
        <v>106460</v>
      </c>
      <c r="H151" t="s">
        <v>207</v>
      </c>
      <c r="I151" s="11">
        <f ca="1">(TODAY()-staff[[#This Row],[Date Joined]])/365</f>
        <v>2.8219178082191783</v>
      </c>
      <c r="J151" s="71">
        <f ca="1">IF(staff[[#This Row],[Tenure]]&gt;2,3%,2%)*staff[[#This Row],[Salary]]</f>
        <v>3193.7999999999997</v>
      </c>
      <c r="K151" s="5">
        <v>106460</v>
      </c>
      <c r="L151">
        <f>VLOOKUP(staff[[#This Row],[Rating]],'RATING QUANTIFIED'!$C$4:$D$8,2,0)</f>
        <v>3</v>
      </c>
    </row>
    <row r="152" spans="1:12" x14ac:dyDescent="0.25">
      <c r="A152" t="s">
        <v>117</v>
      </c>
      <c r="B152" t="s">
        <v>15</v>
      </c>
      <c r="C152">
        <v>20</v>
      </c>
      <c r="D152" t="s">
        <v>16</v>
      </c>
      <c r="E152" s="7">
        <v>44397</v>
      </c>
      <c r="F152" t="s">
        <v>12</v>
      </c>
      <c r="G152" s="5">
        <v>107700</v>
      </c>
      <c r="H152" t="s">
        <v>205</v>
      </c>
      <c r="I152" s="11">
        <f ca="1">(TODAY()-staff[[#This Row],[Date Joined]])/365</f>
        <v>2.9397260273972603</v>
      </c>
      <c r="J152" s="71">
        <f ca="1">IF(staff[[#This Row],[Tenure]]&gt;2,3%,2%)*staff[[#This Row],[Salary]]</f>
        <v>3231</v>
      </c>
      <c r="K152" s="5">
        <v>107700</v>
      </c>
      <c r="L152">
        <f>VLOOKUP(staff[[#This Row],[Rating]],'RATING QUANTIFIED'!$C$4:$D$8,2,0)</f>
        <v>3</v>
      </c>
    </row>
    <row r="153" spans="1:12" x14ac:dyDescent="0.25">
      <c r="A153" t="s">
        <v>22</v>
      </c>
      <c r="B153" t="s">
        <v>15</v>
      </c>
      <c r="C153">
        <v>20</v>
      </c>
      <c r="D153" t="s">
        <v>16</v>
      </c>
      <c r="E153" s="7">
        <v>44459</v>
      </c>
      <c r="F153" t="s">
        <v>12</v>
      </c>
      <c r="G153" s="5">
        <v>107700</v>
      </c>
      <c r="H153" t="s">
        <v>207</v>
      </c>
      <c r="I153" s="11">
        <f ca="1">(TODAY()-staff[[#This Row],[Date Joined]])/365</f>
        <v>2.7698630136986302</v>
      </c>
      <c r="J153" s="71">
        <f ca="1">IF(staff[[#This Row],[Tenure]]&gt;2,3%,2%)*staff[[#This Row],[Salary]]</f>
        <v>3231</v>
      </c>
      <c r="K153" s="5">
        <v>107700</v>
      </c>
      <c r="L153">
        <f>VLOOKUP(staff[[#This Row],[Rating]],'RATING QUANTIFIED'!$C$4:$D$8,2,0)</f>
        <v>3</v>
      </c>
    </row>
    <row r="154" spans="1:12" x14ac:dyDescent="0.25">
      <c r="A154" t="s">
        <v>127</v>
      </c>
      <c r="B154" t="s">
        <v>8</v>
      </c>
      <c r="C154">
        <v>38</v>
      </c>
      <c r="D154" t="s">
        <v>10</v>
      </c>
      <c r="E154" s="7">
        <v>44316</v>
      </c>
      <c r="F154" t="s">
        <v>19</v>
      </c>
      <c r="G154" s="5">
        <v>109160</v>
      </c>
      <c r="H154" t="s">
        <v>205</v>
      </c>
      <c r="I154" s="11">
        <f ca="1">(TODAY()-staff[[#This Row],[Date Joined]])/365</f>
        <v>3.1616438356164385</v>
      </c>
      <c r="J154" s="71">
        <f ca="1">IF(staff[[#This Row],[Tenure]]&gt;2,3%,2%)*staff[[#This Row],[Salary]]</f>
        <v>3274.7999999999997</v>
      </c>
      <c r="K154" s="5">
        <v>109160</v>
      </c>
      <c r="L154">
        <f>VLOOKUP(staff[[#This Row],[Rating]],'RATING QUANTIFIED'!$C$4:$D$8,2,0)</f>
        <v>5</v>
      </c>
    </row>
    <row r="155" spans="1:12" x14ac:dyDescent="0.25">
      <c r="A155" t="s">
        <v>33</v>
      </c>
      <c r="B155" t="s">
        <v>8</v>
      </c>
      <c r="C155">
        <v>38</v>
      </c>
      <c r="D155" t="s">
        <v>10</v>
      </c>
      <c r="E155" s="7">
        <v>44377</v>
      </c>
      <c r="F155" t="s">
        <v>19</v>
      </c>
      <c r="G155" s="5">
        <v>109160</v>
      </c>
      <c r="H155" t="s">
        <v>207</v>
      </c>
      <c r="I155" s="11">
        <f ca="1">(TODAY()-staff[[#This Row],[Date Joined]])/365</f>
        <v>2.9945205479452053</v>
      </c>
      <c r="J155" s="71">
        <f ca="1">IF(staff[[#This Row],[Tenure]]&gt;2,3%,2%)*staff[[#This Row],[Salary]]</f>
        <v>3274.7999999999997</v>
      </c>
      <c r="K155" s="5">
        <v>109160</v>
      </c>
      <c r="L155">
        <f>VLOOKUP(staff[[#This Row],[Rating]],'RATING QUANTIFIED'!$C$4:$D$8,2,0)</f>
        <v>5</v>
      </c>
    </row>
    <row r="156" spans="1:12" x14ac:dyDescent="0.25">
      <c r="A156" s="6" t="s">
        <v>128</v>
      </c>
      <c r="B156" s="6" t="s">
        <v>15</v>
      </c>
      <c r="C156" s="6">
        <v>25</v>
      </c>
      <c r="D156" s="6" t="s">
        <v>13</v>
      </c>
      <c r="E156" s="7">
        <v>44665</v>
      </c>
      <c r="F156" s="6" t="s">
        <v>9</v>
      </c>
      <c r="G156" s="5">
        <v>109190</v>
      </c>
      <c r="H156" s="6" t="s">
        <v>205</v>
      </c>
      <c r="I156" s="11">
        <f ca="1">(TODAY()-staff[[#This Row],[Date Joined]])/365</f>
        <v>2.2054794520547945</v>
      </c>
      <c r="J156" s="71">
        <f ca="1">IF(staff[[#This Row],[Tenure]]&gt;2,3%,2%)*staff[[#This Row],[Salary]]</f>
        <v>3275.7</v>
      </c>
      <c r="K156" s="5">
        <v>109190</v>
      </c>
      <c r="L156">
        <f>VLOOKUP(staff[[#This Row],[Rating]],'RATING QUANTIFIED'!$C$4:$D$8,2,0)</f>
        <v>4</v>
      </c>
    </row>
    <row r="157" spans="1:12" x14ac:dyDescent="0.25">
      <c r="A157" t="s">
        <v>34</v>
      </c>
      <c r="B157" t="s">
        <v>15</v>
      </c>
      <c r="C157">
        <v>25</v>
      </c>
      <c r="D157" t="s">
        <v>13</v>
      </c>
      <c r="E157" s="7">
        <v>44726</v>
      </c>
      <c r="F157" t="s">
        <v>9</v>
      </c>
      <c r="G157" s="5">
        <v>109190</v>
      </c>
      <c r="H157" t="s">
        <v>207</v>
      </c>
      <c r="I157" s="11">
        <f ca="1">(TODAY()-staff[[#This Row],[Date Joined]])/365</f>
        <v>2.0383561643835617</v>
      </c>
      <c r="J157" s="71">
        <f ca="1">IF(staff[[#This Row],[Tenure]]&gt;2,3%,2%)*staff[[#This Row],[Salary]]</f>
        <v>3275.7</v>
      </c>
      <c r="K157" s="5">
        <v>109190</v>
      </c>
      <c r="L157">
        <f>VLOOKUP(staff[[#This Row],[Rating]],'RATING QUANTIFIED'!$C$4:$D$8,2,0)</f>
        <v>4</v>
      </c>
    </row>
    <row r="158" spans="1:12" x14ac:dyDescent="0.25">
      <c r="A158" t="s">
        <v>180</v>
      </c>
      <c r="B158" t="s">
        <v>15</v>
      </c>
      <c r="C158">
        <v>29</v>
      </c>
      <c r="D158" t="s">
        <v>24</v>
      </c>
      <c r="E158" s="7">
        <v>44119</v>
      </c>
      <c r="F158" t="s">
        <v>12</v>
      </c>
      <c r="G158" s="5">
        <v>112110</v>
      </c>
      <c r="H158" t="s">
        <v>205</v>
      </c>
      <c r="I158" s="11">
        <f ca="1">(TODAY()-staff[[#This Row],[Date Joined]])/365</f>
        <v>3.7013698630136984</v>
      </c>
      <c r="J158" s="71">
        <f ca="1">IF(staff[[#This Row],[Tenure]]&gt;2,3%,2%)*staff[[#This Row],[Salary]]</f>
        <v>3363.2999999999997</v>
      </c>
      <c r="K158" s="5">
        <v>112110</v>
      </c>
      <c r="L158">
        <f>VLOOKUP(staff[[#This Row],[Rating]],'RATING QUANTIFIED'!$C$4:$D$8,2,0)</f>
        <v>2</v>
      </c>
    </row>
    <row r="159" spans="1:12" x14ac:dyDescent="0.25">
      <c r="A159" t="s">
        <v>87</v>
      </c>
      <c r="B159" t="s">
        <v>15</v>
      </c>
      <c r="C159">
        <v>29</v>
      </c>
      <c r="D159" t="s">
        <v>24</v>
      </c>
      <c r="E159" s="7">
        <v>44180</v>
      </c>
      <c r="F159" t="s">
        <v>12</v>
      </c>
      <c r="G159" s="5">
        <v>112110</v>
      </c>
      <c r="H159" t="s">
        <v>207</v>
      </c>
      <c r="I159" s="11">
        <f ca="1">(TODAY()-staff[[#This Row],[Date Joined]])/365</f>
        <v>3.5342465753424657</v>
      </c>
      <c r="J159" s="71">
        <f ca="1">IF(staff[[#This Row],[Tenure]]&gt;2,3%,2%)*staff[[#This Row],[Salary]]</f>
        <v>3363.2999999999997</v>
      </c>
      <c r="K159" s="5">
        <v>112110</v>
      </c>
      <c r="L159">
        <f>VLOOKUP(staff[[#This Row],[Rating]],'RATING QUANTIFIED'!$C$4:$D$8,2,0)</f>
        <v>2</v>
      </c>
    </row>
    <row r="160" spans="1:12" x14ac:dyDescent="0.25">
      <c r="A160" t="s">
        <v>173</v>
      </c>
      <c r="B160" t="s">
        <v>8</v>
      </c>
      <c r="C160">
        <v>30</v>
      </c>
      <c r="D160" t="s">
        <v>16</v>
      </c>
      <c r="E160" s="7">
        <v>44800</v>
      </c>
      <c r="F160" t="s">
        <v>9</v>
      </c>
      <c r="G160" s="5">
        <v>112570</v>
      </c>
      <c r="H160" t="s">
        <v>205</v>
      </c>
      <c r="I160" s="11">
        <f ca="1">(TODAY()-staff[[#This Row],[Date Joined]])/365</f>
        <v>1.8356164383561644</v>
      </c>
      <c r="J160" s="71">
        <f ca="1">IF(staff[[#This Row],[Tenure]]&gt;2,3%,2%)*staff[[#This Row],[Salary]]</f>
        <v>2251.4</v>
      </c>
      <c r="K160" s="5">
        <v>112570</v>
      </c>
      <c r="L160">
        <f>VLOOKUP(staff[[#This Row],[Rating]],'RATING QUANTIFIED'!$C$4:$D$8,2,0)</f>
        <v>3</v>
      </c>
    </row>
    <row r="161" spans="1:12" x14ac:dyDescent="0.25">
      <c r="A161" t="s">
        <v>81</v>
      </c>
      <c r="B161" t="s">
        <v>8</v>
      </c>
      <c r="C161">
        <v>30</v>
      </c>
      <c r="D161" t="s">
        <v>16</v>
      </c>
      <c r="E161" s="7">
        <v>44861</v>
      </c>
      <c r="F161" t="s">
        <v>9</v>
      </c>
      <c r="G161" s="5">
        <v>112570</v>
      </c>
      <c r="H161" t="s">
        <v>207</v>
      </c>
      <c r="I161" s="11">
        <f ca="1">(TODAY()-staff[[#This Row],[Date Joined]])/365</f>
        <v>1.6684931506849314</v>
      </c>
      <c r="J161" s="71">
        <f ca="1">IF(staff[[#This Row],[Tenure]]&gt;2,3%,2%)*staff[[#This Row],[Salary]]</f>
        <v>2251.4</v>
      </c>
      <c r="K161" s="5">
        <v>112570</v>
      </c>
      <c r="L161">
        <f>VLOOKUP(staff[[#This Row],[Rating]],'RATING QUANTIFIED'!$C$4:$D$8,2,0)</f>
        <v>3</v>
      </c>
    </row>
    <row r="162" spans="1:12" x14ac:dyDescent="0.25">
      <c r="A162" s="6" t="s">
        <v>156</v>
      </c>
      <c r="B162" s="6" t="s">
        <v>15</v>
      </c>
      <c r="C162" s="6">
        <v>20</v>
      </c>
      <c r="D162" s="6" t="s">
        <v>16</v>
      </c>
      <c r="E162" s="7">
        <v>44122</v>
      </c>
      <c r="F162" s="6" t="s">
        <v>12</v>
      </c>
      <c r="G162" s="5">
        <v>112650</v>
      </c>
      <c r="H162" s="6" t="s">
        <v>205</v>
      </c>
      <c r="I162" s="11">
        <f ca="1">(TODAY()-staff[[#This Row],[Date Joined]])/365</f>
        <v>3.6931506849315068</v>
      </c>
      <c r="J162" s="71">
        <f ca="1">IF(staff[[#This Row],[Tenure]]&gt;2,3%,2%)*staff[[#This Row],[Salary]]</f>
        <v>3379.5</v>
      </c>
      <c r="K162" s="5">
        <v>112650</v>
      </c>
      <c r="L162">
        <f>VLOOKUP(staff[[#This Row],[Rating]],'RATING QUANTIFIED'!$C$4:$D$8,2,0)</f>
        <v>3</v>
      </c>
    </row>
    <row r="163" spans="1:12" x14ac:dyDescent="0.25">
      <c r="A163" s="6" t="s">
        <v>178</v>
      </c>
      <c r="B163" s="6" t="s">
        <v>15</v>
      </c>
      <c r="C163" s="6">
        <v>34</v>
      </c>
      <c r="D163" s="6" t="s">
        <v>16</v>
      </c>
      <c r="E163" s="7">
        <v>44642</v>
      </c>
      <c r="F163" s="6" t="s">
        <v>9</v>
      </c>
      <c r="G163" s="5">
        <v>112650</v>
      </c>
      <c r="H163" s="6" t="s">
        <v>205</v>
      </c>
      <c r="I163" s="11">
        <f ca="1">(TODAY()-staff[[#This Row],[Date Joined]])/365</f>
        <v>2.2684931506849315</v>
      </c>
      <c r="J163" s="71">
        <f ca="1">IF(staff[[#This Row],[Tenure]]&gt;2,3%,2%)*staff[[#This Row],[Salary]]</f>
        <v>3379.5</v>
      </c>
      <c r="K163" s="5">
        <v>112650</v>
      </c>
      <c r="L163">
        <f>VLOOKUP(staff[[#This Row],[Rating]],'RATING QUANTIFIED'!$C$4:$D$8,2,0)</f>
        <v>3</v>
      </c>
    </row>
    <row r="164" spans="1:12" x14ac:dyDescent="0.25">
      <c r="A164" t="s">
        <v>64</v>
      </c>
      <c r="B164" t="s">
        <v>15</v>
      </c>
      <c r="C164">
        <v>20</v>
      </c>
      <c r="D164" t="s">
        <v>16</v>
      </c>
      <c r="E164" s="7">
        <v>44183</v>
      </c>
      <c r="F164" t="s">
        <v>12</v>
      </c>
      <c r="G164" s="5">
        <v>112650</v>
      </c>
      <c r="H164" t="s">
        <v>207</v>
      </c>
      <c r="I164" s="11">
        <f ca="1">(TODAY()-staff[[#This Row],[Date Joined]])/365</f>
        <v>3.526027397260274</v>
      </c>
      <c r="J164" s="71">
        <f ca="1">IF(staff[[#This Row],[Tenure]]&gt;2,3%,2%)*staff[[#This Row],[Salary]]</f>
        <v>3379.5</v>
      </c>
      <c r="K164" s="5">
        <v>112650</v>
      </c>
      <c r="L164">
        <f>VLOOKUP(staff[[#This Row],[Rating]],'RATING QUANTIFIED'!$C$4:$D$8,2,0)</f>
        <v>3</v>
      </c>
    </row>
    <row r="165" spans="1:12" x14ac:dyDescent="0.25">
      <c r="A165" t="s">
        <v>150</v>
      </c>
      <c r="B165" t="s">
        <v>15</v>
      </c>
      <c r="C165">
        <v>22</v>
      </c>
      <c r="D165" t="s">
        <v>13</v>
      </c>
      <c r="E165" s="7">
        <v>44384</v>
      </c>
      <c r="F165" t="s">
        <v>19</v>
      </c>
      <c r="G165" s="5">
        <v>112780</v>
      </c>
      <c r="H165" t="s">
        <v>205</v>
      </c>
      <c r="I165" s="11">
        <f ca="1">(TODAY()-staff[[#This Row],[Date Joined]])/365</f>
        <v>2.9753424657534246</v>
      </c>
      <c r="J165" s="71">
        <f ca="1">IF(staff[[#This Row],[Tenure]]&gt;2,3%,2%)*staff[[#This Row],[Salary]]</f>
        <v>3383.4</v>
      </c>
      <c r="K165" s="5">
        <v>112780</v>
      </c>
      <c r="L165">
        <f>VLOOKUP(staff[[#This Row],[Rating]],'RATING QUANTIFIED'!$C$4:$D$8,2,0)</f>
        <v>4</v>
      </c>
    </row>
    <row r="166" spans="1:12" x14ac:dyDescent="0.25">
      <c r="A166" t="s">
        <v>58</v>
      </c>
      <c r="B166" t="s">
        <v>15</v>
      </c>
      <c r="C166">
        <v>22</v>
      </c>
      <c r="D166" t="s">
        <v>13</v>
      </c>
      <c r="E166" s="7">
        <v>44446</v>
      </c>
      <c r="F166" t="s">
        <v>19</v>
      </c>
      <c r="G166" s="5">
        <v>112780</v>
      </c>
      <c r="H166" t="s">
        <v>207</v>
      </c>
      <c r="I166" s="11">
        <f ca="1">(TODAY()-staff[[#This Row],[Date Joined]])/365</f>
        <v>2.8054794520547945</v>
      </c>
      <c r="J166" s="71">
        <f ca="1">IF(staff[[#This Row],[Tenure]]&gt;2,3%,2%)*staff[[#This Row],[Salary]]</f>
        <v>3383.4</v>
      </c>
      <c r="K166" s="5">
        <v>112780</v>
      </c>
      <c r="L166">
        <f>VLOOKUP(staff[[#This Row],[Rating]],'RATING QUANTIFIED'!$C$4:$D$8,2,0)</f>
        <v>4</v>
      </c>
    </row>
    <row r="167" spans="1:12" x14ac:dyDescent="0.25">
      <c r="A167" t="s">
        <v>191</v>
      </c>
      <c r="B167" t="s">
        <v>15</v>
      </c>
      <c r="C167">
        <v>27</v>
      </c>
      <c r="D167" t="s">
        <v>42</v>
      </c>
      <c r="E167" s="7">
        <v>44547</v>
      </c>
      <c r="F167" t="s">
        <v>9</v>
      </c>
      <c r="G167" s="5">
        <v>113280</v>
      </c>
      <c r="H167" t="s">
        <v>205</v>
      </c>
      <c r="I167" s="11">
        <f ca="1">(TODAY()-staff[[#This Row],[Date Joined]])/365</f>
        <v>2.5287671232876714</v>
      </c>
      <c r="J167" s="71">
        <f ca="1">IF(staff[[#This Row],[Tenure]]&gt;2,3%,2%)*staff[[#This Row],[Salary]]</f>
        <v>3398.4</v>
      </c>
      <c r="K167" s="5">
        <v>113280</v>
      </c>
      <c r="L167">
        <f>VLOOKUP(staff[[#This Row],[Rating]],'RATING QUANTIFIED'!$C$4:$D$8,2,0)</f>
        <v>1</v>
      </c>
    </row>
    <row r="168" spans="1:12" x14ac:dyDescent="0.25">
      <c r="A168" t="s">
        <v>98</v>
      </c>
      <c r="B168" t="s">
        <v>15</v>
      </c>
      <c r="C168">
        <v>27</v>
      </c>
      <c r="D168" t="s">
        <v>42</v>
      </c>
      <c r="E168" s="7">
        <v>44609</v>
      </c>
      <c r="F168" t="s">
        <v>9</v>
      </c>
      <c r="G168" s="5">
        <v>113280</v>
      </c>
      <c r="H168" t="s">
        <v>207</v>
      </c>
      <c r="I168" s="11">
        <f ca="1">(TODAY()-staff[[#This Row],[Date Joined]])/365</f>
        <v>2.3589041095890413</v>
      </c>
      <c r="J168" s="71">
        <f ca="1">IF(staff[[#This Row],[Tenure]]&gt;2,3%,2%)*staff[[#This Row],[Salary]]</f>
        <v>3398.4</v>
      </c>
      <c r="K168" s="5">
        <v>113280</v>
      </c>
      <c r="L168">
        <f>VLOOKUP(staff[[#This Row],[Rating]],'RATING QUANTIFIED'!$C$4:$D$8,2,0)</f>
        <v>1</v>
      </c>
    </row>
    <row r="169" spans="1:12" x14ac:dyDescent="0.25">
      <c r="A169" t="s">
        <v>147</v>
      </c>
      <c r="B169" t="s">
        <v>8</v>
      </c>
      <c r="C169">
        <v>30</v>
      </c>
      <c r="D169" t="s">
        <v>16</v>
      </c>
      <c r="E169" s="7">
        <v>44789</v>
      </c>
      <c r="F169" t="s">
        <v>9</v>
      </c>
      <c r="G169" s="5">
        <v>114180</v>
      </c>
      <c r="H169" t="s">
        <v>205</v>
      </c>
      <c r="I169" s="11">
        <f ca="1">(TODAY()-staff[[#This Row],[Date Joined]])/365</f>
        <v>1.8657534246575342</v>
      </c>
      <c r="J169" s="71">
        <f ca="1">IF(staff[[#This Row],[Tenure]]&gt;2,3%,2%)*staff[[#This Row],[Salary]]</f>
        <v>2283.6</v>
      </c>
      <c r="K169" s="5">
        <v>114180</v>
      </c>
      <c r="L169">
        <f>VLOOKUP(staff[[#This Row],[Rating]],'RATING QUANTIFIED'!$C$4:$D$8,2,0)</f>
        <v>3</v>
      </c>
    </row>
    <row r="170" spans="1:12" x14ac:dyDescent="0.25">
      <c r="A170" t="s">
        <v>54</v>
      </c>
      <c r="B170" t="s">
        <v>8</v>
      </c>
      <c r="C170">
        <v>30</v>
      </c>
      <c r="D170" t="s">
        <v>16</v>
      </c>
      <c r="E170" s="7">
        <v>44850</v>
      </c>
      <c r="F170" t="s">
        <v>9</v>
      </c>
      <c r="G170" s="5">
        <v>114180</v>
      </c>
      <c r="H170" t="s">
        <v>207</v>
      </c>
      <c r="I170" s="11">
        <f ca="1">(TODAY()-staff[[#This Row],[Date Joined]])/365</f>
        <v>1.6986301369863013</v>
      </c>
      <c r="J170" s="71">
        <f ca="1">IF(staff[[#This Row],[Tenure]]&gt;2,3%,2%)*staff[[#This Row],[Salary]]</f>
        <v>2283.6</v>
      </c>
      <c r="K170" s="5">
        <v>114180</v>
      </c>
      <c r="L170">
        <f>VLOOKUP(staff[[#This Row],[Rating]],'RATING QUANTIFIED'!$C$4:$D$8,2,0)</f>
        <v>3</v>
      </c>
    </row>
    <row r="171" spans="1:12" x14ac:dyDescent="0.25">
      <c r="A171" t="s">
        <v>114</v>
      </c>
      <c r="B171" t="s">
        <v>8</v>
      </c>
      <c r="C171">
        <v>44</v>
      </c>
      <c r="D171" t="s">
        <v>16</v>
      </c>
      <c r="E171" s="7">
        <v>44985</v>
      </c>
      <c r="F171" t="s">
        <v>12</v>
      </c>
      <c r="G171" s="5">
        <v>114870</v>
      </c>
      <c r="H171" t="s">
        <v>205</v>
      </c>
      <c r="I171" s="11">
        <f ca="1">(TODAY()-staff[[#This Row],[Date Joined]])/365</f>
        <v>1.3287671232876712</v>
      </c>
      <c r="J171" s="71">
        <f ca="1">IF(staff[[#This Row],[Tenure]]&gt;2,3%,2%)*staff[[#This Row],[Salary]]</f>
        <v>2297.4</v>
      </c>
      <c r="K171" s="5">
        <v>114870</v>
      </c>
      <c r="L171">
        <f>VLOOKUP(staff[[#This Row],[Rating]],'RATING QUANTIFIED'!$C$4:$D$8,2,0)</f>
        <v>3</v>
      </c>
    </row>
    <row r="172" spans="1:12" x14ac:dyDescent="0.25">
      <c r="A172" t="s">
        <v>17</v>
      </c>
      <c r="B172" t="s">
        <v>8</v>
      </c>
      <c r="C172">
        <v>43</v>
      </c>
      <c r="D172" t="s">
        <v>16</v>
      </c>
      <c r="E172" s="7">
        <v>45045</v>
      </c>
      <c r="F172" t="s">
        <v>12</v>
      </c>
      <c r="G172" s="5">
        <v>114870</v>
      </c>
      <c r="H172" t="s">
        <v>207</v>
      </c>
      <c r="I172" s="11">
        <f ca="1">(TODAY()-staff[[#This Row],[Date Joined]])/365</f>
        <v>1.1643835616438356</v>
      </c>
      <c r="J172" s="71">
        <f ca="1">IF(staff[[#This Row],[Tenure]]&gt;2,3%,2%)*staff[[#This Row],[Salary]]</f>
        <v>2297.4</v>
      </c>
      <c r="K172" s="5">
        <v>114870</v>
      </c>
      <c r="L172">
        <f>VLOOKUP(staff[[#This Row],[Rating]],'RATING QUANTIFIED'!$C$4:$D$8,2,0)</f>
        <v>3</v>
      </c>
    </row>
    <row r="173" spans="1:12" x14ac:dyDescent="0.25">
      <c r="A173" t="s">
        <v>175</v>
      </c>
      <c r="B173" t="s">
        <v>8</v>
      </c>
      <c r="C173">
        <v>36</v>
      </c>
      <c r="D173" t="s">
        <v>16</v>
      </c>
      <c r="E173" s="7">
        <v>44023</v>
      </c>
      <c r="F173" t="s">
        <v>9</v>
      </c>
      <c r="G173" s="5">
        <v>114890</v>
      </c>
      <c r="H173" t="s">
        <v>205</v>
      </c>
      <c r="I173" s="11">
        <f ca="1">(TODAY()-staff[[#This Row],[Date Joined]])/365</f>
        <v>3.9643835616438357</v>
      </c>
      <c r="J173" s="71">
        <f ca="1">IF(staff[[#This Row],[Tenure]]&gt;2,3%,2%)*staff[[#This Row],[Salary]]</f>
        <v>3446.7</v>
      </c>
      <c r="K173" s="5">
        <v>114890</v>
      </c>
      <c r="L173">
        <f>VLOOKUP(staff[[#This Row],[Rating]],'RATING QUANTIFIED'!$C$4:$D$8,2,0)</f>
        <v>3</v>
      </c>
    </row>
    <row r="174" spans="1:12" x14ac:dyDescent="0.25">
      <c r="A174" t="s">
        <v>83</v>
      </c>
      <c r="B174" t="s">
        <v>8</v>
      </c>
      <c r="C174">
        <v>36</v>
      </c>
      <c r="D174" t="s">
        <v>16</v>
      </c>
      <c r="E174" s="7">
        <v>44085</v>
      </c>
      <c r="F174" t="s">
        <v>9</v>
      </c>
      <c r="G174" s="5">
        <v>114890</v>
      </c>
      <c r="H174" t="s">
        <v>207</v>
      </c>
      <c r="I174" s="11">
        <f ca="1">(TODAY()-staff[[#This Row],[Date Joined]])/365</f>
        <v>3.7945205479452055</v>
      </c>
      <c r="J174" s="71">
        <f ca="1">IF(staff[[#This Row],[Tenure]]&gt;2,3%,2%)*staff[[#This Row],[Salary]]</f>
        <v>3446.7</v>
      </c>
      <c r="K174" s="5">
        <v>114890</v>
      </c>
      <c r="L174">
        <f>VLOOKUP(staff[[#This Row],[Rating]],'RATING QUANTIFIED'!$C$4:$D$8,2,0)</f>
        <v>3</v>
      </c>
    </row>
    <row r="175" spans="1:12" x14ac:dyDescent="0.25">
      <c r="A175" s="6" t="s">
        <v>142</v>
      </c>
      <c r="B175" s="6" t="s">
        <v>206</v>
      </c>
      <c r="C175" s="6">
        <v>37</v>
      </c>
      <c r="D175" s="6" t="s">
        <v>24</v>
      </c>
      <c r="E175" s="7">
        <v>44085</v>
      </c>
      <c r="F175" s="6" t="s">
        <v>21</v>
      </c>
      <c r="G175" s="5">
        <v>115440</v>
      </c>
      <c r="H175" s="6" t="s">
        <v>205</v>
      </c>
      <c r="I175" s="11">
        <f ca="1">(TODAY()-staff[[#This Row],[Date Joined]])/365</f>
        <v>3.7945205479452055</v>
      </c>
      <c r="J175" s="71">
        <f ca="1">IF(staff[[#This Row],[Tenure]]&gt;2,3%,2%)*staff[[#This Row],[Salary]]</f>
        <v>3463.2</v>
      </c>
      <c r="K175" s="5">
        <v>115440</v>
      </c>
      <c r="L175">
        <f>VLOOKUP(staff[[#This Row],[Rating]],'RATING QUANTIFIED'!$C$4:$D$8,2,0)</f>
        <v>2</v>
      </c>
    </row>
    <row r="176" spans="1:12" x14ac:dyDescent="0.25">
      <c r="A176" t="s">
        <v>49</v>
      </c>
      <c r="B176" t="s">
        <v>206</v>
      </c>
      <c r="C176">
        <v>37</v>
      </c>
      <c r="D176" t="s">
        <v>24</v>
      </c>
      <c r="E176" s="7">
        <v>44146</v>
      </c>
      <c r="F176" t="s">
        <v>21</v>
      </c>
      <c r="G176" s="5">
        <v>115440</v>
      </c>
      <c r="H176" t="s">
        <v>207</v>
      </c>
      <c r="I176" s="11">
        <f ca="1">(TODAY()-staff[[#This Row],[Date Joined]])/365</f>
        <v>3.6273972602739728</v>
      </c>
      <c r="J176" s="71">
        <f ca="1">IF(staff[[#This Row],[Tenure]]&gt;2,3%,2%)*staff[[#This Row],[Salary]]</f>
        <v>3463.2</v>
      </c>
      <c r="K176" s="5">
        <v>115440</v>
      </c>
      <c r="L176">
        <f>VLOOKUP(staff[[#This Row],[Rating]],'RATING QUANTIFIED'!$C$4:$D$8,2,0)</f>
        <v>2</v>
      </c>
    </row>
    <row r="177" spans="1:12" x14ac:dyDescent="0.25">
      <c r="A177" t="s">
        <v>134</v>
      </c>
      <c r="B177" t="s">
        <v>15</v>
      </c>
      <c r="C177">
        <v>33</v>
      </c>
      <c r="D177" t="s">
        <v>16</v>
      </c>
      <c r="E177" s="7">
        <v>44103</v>
      </c>
      <c r="F177" t="s">
        <v>9</v>
      </c>
      <c r="G177" s="5">
        <v>115920</v>
      </c>
      <c r="H177" t="s">
        <v>205</v>
      </c>
      <c r="I177" s="11">
        <f ca="1">(TODAY()-staff[[#This Row],[Date Joined]])/365</f>
        <v>3.7452054794520548</v>
      </c>
      <c r="J177" s="71">
        <f ca="1">IF(staff[[#This Row],[Tenure]]&gt;2,3%,2%)*staff[[#This Row],[Salary]]</f>
        <v>3477.6</v>
      </c>
      <c r="K177" s="5">
        <v>115920</v>
      </c>
      <c r="L177">
        <f>VLOOKUP(staff[[#This Row],[Rating]],'RATING QUANTIFIED'!$C$4:$D$8,2,0)</f>
        <v>3</v>
      </c>
    </row>
    <row r="178" spans="1:12" x14ac:dyDescent="0.25">
      <c r="A178" t="s">
        <v>40</v>
      </c>
      <c r="B178" t="s">
        <v>15</v>
      </c>
      <c r="C178">
        <v>33</v>
      </c>
      <c r="D178" t="s">
        <v>16</v>
      </c>
      <c r="E178" s="7">
        <v>44164</v>
      </c>
      <c r="F178" t="s">
        <v>9</v>
      </c>
      <c r="G178" s="5">
        <v>115920</v>
      </c>
      <c r="H178" t="s">
        <v>207</v>
      </c>
      <c r="I178" s="11">
        <f ca="1">(TODAY()-staff[[#This Row],[Date Joined]])/365</f>
        <v>3.5780821917808221</v>
      </c>
      <c r="J178" s="71">
        <f ca="1">IF(staff[[#This Row],[Tenure]]&gt;2,3%,2%)*staff[[#This Row],[Salary]]</f>
        <v>3477.6</v>
      </c>
      <c r="K178" s="5">
        <v>115920</v>
      </c>
      <c r="L178">
        <f>VLOOKUP(staff[[#This Row],[Rating]],'RATING QUANTIFIED'!$C$4:$D$8,2,0)</f>
        <v>3</v>
      </c>
    </row>
    <row r="179" spans="1:12" x14ac:dyDescent="0.25">
      <c r="A179" t="s">
        <v>148</v>
      </c>
      <c r="B179" t="s">
        <v>8</v>
      </c>
      <c r="C179">
        <v>37</v>
      </c>
      <c r="D179" t="s">
        <v>16</v>
      </c>
      <c r="E179" s="7">
        <v>44389</v>
      </c>
      <c r="F179" t="s">
        <v>56</v>
      </c>
      <c r="G179" s="5">
        <v>118100</v>
      </c>
      <c r="H179" t="s">
        <v>205</v>
      </c>
      <c r="I179" s="11">
        <f ca="1">(TODAY()-staff[[#This Row],[Date Joined]])/365</f>
        <v>2.9616438356164383</v>
      </c>
      <c r="J179" s="71">
        <f ca="1">IF(staff[[#This Row],[Tenure]]&gt;2,3%,2%)*staff[[#This Row],[Salary]]</f>
        <v>3543</v>
      </c>
      <c r="K179" s="5">
        <v>118100</v>
      </c>
      <c r="L179">
        <f>VLOOKUP(staff[[#This Row],[Rating]],'RATING QUANTIFIED'!$C$4:$D$8,2,0)</f>
        <v>3</v>
      </c>
    </row>
    <row r="180" spans="1:12" x14ac:dyDescent="0.25">
      <c r="A180" t="s">
        <v>55</v>
      </c>
      <c r="B180" t="s">
        <v>8</v>
      </c>
      <c r="C180">
        <v>37</v>
      </c>
      <c r="D180" t="s">
        <v>16</v>
      </c>
      <c r="E180" s="7">
        <v>44451</v>
      </c>
      <c r="F180" t="s">
        <v>56</v>
      </c>
      <c r="G180" s="5">
        <v>118100</v>
      </c>
      <c r="H180" t="s">
        <v>207</v>
      </c>
      <c r="I180" s="11">
        <f ca="1">(TODAY()-staff[[#This Row],[Date Joined]])/365</f>
        <v>2.7917808219178082</v>
      </c>
      <c r="J180" s="71">
        <f ca="1">IF(staff[[#This Row],[Tenure]]&gt;2,3%,2%)*staff[[#This Row],[Salary]]</f>
        <v>3543</v>
      </c>
      <c r="K180" s="5">
        <v>118100</v>
      </c>
      <c r="L180">
        <f>VLOOKUP(staff[[#This Row],[Rating]],'RATING QUANTIFIED'!$C$4:$D$8,2,0)</f>
        <v>3</v>
      </c>
    </row>
    <row r="181" spans="1:12" x14ac:dyDescent="0.25">
      <c r="A181" s="6" t="s">
        <v>199</v>
      </c>
      <c r="B181" s="6" t="s">
        <v>15</v>
      </c>
      <c r="C181" s="6">
        <v>36</v>
      </c>
      <c r="D181" s="6" t="s">
        <v>16</v>
      </c>
      <c r="E181" s="7">
        <v>43958</v>
      </c>
      <c r="F181" s="6" t="s">
        <v>12</v>
      </c>
      <c r="G181" s="5">
        <v>118840</v>
      </c>
      <c r="H181" s="6" t="s">
        <v>205</v>
      </c>
      <c r="I181" s="11">
        <f ca="1">(TODAY()-staff[[#This Row],[Date Joined]])/365</f>
        <v>4.1424657534246574</v>
      </c>
      <c r="J181" s="71">
        <f ca="1">IF(staff[[#This Row],[Tenure]]&gt;2,3%,2%)*staff[[#This Row],[Salary]]</f>
        <v>3565.2</v>
      </c>
      <c r="K181" s="5">
        <v>118840</v>
      </c>
      <c r="L181">
        <f>VLOOKUP(staff[[#This Row],[Rating]],'RATING QUANTIFIED'!$C$4:$D$8,2,0)</f>
        <v>3</v>
      </c>
    </row>
    <row r="182" spans="1:12" x14ac:dyDescent="0.25">
      <c r="A182" t="s">
        <v>106</v>
      </c>
      <c r="B182" t="s">
        <v>15</v>
      </c>
      <c r="C182">
        <v>36</v>
      </c>
      <c r="D182" t="s">
        <v>16</v>
      </c>
      <c r="E182" s="7">
        <v>44019</v>
      </c>
      <c r="F182" t="s">
        <v>12</v>
      </c>
      <c r="G182" s="5">
        <v>118840</v>
      </c>
      <c r="H182" t="s">
        <v>207</v>
      </c>
      <c r="I182" s="11">
        <f ca="1">(TODAY()-staff[[#This Row],[Date Joined]])/365</f>
        <v>3.9753424657534246</v>
      </c>
      <c r="J182" s="71">
        <f ca="1">IF(staff[[#This Row],[Tenure]]&gt;2,3%,2%)*staff[[#This Row],[Salary]]</f>
        <v>3565.2</v>
      </c>
      <c r="K182" s="5">
        <v>118840</v>
      </c>
      <c r="L182">
        <f>VLOOKUP(staff[[#This Row],[Rating]],'RATING QUANTIFIED'!$C$4:$D$8,2,0)</f>
        <v>3</v>
      </c>
    </row>
    <row r="183" spans="1:12" x14ac:dyDescent="0.25">
      <c r="A183" t="s">
        <v>152</v>
      </c>
      <c r="B183" t="s">
        <v>8</v>
      </c>
      <c r="C183">
        <v>27</v>
      </c>
      <c r="D183" t="s">
        <v>16</v>
      </c>
      <c r="E183" s="7">
        <v>44061</v>
      </c>
      <c r="F183" t="s">
        <v>56</v>
      </c>
      <c r="G183" s="5">
        <v>119110</v>
      </c>
      <c r="H183" t="s">
        <v>205</v>
      </c>
      <c r="I183" s="11">
        <f ca="1">(TODAY()-staff[[#This Row],[Date Joined]])/365</f>
        <v>3.8602739726027395</v>
      </c>
      <c r="J183" s="71">
        <f ca="1">IF(staff[[#This Row],[Tenure]]&gt;2,3%,2%)*staff[[#This Row],[Salary]]</f>
        <v>3573.2999999999997</v>
      </c>
      <c r="K183" s="5">
        <v>119110</v>
      </c>
      <c r="L183">
        <f>VLOOKUP(staff[[#This Row],[Rating]],'RATING QUANTIFIED'!$C$4:$D$8,2,0)</f>
        <v>3</v>
      </c>
    </row>
    <row r="184" spans="1:12" x14ac:dyDescent="0.25">
      <c r="A184" t="s">
        <v>60</v>
      </c>
      <c r="B184" t="s">
        <v>8</v>
      </c>
      <c r="C184">
        <v>27</v>
      </c>
      <c r="D184" t="s">
        <v>16</v>
      </c>
      <c r="E184" s="7">
        <v>44122</v>
      </c>
      <c r="F184" t="s">
        <v>56</v>
      </c>
      <c r="G184" s="5">
        <v>119110</v>
      </c>
      <c r="H184" t="s">
        <v>207</v>
      </c>
      <c r="I184" s="11">
        <f ca="1">(TODAY()-staff[[#This Row],[Date Joined]])/365</f>
        <v>3.6931506849315068</v>
      </c>
      <c r="J184" s="71">
        <f ca="1">IF(staff[[#This Row],[Tenure]]&gt;2,3%,2%)*staff[[#This Row],[Salary]]</f>
        <v>3573.2999999999997</v>
      </c>
      <c r="K184" s="5">
        <v>119110</v>
      </c>
      <c r="L184">
        <f>VLOOKUP(staff[[#This Row],[Rating]],'RATING QUANTIFIED'!$C$4:$D$8,2,0)</f>
        <v>3</v>
      </c>
    </row>
  </sheetData>
  <phoneticPr fontId="2" type="noConversion"/>
  <conditionalFormatting sqref="K2:K184">
    <cfRule type="colorScale" priority="1">
      <colorScale>
        <cfvo type="min"/>
        <cfvo type="max"/>
        <color rgb="FFFCFCFF"/>
        <color rgb="FFF8696B"/>
      </colorScale>
    </cfRule>
  </conditionalFormatting>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7AF7A-CEEE-4EF0-BA0A-542AFD84A4CD}">
  <sheetPr>
    <tabColor theme="7" tint="0.39997558519241921"/>
  </sheetPr>
  <dimension ref="A1:K14"/>
  <sheetViews>
    <sheetView showGridLines="0" workbookViewId="0">
      <selection activeCell="F13" sqref="F13"/>
    </sheetView>
  </sheetViews>
  <sheetFormatPr defaultRowHeight="15" x14ac:dyDescent="0.25"/>
  <cols>
    <col min="1" max="1" width="3.5703125" customWidth="1"/>
    <col min="2" max="3" width="8.85546875" customWidth="1"/>
    <col min="4" max="4" width="19.85546875" customWidth="1"/>
    <col min="5" max="5" width="19.7109375" bestFit="1" customWidth="1"/>
    <col min="6" max="6" width="14.85546875" customWidth="1"/>
    <col min="7" max="7" width="10.85546875" bestFit="1" customWidth="1"/>
  </cols>
  <sheetData>
    <row r="1" spans="1:11" s="9" customFormat="1" ht="33.75" customHeight="1" x14ac:dyDescent="0.4">
      <c r="A1" s="10"/>
      <c r="B1" s="8" t="s">
        <v>208</v>
      </c>
      <c r="C1" s="8"/>
      <c r="D1" s="8"/>
      <c r="F1" s="8"/>
      <c r="G1" s="8"/>
      <c r="H1" s="8"/>
      <c r="K1" s="13"/>
    </row>
    <row r="2" spans="1:11" s="22" customFormat="1" x14ac:dyDescent="0.25">
      <c r="A2" s="10"/>
      <c r="B2" s="23" t="s">
        <v>240</v>
      </c>
      <c r="C2" s="23"/>
      <c r="D2" s="23"/>
    </row>
    <row r="6" spans="1:11" ht="15.75" x14ac:dyDescent="0.25">
      <c r="E6" s="45" t="s">
        <v>241</v>
      </c>
      <c r="F6" s="42" t="s">
        <v>220</v>
      </c>
    </row>
    <row r="7" spans="1:11" ht="15.75" x14ac:dyDescent="0.25">
      <c r="E7" s="44" t="s">
        <v>209</v>
      </c>
      <c r="F7" s="47">
        <f>COUNTA(staff[Name])</f>
        <v>183</v>
      </c>
    </row>
    <row r="8" spans="1:11" ht="15.75" x14ac:dyDescent="0.25">
      <c r="E8" s="44" t="s">
        <v>210</v>
      </c>
      <c r="F8" s="49">
        <f>AVERAGE(staff[Salary])</f>
        <v>77173.715846994543</v>
      </c>
    </row>
    <row r="9" spans="1:11" ht="15.75" x14ac:dyDescent="0.25">
      <c r="E9" s="44" t="s">
        <v>213</v>
      </c>
      <c r="F9" s="49">
        <f>MEDIAN(staff[Salary])</f>
        <v>75000</v>
      </c>
    </row>
    <row r="10" spans="1:11" ht="15.75" x14ac:dyDescent="0.25">
      <c r="E10" s="44" t="s">
        <v>211</v>
      </c>
      <c r="F10" s="50">
        <f>AVERAGE(staff[Age])</f>
        <v>30.42622950819672</v>
      </c>
      <c r="I10" s="30"/>
    </row>
    <row r="11" spans="1:11" ht="15.75" x14ac:dyDescent="0.25">
      <c r="E11" s="44" t="s">
        <v>214</v>
      </c>
      <c r="F11" s="47">
        <f>MEDIAN(staff[Age])</f>
        <v>30</v>
      </c>
    </row>
    <row r="12" spans="1:11" ht="15.75" x14ac:dyDescent="0.25">
      <c r="E12" s="44" t="s">
        <v>212</v>
      </c>
      <c r="F12" s="50">
        <f ca="1">AVERAGE(staff[Tenure])</f>
        <v>2.841006063328094</v>
      </c>
    </row>
    <row r="13" spans="1:11" ht="15.75" x14ac:dyDescent="0.25">
      <c r="E13" s="44" t="s">
        <v>217</v>
      </c>
      <c r="F13" s="51">
        <f>COUNTIFS(staff[Gender],"Female")/$F$7</f>
        <v>0.46994535519125685</v>
      </c>
    </row>
    <row r="14" spans="1:11" ht="15.75" x14ac:dyDescent="0.25">
      <c r="E14" s="46" t="s">
        <v>215</v>
      </c>
      <c r="F14" s="52">
        <f>(COUNTIFS(staff[Salary],"&gt;"&amp;90000))/$F$7</f>
        <v>0.34426229508196721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C30BC-A0DC-4531-9A64-59CB66B832A2}">
  <sheetPr>
    <tabColor theme="7" tint="0.39997558519241921"/>
  </sheetPr>
  <dimension ref="A1:L16"/>
  <sheetViews>
    <sheetView showGridLines="0" zoomScale="85" zoomScaleNormal="85" workbookViewId="0">
      <selection activeCell="J5" sqref="J5"/>
    </sheetView>
  </sheetViews>
  <sheetFormatPr defaultRowHeight="15" x14ac:dyDescent="0.25"/>
  <cols>
    <col min="1" max="2" width="2.5703125" customWidth="1"/>
    <col min="3" max="5" width="10.5703125" customWidth="1"/>
    <col min="6" max="6" width="17" customWidth="1"/>
    <col min="7" max="7" width="25.140625" customWidth="1"/>
    <col min="8" max="8" width="13.7109375" bestFit="1" customWidth="1"/>
    <col min="9" max="9" width="14.5703125" style="14" bestFit="1" customWidth="1"/>
    <col min="10" max="10" width="22" bestFit="1" customWidth="1"/>
  </cols>
  <sheetData>
    <row r="1" spans="1:12" s="9" customFormat="1" ht="33.75" customHeight="1" x14ac:dyDescent="0.4">
      <c r="A1" s="10"/>
      <c r="B1" s="8" t="s">
        <v>218</v>
      </c>
      <c r="C1" s="8"/>
      <c r="D1" s="8"/>
      <c r="F1" s="8"/>
      <c r="G1" s="8"/>
      <c r="H1" s="8"/>
      <c r="K1" s="13"/>
    </row>
    <row r="2" spans="1:12" s="22" customFormat="1" x14ac:dyDescent="0.25">
      <c r="A2" s="10"/>
      <c r="B2" s="23" t="s">
        <v>222</v>
      </c>
      <c r="C2" s="23"/>
      <c r="D2" s="23"/>
    </row>
    <row r="3" spans="1:12" ht="15" customHeight="1" x14ac:dyDescent="0.25">
      <c r="G3" s="16"/>
    </row>
    <row r="4" spans="1:12" ht="15" customHeight="1" x14ac:dyDescent="0.25">
      <c r="E4" s="110" t="s">
        <v>239</v>
      </c>
      <c r="F4" s="111"/>
      <c r="G4" s="111"/>
      <c r="H4" s="111"/>
      <c r="I4" s="112"/>
      <c r="J4" s="29" t="s">
        <v>111</v>
      </c>
    </row>
    <row r="5" spans="1:12" x14ac:dyDescent="0.25">
      <c r="I5"/>
    </row>
    <row r="6" spans="1:12" s="12" customFormat="1" x14ac:dyDescent="0.25">
      <c r="E6" s="27"/>
      <c r="F6" s="27"/>
      <c r="G6" s="27"/>
      <c r="H6" s="27"/>
      <c r="I6" s="27"/>
      <c r="J6" s="27"/>
      <c r="K6" s="27"/>
      <c r="L6" s="27"/>
    </row>
    <row r="7" spans="1:12" ht="15.75" x14ac:dyDescent="0.25">
      <c r="D7" s="25"/>
      <c r="E7" s="40" t="s">
        <v>221</v>
      </c>
      <c r="F7" s="41" t="s">
        <v>219</v>
      </c>
      <c r="G7" s="42" t="s">
        <v>220</v>
      </c>
    </row>
    <row r="8" spans="1:12" ht="15.75" x14ac:dyDescent="0.25">
      <c r="E8" s="39">
        <v>1</v>
      </c>
      <c r="F8" s="26" t="s">
        <v>0</v>
      </c>
      <c r="G8" s="47" t="str">
        <f>VLOOKUP($J$4,staff[],E8,0)</f>
        <v>Nanak Sapna</v>
      </c>
    </row>
    <row r="9" spans="1:12" ht="15.75" x14ac:dyDescent="0.25">
      <c r="E9" s="39">
        <v>2</v>
      </c>
      <c r="F9" s="26" t="s">
        <v>1</v>
      </c>
      <c r="G9" s="47" t="str">
        <f>VLOOKUP($J$4,staff[],E9,0)</f>
        <v>Female</v>
      </c>
    </row>
    <row r="10" spans="1:12" ht="15.75" x14ac:dyDescent="0.25">
      <c r="E10" s="39">
        <v>3</v>
      </c>
      <c r="F10" s="26" t="s">
        <v>3</v>
      </c>
      <c r="G10" s="47">
        <f>VLOOKUP($J$4,staff[],E10,0)</f>
        <v>42</v>
      </c>
    </row>
    <row r="11" spans="1:12" ht="15.75" x14ac:dyDescent="0.25">
      <c r="E11" s="39">
        <v>4</v>
      </c>
      <c r="F11" s="26" t="s">
        <v>6</v>
      </c>
      <c r="G11" s="47" t="str">
        <f>VLOOKUP($J$4,staff[],E11,0)</f>
        <v>Exceptional</v>
      </c>
    </row>
    <row r="12" spans="1:12" ht="15.75" x14ac:dyDescent="0.25">
      <c r="E12" s="39">
        <v>5</v>
      </c>
      <c r="F12" s="26" t="s">
        <v>4</v>
      </c>
      <c r="G12" s="48">
        <f>VLOOKUP($J$4,staff[],E12,0)</f>
        <v>44718</v>
      </c>
    </row>
    <row r="13" spans="1:12" ht="15.75" x14ac:dyDescent="0.25">
      <c r="E13" s="39">
        <v>6</v>
      </c>
      <c r="F13" s="26" t="s">
        <v>2</v>
      </c>
      <c r="G13" s="47" t="str">
        <f>VLOOKUP($J$4,staff[],E13,0)</f>
        <v>Procurement</v>
      </c>
    </row>
    <row r="14" spans="1:12" ht="15.75" x14ac:dyDescent="0.25">
      <c r="E14" s="39">
        <v>7</v>
      </c>
      <c r="F14" s="26" t="s">
        <v>5</v>
      </c>
      <c r="G14" s="55">
        <f>VLOOKUP($J$4,staff[],E14,0)</f>
        <v>75000</v>
      </c>
    </row>
    <row r="15" spans="1:12" ht="15.75" x14ac:dyDescent="0.25">
      <c r="E15" s="39">
        <v>8</v>
      </c>
      <c r="F15" s="26" t="s">
        <v>204</v>
      </c>
      <c r="G15" s="47" t="str">
        <f>VLOOKUP($J$4,staff[],E15,0)</f>
        <v>IND</v>
      </c>
    </row>
    <row r="16" spans="1:12" ht="15.75" x14ac:dyDescent="0.25">
      <c r="E16" s="43">
        <v>9</v>
      </c>
      <c r="F16" s="38" t="s">
        <v>242</v>
      </c>
      <c r="G16" s="54">
        <f ca="1">VLOOKUP($J$4,staff[],E16,0)</f>
        <v>2.0602739726027397</v>
      </c>
    </row>
  </sheetData>
  <mergeCells count="1">
    <mergeCell ref="E4:I4"/>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442FC-A9F6-4399-A4F8-898F84F727CA}">
  <sheetPr>
    <tabColor theme="7" tint="0.39997558519241921"/>
  </sheetPr>
  <dimension ref="A1:S27"/>
  <sheetViews>
    <sheetView showGridLines="0" zoomScaleNormal="100" workbookViewId="0">
      <selection activeCell="J5" sqref="J5"/>
    </sheetView>
  </sheetViews>
  <sheetFormatPr defaultRowHeight="15" x14ac:dyDescent="0.25"/>
  <cols>
    <col min="1" max="1" width="3.140625" customWidth="1"/>
    <col min="2" max="9" width="3.28515625" customWidth="1"/>
    <col min="11" max="15" width="11.42578125" customWidth="1"/>
    <col min="16" max="16" width="14.5703125" style="14" bestFit="1" customWidth="1"/>
    <col min="18" max="18" width="11.7109375" bestFit="1" customWidth="1"/>
    <col min="19" max="19" width="8.7109375" customWidth="1"/>
    <col min="28" max="28" width="9.140625" customWidth="1"/>
  </cols>
  <sheetData>
    <row r="1" spans="1:19" s="9" customFormat="1" ht="33.75" customHeight="1" x14ac:dyDescent="0.4">
      <c r="A1" s="10"/>
      <c r="B1" s="8" t="s">
        <v>218</v>
      </c>
      <c r="C1" s="8"/>
      <c r="D1" s="8"/>
      <c r="E1" s="8"/>
      <c r="F1" s="8"/>
      <c r="G1" s="8"/>
      <c r="H1" s="8"/>
      <c r="I1" s="8"/>
      <c r="J1" s="8"/>
      <c r="K1" s="8"/>
      <c r="L1" s="8"/>
      <c r="M1" s="8"/>
      <c r="N1" s="8"/>
      <c r="O1" s="8"/>
    </row>
    <row r="2" spans="1:19" s="22" customFormat="1" x14ac:dyDescent="0.25">
      <c r="A2" s="10"/>
      <c r="B2" s="23" t="s">
        <v>236</v>
      </c>
      <c r="C2" s="23"/>
      <c r="D2" s="23"/>
      <c r="E2" s="23"/>
      <c r="F2" s="23"/>
      <c r="G2" s="23"/>
      <c r="H2" s="23"/>
      <c r="I2" s="23"/>
      <c r="J2" s="23"/>
    </row>
    <row r="3" spans="1:19" ht="15" customHeight="1" x14ac:dyDescent="0.25">
      <c r="J3" s="18"/>
      <c r="L3" s="53"/>
    </row>
    <row r="4" spans="1:19" ht="15" customHeight="1" x14ac:dyDescent="0.25">
      <c r="B4" s="116" t="s">
        <v>243</v>
      </c>
      <c r="C4" s="117"/>
      <c r="D4" s="117"/>
      <c r="E4" s="117"/>
      <c r="F4" s="117"/>
      <c r="G4" s="117"/>
      <c r="H4" s="117"/>
      <c r="I4" s="118"/>
      <c r="J4" s="114" t="s">
        <v>56</v>
      </c>
      <c r="K4" s="115"/>
      <c r="Q4" s="12"/>
    </row>
    <row r="5" spans="1:19" s="12" customFormat="1" ht="15" customHeight="1" x14ac:dyDescent="0.25">
      <c r="B5" s="69"/>
      <c r="C5" s="69"/>
      <c r="D5" s="69"/>
      <c r="E5" s="69"/>
      <c r="F5" s="69"/>
      <c r="G5" s="69"/>
      <c r="H5" s="69"/>
      <c r="I5" s="69"/>
      <c r="J5" s="28"/>
      <c r="K5" s="28"/>
      <c r="P5" s="15"/>
    </row>
    <row r="7" spans="1:19" x14ac:dyDescent="0.25">
      <c r="J7" s="56"/>
      <c r="K7" s="113" t="s">
        <v>237</v>
      </c>
      <c r="L7" s="113"/>
      <c r="M7" s="113"/>
      <c r="N7" s="113"/>
      <c r="O7" s="113"/>
      <c r="P7" s="113"/>
      <c r="Q7" s="113"/>
      <c r="R7" s="57"/>
      <c r="S7" s="18"/>
    </row>
    <row r="8" spans="1:19" s="12" customFormat="1" x14ac:dyDescent="0.25">
      <c r="J8" s="58"/>
      <c r="K8" s="28"/>
      <c r="L8" s="28"/>
      <c r="M8" s="28"/>
      <c r="N8" s="28"/>
      <c r="O8" s="28"/>
      <c r="P8" s="28"/>
      <c r="Q8" s="28"/>
      <c r="R8" s="59"/>
      <c r="S8" s="36"/>
    </row>
    <row r="9" spans="1:19" s="12" customFormat="1" x14ac:dyDescent="0.25">
      <c r="J9" s="60"/>
      <c r="K9" s="119" t="s">
        <v>232</v>
      </c>
      <c r="L9" s="119"/>
      <c r="M9" s="119"/>
      <c r="N9" s="119"/>
      <c r="O9" s="119"/>
      <c r="P9" s="119"/>
      <c r="Q9" s="18"/>
      <c r="R9" s="61"/>
      <c r="S9" s="36"/>
    </row>
    <row r="10" spans="1:19" s="12" customFormat="1" x14ac:dyDescent="0.25">
      <c r="J10" s="60"/>
      <c r="K10" s="119" t="s">
        <v>233</v>
      </c>
      <c r="L10" s="119"/>
      <c r="M10" s="119"/>
      <c r="N10" s="119"/>
      <c r="O10" s="119"/>
      <c r="P10" s="119"/>
      <c r="Q10" s="18"/>
      <c r="R10" s="61"/>
      <c r="S10" s="36"/>
    </row>
    <row r="11" spans="1:19" x14ac:dyDescent="0.25">
      <c r="J11" s="62"/>
      <c r="K11" s="63"/>
      <c r="L11" s="63"/>
      <c r="M11" s="63"/>
      <c r="N11" s="63"/>
      <c r="O11" s="63"/>
      <c r="P11" s="64"/>
      <c r="Q11" s="63"/>
      <c r="R11" s="65"/>
      <c r="S11" s="18"/>
    </row>
    <row r="12" spans="1:19" x14ac:dyDescent="0.25">
      <c r="J12" s="12"/>
      <c r="S12" s="18"/>
    </row>
    <row r="13" spans="1:19" x14ac:dyDescent="0.25">
      <c r="J13" s="66"/>
      <c r="K13" s="113" t="s">
        <v>238</v>
      </c>
      <c r="L13" s="113"/>
      <c r="M13" s="113"/>
      <c r="N13" s="113"/>
      <c r="O13" s="113"/>
      <c r="P13" s="113"/>
      <c r="Q13" s="113"/>
      <c r="R13" s="57"/>
      <c r="S13" s="18"/>
    </row>
    <row r="14" spans="1:19" x14ac:dyDescent="0.25">
      <c r="J14" s="58"/>
      <c r="K14" s="28"/>
      <c r="L14" s="28"/>
      <c r="M14" s="28"/>
      <c r="N14" s="28"/>
      <c r="O14" s="28"/>
      <c r="P14" s="28"/>
      <c r="Q14" s="28"/>
      <c r="R14" s="59"/>
    </row>
    <row r="15" spans="1:19" x14ac:dyDescent="0.25">
      <c r="J15" s="58"/>
      <c r="K15" s="119" t="s">
        <v>234</v>
      </c>
      <c r="L15" s="119"/>
      <c r="M15" s="119"/>
      <c r="N15" s="119"/>
      <c r="O15" s="119"/>
      <c r="P15" s="119"/>
      <c r="Q15" s="18"/>
      <c r="R15" s="61"/>
    </row>
    <row r="16" spans="1:19" s="12" customFormat="1" x14ac:dyDescent="0.25">
      <c r="J16" s="62"/>
      <c r="K16" s="63"/>
      <c r="L16" s="63"/>
      <c r="M16" s="63"/>
      <c r="N16" s="63"/>
      <c r="O16" s="63"/>
      <c r="P16" s="63"/>
      <c r="Q16" s="63"/>
      <c r="R16" s="65"/>
    </row>
    <row r="17" spans="10:18" s="12" customFormat="1" x14ac:dyDescent="0.25">
      <c r="K17"/>
      <c r="L17"/>
      <c r="M17"/>
      <c r="N17"/>
      <c r="O17"/>
      <c r="P17" s="14"/>
      <c r="Q17"/>
      <c r="R17"/>
    </row>
    <row r="18" spans="10:18" s="12" customFormat="1" x14ac:dyDescent="0.25">
      <c r="J18" s="56"/>
      <c r="K18" s="113" t="s">
        <v>231</v>
      </c>
      <c r="L18" s="113"/>
      <c r="M18" s="113"/>
      <c r="N18" s="113"/>
      <c r="O18" s="113"/>
      <c r="P18" s="113"/>
      <c r="Q18" s="113"/>
      <c r="R18" s="57"/>
    </row>
    <row r="19" spans="10:18" x14ac:dyDescent="0.25">
      <c r="J19" s="58"/>
      <c r="K19" s="28"/>
      <c r="L19" s="28"/>
      <c r="M19" s="28"/>
      <c r="N19" s="28"/>
      <c r="O19" s="18"/>
      <c r="P19" s="24"/>
      <c r="Q19" s="18"/>
      <c r="R19" s="61"/>
    </row>
    <row r="20" spans="10:18" x14ac:dyDescent="0.25">
      <c r="J20" s="58"/>
      <c r="K20" s="119">
        <f>COUNTIFS(staff[Department],J4)</f>
        <v>8</v>
      </c>
      <c r="L20" s="119"/>
      <c r="M20" s="119"/>
      <c r="N20" s="119"/>
      <c r="O20" s="119"/>
      <c r="P20" s="119"/>
      <c r="Q20" s="36"/>
      <c r="R20" s="61"/>
    </row>
    <row r="21" spans="10:18" x14ac:dyDescent="0.25">
      <c r="J21" s="62"/>
      <c r="K21" s="67"/>
      <c r="L21" s="67"/>
      <c r="M21" s="67"/>
      <c r="N21" s="67"/>
      <c r="O21" s="63"/>
      <c r="P21" s="67"/>
      <c r="Q21" s="67"/>
      <c r="R21" s="68"/>
    </row>
    <row r="22" spans="10:18" x14ac:dyDescent="0.25">
      <c r="J22" s="12"/>
      <c r="R22" s="12"/>
    </row>
    <row r="23" spans="10:18" ht="15.75" x14ac:dyDescent="0.25">
      <c r="J23" s="25"/>
    </row>
    <row r="26" spans="10:18" s="12" customFormat="1" x14ac:dyDescent="0.25">
      <c r="J26"/>
      <c r="K26"/>
      <c r="L26"/>
      <c r="M26"/>
      <c r="N26"/>
      <c r="O26"/>
      <c r="P26" s="14"/>
      <c r="Q26"/>
      <c r="R26"/>
    </row>
    <row r="27" spans="10:18" s="12" customFormat="1" x14ac:dyDescent="0.25">
      <c r="J27"/>
      <c r="K27"/>
      <c r="L27"/>
      <c r="M27"/>
      <c r="N27"/>
      <c r="O27"/>
      <c r="P27" s="14"/>
      <c r="Q27"/>
      <c r="R27"/>
    </row>
  </sheetData>
  <mergeCells count="9">
    <mergeCell ref="K7:Q7"/>
    <mergeCell ref="J4:K4"/>
    <mergeCell ref="K18:Q18"/>
    <mergeCell ref="B4:I4"/>
    <mergeCell ref="K20:P20"/>
    <mergeCell ref="K9:P9"/>
    <mergeCell ref="K10:P10"/>
    <mergeCell ref="K13:Q13"/>
    <mergeCell ref="K15:P1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24F43-F47C-4337-A1E7-675532B69A5A}">
  <sheetPr>
    <tabColor theme="7" tint="0.39997558519241921"/>
  </sheetPr>
  <dimension ref="A1:H11"/>
  <sheetViews>
    <sheetView showGridLines="0" tabSelected="1" workbookViewId="0">
      <selection activeCell="F15" sqref="F15"/>
    </sheetView>
  </sheetViews>
  <sheetFormatPr defaultRowHeight="15" x14ac:dyDescent="0.25"/>
  <cols>
    <col min="1" max="1" width="2.28515625" customWidth="1"/>
    <col min="2" max="4" width="17.5703125" bestFit="1" customWidth="1"/>
    <col min="5" max="5" width="16.28515625" bestFit="1" customWidth="1"/>
    <col min="6" max="6" width="10.140625" bestFit="1" customWidth="1"/>
    <col min="7" max="7" width="10.85546875" customWidth="1"/>
    <col min="8" max="13" width="16.28515625" bestFit="1" customWidth="1"/>
    <col min="14" max="14" width="19.42578125" bestFit="1" customWidth="1"/>
    <col min="15" max="15" width="16" bestFit="1" customWidth="1"/>
    <col min="16" max="16" width="18" bestFit="1" customWidth="1"/>
    <col min="17" max="17" width="19" bestFit="1" customWidth="1"/>
  </cols>
  <sheetData>
    <row r="1" spans="1:8" s="9" customFormat="1" ht="33.75" customHeight="1" x14ac:dyDescent="0.4">
      <c r="A1" s="10"/>
      <c r="B1" s="8" t="s">
        <v>229</v>
      </c>
      <c r="C1" s="8"/>
      <c r="D1" s="8"/>
      <c r="E1" s="8"/>
      <c r="H1" s="13"/>
    </row>
    <row r="2" spans="1:8" s="22" customFormat="1" x14ac:dyDescent="0.25">
      <c r="A2" s="10"/>
      <c r="B2" s="23" t="s">
        <v>235</v>
      </c>
    </row>
    <row r="6" spans="1:8" x14ac:dyDescent="0.25">
      <c r="E6" s="20" t="s">
        <v>223</v>
      </c>
    </row>
    <row r="7" spans="1:8" x14ac:dyDescent="0.25">
      <c r="D7" s="20" t="s">
        <v>226</v>
      </c>
      <c r="E7" t="s">
        <v>8</v>
      </c>
      <c r="F7" t="s">
        <v>15</v>
      </c>
    </row>
    <row r="8" spans="1:8" x14ac:dyDescent="0.25">
      <c r="D8" s="14" t="s">
        <v>224</v>
      </c>
      <c r="E8" s="6">
        <v>43</v>
      </c>
      <c r="F8" s="6">
        <v>45</v>
      </c>
    </row>
    <row r="9" spans="1:8" x14ac:dyDescent="0.25">
      <c r="D9" s="14" t="s">
        <v>225</v>
      </c>
      <c r="E9" s="17">
        <v>31.418604651162791</v>
      </c>
      <c r="F9" s="17">
        <v>29.444444444444443</v>
      </c>
    </row>
    <row r="10" spans="1:8" x14ac:dyDescent="0.25">
      <c r="D10" s="14" t="s">
        <v>227</v>
      </c>
      <c r="E10" s="21">
        <v>78284.186046511633</v>
      </c>
      <c r="F10" s="21">
        <v>75334.444444444438</v>
      </c>
    </row>
    <row r="11" spans="1:8" x14ac:dyDescent="0.25">
      <c r="D11" s="14" t="s">
        <v>228</v>
      </c>
      <c r="E11" s="17">
        <v>2.924243389614527</v>
      </c>
      <c r="F11" s="17">
        <v>2.9072754946727559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1C47A-C89C-42A2-9471-FFC6BBE966F0}">
  <sheetPr>
    <tabColor theme="7" tint="0.39997558519241921"/>
  </sheetPr>
  <dimension ref="A1:K187"/>
  <sheetViews>
    <sheetView workbookViewId="0">
      <selection activeCell="R4" sqref="R4"/>
    </sheetView>
  </sheetViews>
  <sheetFormatPr defaultRowHeight="15" x14ac:dyDescent="0.25"/>
  <cols>
    <col min="1" max="1" width="2.28515625" customWidth="1"/>
    <col min="2" max="2" width="32.7109375" customWidth="1"/>
    <col min="6" max="6" width="15.7109375" customWidth="1"/>
    <col min="7" max="8" width="14" bestFit="1" customWidth="1"/>
    <col min="9" max="9" width="4.28515625" bestFit="1" customWidth="1"/>
    <col min="10" max="10" width="8.42578125" bestFit="1" customWidth="1"/>
    <col min="11" max="11" width="10.5703125" bestFit="1" customWidth="1"/>
    <col min="12" max="73" width="6" bestFit="1" customWidth="1"/>
    <col min="74" max="95" width="7" bestFit="1" customWidth="1"/>
    <col min="96" max="96" width="11.28515625" bestFit="1" customWidth="1"/>
    <col min="97" max="187" width="30" bestFit="1" customWidth="1"/>
    <col min="188" max="188" width="11.28515625" bestFit="1" customWidth="1"/>
  </cols>
  <sheetData>
    <row r="1" spans="1:11" s="9" customFormat="1" ht="33.75" customHeight="1" x14ac:dyDescent="0.4">
      <c r="A1" s="10"/>
      <c r="B1" s="8" t="s">
        <v>245</v>
      </c>
      <c r="C1" s="8"/>
      <c r="D1" s="8"/>
      <c r="F1" s="8"/>
      <c r="G1" s="8"/>
      <c r="H1" s="8"/>
      <c r="K1" s="13"/>
    </row>
    <row r="2" spans="1:11" s="22" customFormat="1" x14ac:dyDescent="0.25">
      <c r="A2" s="10"/>
      <c r="B2" s="23" t="s">
        <v>248</v>
      </c>
      <c r="C2" s="23"/>
      <c r="D2" s="23"/>
    </row>
    <row r="4" spans="1:11" x14ac:dyDescent="0.25">
      <c r="B4" s="85" t="s">
        <v>0</v>
      </c>
      <c r="C4" s="86" t="s">
        <v>1</v>
      </c>
      <c r="D4" s="86" t="s">
        <v>3</v>
      </c>
      <c r="E4" s="86" t="s">
        <v>6</v>
      </c>
      <c r="F4" s="86" t="s">
        <v>4</v>
      </c>
      <c r="G4" s="86" t="s">
        <v>2</v>
      </c>
      <c r="H4" s="86" t="s">
        <v>5</v>
      </c>
      <c r="I4" s="86" t="s">
        <v>204</v>
      </c>
      <c r="J4" s="31" t="s">
        <v>216</v>
      </c>
      <c r="K4" s="87" t="s">
        <v>230</v>
      </c>
    </row>
    <row r="5" spans="1:11" x14ac:dyDescent="0.25">
      <c r="B5" s="32" t="s">
        <v>179</v>
      </c>
      <c r="C5" s="33" t="s">
        <v>8</v>
      </c>
      <c r="D5" s="33">
        <v>21</v>
      </c>
      <c r="E5" s="33" t="s">
        <v>16</v>
      </c>
      <c r="F5" s="73">
        <v>44619</v>
      </c>
      <c r="G5" s="33" t="s">
        <v>12</v>
      </c>
      <c r="H5" s="74">
        <v>33920</v>
      </c>
      <c r="I5" s="33" t="s">
        <v>205</v>
      </c>
      <c r="J5" s="75">
        <f ca="1">(TODAY()-staff[[#This Row],[Date Joined]])/365</f>
        <v>3.9643835616438357</v>
      </c>
      <c r="K5" s="76">
        <f ca="1">IF(staff[[#This Row],[Tenure]]&gt;2,3%,2%)*staff[[#This Row],[Salary]]</f>
        <v>1049.3999999999999</v>
      </c>
    </row>
    <row r="6" spans="1:11" x14ac:dyDescent="0.25">
      <c r="B6" s="34" t="s">
        <v>86</v>
      </c>
      <c r="C6" s="35" t="s">
        <v>8</v>
      </c>
      <c r="D6" s="35">
        <v>21</v>
      </c>
      <c r="E6" s="35" t="s">
        <v>16</v>
      </c>
      <c r="F6" s="77">
        <v>44678</v>
      </c>
      <c r="G6" s="35" t="s">
        <v>12</v>
      </c>
      <c r="H6" s="78">
        <v>33920</v>
      </c>
      <c r="I6" s="35" t="s">
        <v>207</v>
      </c>
      <c r="J6" s="79">
        <f ca="1">(TODAY()-staff[[#This Row],[Date Joined]])/365</f>
        <v>2.4986301369863013</v>
      </c>
      <c r="K6" s="80">
        <f ca="1">IF(staff[[#This Row],[Tenure]]&gt;2,3%,2%)*staff[[#This Row],[Salary]]</f>
        <v>1081.2</v>
      </c>
    </row>
    <row r="7" spans="1:11" x14ac:dyDescent="0.25">
      <c r="B7" s="32" t="s">
        <v>137</v>
      </c>
      <c r="C7" s="33" t="s">
        <v>8</v>
      </c>
      <c r="D7" s="33">
        <v>29</v>
      </c>
      <c r="E7" s="33" t="s">
        <v>16</v>
      </c>
      <c r="F7" s="73">
        <v>43962</v>
      </c>
      <c r="G7" s="33" t="s">
        <v>12</v>
      </c>
      <c r="H7" s="74">
        <v>34980</v>
      </c>
      <c r="I7" s="33" t="s">
        <v>205</v>
      </c>
      <c r="J7" s="75">
        <f ca="1">(TODAY()-staff[[#This Row],[Date Joined]])/365</f>
        <v>2.3287671232876712</v>
      </c>
      <c r="K7" s="76">
        <f ca="1">IF(staff[[#This Row],[Tenure]]&gt;2,3%,2%)*staff[[#This Row],[Salary]]</f>
        <v>1081.2</v>
      </c>
    </row>
    <row r="8" spans="1:11" x14ac:dyDescent="0.25">
      <c r="B8" s="34" t="s">
        <v>44</v>
      </c>
      <c r="C8" s="35" t="s">
        <v>8</v>
      </c>
      <c r="D8" s="35">
        <v>29</v>
      </c>
      <c r="E8" s="35" t="s">
        <v>16</v>
      </c>
      <c r="F8" s="77">
        <v>44023</v>
      </c>
      <c r="G8" s="35" t="s">
        <v>12</v>
      </c>
      <c r="H8" s="78">
        <v>34980</v>
      </c>
      <c r="I8" s="35" t="s">
        <v>207</v>
      </c>
      <c r="J8" s="79">
        <f ca="1">(TODAY()-staff[[#This Row],[Date Joined]])/365</f>
        <v>3.9123287671232876</v>
      </c>
      <c r="K8" s="80">
        <f ca="1">IF(staff[[#This Row],[Tenure]]&gt;2,3%,2%)*staff[[#This Row],[Salary]]</f>
        <v>1137.5999999999999</v>
      </c>
    </row>
    <row r="9" spans="1:11" x14ac:dyDescent="0.25">
      <c r="B9" s="81" t="s">
        <v>192</v>
      </c>
      <c r="C9" s="82" t="s">
        <v>15</v>
      </c>
      <c r="D9" s="82">
        <v>43</v>
      </c>
      <c r="E9" s="82" t="s">
        <v>16</v>
      </c>
      <c r="F9" s="73">
        <v>44558</v>
      </c>
      <c r="G9" s="82" t="s">
        <v>19</v>
      </c>
      <c r="H9" s="74">
        <v>36040</v>
      </c>
      <c r="I9" s="82" t="s">
        <v>205</v>
      </c>
      <c r="J9" s="75">
        <f ca="1">(TODAY()-staff[[#This Row],[Date Joined]])/365</f>
        <v>3.7424657534246575</v>
      </c>
      <c r="K9" s="76">
        <f ca="1">IF(staff[[#This Row],[Tenure]]&gt;2,3%,2%)*staff[[#This Row],[Salary]]</f>
        <v>1137.5999999999999</v>
      </c>
    </row>
    <row r="10" spans="1:11" x14ac:dyDescent="0.25">
      <c r="B10" s="34" t="s">
        <v>99</v>
      </c>
      <c r="C10" s="35" t="s">
        <v>15</v>
      </c>
      <c r="D10" s="35">
        <v>43</v>
      </c>
      <c r="E10" s="35" t="s">
        <v>16</v>
      </c>
      <c r="F10" s="77">
        <v>44620</v>
      </c>
      <c r="G10" s="35" t="s">
        <v>19</v>
      </c>
      <c r="H10" s="78">
        <v>36040</v>
      </c>
      <c r="I10" s="35" t="s">
        <v>207</v>
      </c>
      <c r="J10" s="79">
        <f ca="1">(TODAY()-staff[[#This Row],[Date Joined]])/365</f>
        <v>2.2027397260273971</v>
      </c>
      <c r="K10" s="80">
        <f ca="1">IF(staff[[#This Row],[Tenure]]&gt;2,3%,2%)*staff[[#This Row],[Salary]]</f>
        <v>1212</v>
      </c>
    </row>
    <row r="11" spans="1:11" x14ac:dyDescent="0.25">
      <c r="B11" s="81" t="s">
        <v>140</v>
      </c>
      <c r="C11" s="82" t="s">
        <v>15</v>
      </c>
      <c r="D11" s="82">
        <v>21</v>
      </c>
      <c r="E11" s="82" t="s">
        <v>16</v>
      </c>
      <c r="F11" s="73">
        <v>44042</v>
      </c>
      <c r="G11" s="82" t="s">
        <v>9</v>
      </c>
      <c r="H11" s="74">
        <v>37920</v>
      </c>
      <c r="I11" s="82" t="s">
        <v>205</v>
      </c>
      <c r="J11" s="75">
        <f ca="1">(TODAY()-staff[[#This Row],[Date Joined]])/365</f>
        <v>2.0356164383561643</v>
      </c>
      <c r="K11" s="76">
        <f ca="1">IF(staff[[#This Row],[Tenure]]&gt;2,3%,2%)*staff[[#This Row],[Salary]]</f>
        <v>1212</v>
      </c>
    </row>
    <row r="12" spans="1:11" x14ac:dyDescent="0.25">
      <c r="B12" s="34" t="s">
        <v>47</v>
      </c>
      <c r="C12" s="35" t="s">
        <v>15</v>
      </c>
      <c r="D12" s="35">
        <v>21</v>
      </c>
      <c r="E12" s="35" t="s">
        <v>16</v>
      </c>
      <c r="F12" s="77">
        <v>44104</v>
      </c>
      <c r="G12" s="35" t="s">
        <v>9</v>
      </c>
      <c r="H12" s="78">
        <v>37920</v>
      </c>
      <c r="I12" s="35" t="s">
        <v>207</v>
      </c>
      <c r="J12" s="79">
        <f ca="1">(TODAY()-staff[[#This Row],[Date Joined]])/365</f>
        <v>2.5232876712328767</v>
      </c>
      <c r="K12" s="80">
        <f ca="1">IF(staff[[#This Row],[Tenure]]&gt;2,3%,2%)*staff[[#This Row],[Salary]]</f>
        <v>1247.0999999999999</v>
      </c>
    </row>
    <row r="13" spans="1:11" x14ac:dyDescent="0.25">
      <c r="B13" s="32" t="s">
        <v>149</v>
      </c>
      <c r="C13" s="33" t="s">
        <v>15</v>
      </c>
      <c r="D13" s="33">
        <v>35</v>
      </c>
      <c r="E13" s="33" t="s">
        <v>16</v>
      </c>
      <c r="F13" s="73">
        <v>44666</v>
      </c>
      <c r="G13" s="33" t="s">
        <v>9</v>
      </c>
      <c r="H13" s="74">
        <v>40400</v>
      </c>
      <c r="I13" s="33" t="s">
        <v>205</v>
      </c>
      <c r="J13" s="75">
        <f ca="1">(TODAY()-staff[[#This Row],[Date Joined]])/365</f>
        <v>2.3534246575342466</v>
      </c>
      <c r="K13" s="76">
        <f ca="1">IF(staff[[#This Row],[Tenure]]&gt;2,3%,2%)*staff[[#This Row],[Salary]]</f>
        <v>1247.0999999999999</v>
      </c>
    </row>
    <row r="14" spans="1:11" x14ac:dyDescent="0.25">
      <c r="B14" s="34" t="s">
        <v>57</v>
      </c>
      <c r="C14" s="35" t="s">
        <v>15</v>
      </c>
      <c r="D14" s="35">
        <v>35</v>
      </c>
      <c r="E14" s="35" t="s">
        <v>16</v>
      </c>
      <c r="F14" s="77">
        <v>44727</v>
      </c>
      <c r="G14" s="35" t="s">
        <v>9</v>
      </c>
      <c r="H14" s="78">
        <v>40400</v>
      </c>
      <c r="I14" s="35" t="s">
        <v>207</v>
      </c>
      <c r="J14" s="79">
        <f ca="1">(TODAY()-staff[[#This Row],[Date Joined]])/365</f>
        <v>3.7972602739726029</v>
      </c>
      <c r="K14" s="80">
        <f ca="1">IF(staff[[#This Row],[Tenure]]&gt;2,3%,2%)*staff[[#This Row],[Salary]]</f>
        <v>1259.3999999999999</v>
      </c>
    </row>
    <row r="15" spans="1:11" x14ac:dyDescent="0.25">
      <c r="B15" s="32" t="s">
        <v>158</v>
      </c>
      <c r="C15" s="33" t="s">
        <v>8</v>
      </c>
      <c r="D15" s="33">
        <v>32</v>
      </c>
      <c r="E15" s="33" t="s">
        <v>16</v>
      </c>
      <c r="F15" s="73">
        <v>44549</v>
      </c>
      <c r="G15" s="33" t="s">
        <v>9</v>
      </c>
      <c r="H15" s="74">
        <v>41570</v>
      </c>
      <c r="I15" s="33" t="s">
        <v>205</v>
      </c>
      <c r="J15" s="75">
        <f ca="1">(TODAY()-staff[[#This Row],[Date Joined]])/365</f>
        <v>3.6301369863013697</v>
      </c>
      <c r="K15" s="76">
        <f ca="1">IF(staff[[#This Row],[Tenure]]&gt;2,3%,2%)*staff[[#This Row],[Salary]]</f>
        <v>1259.3999999999999</v>
      </c>
    </row>
    <row r="16" spans="1:11" x14ac:dyDescent="0.25">
      <c r="B16" s="34" t="s">
        <v>66</v>
      </c>
      <c r="C16" s="35" t="s">
        <v>8</v>
      </c>
      <c r="D16" s="35">
        <v>32</v>
      </c>
      <c r="E16" s="35" t="s">
        <v>16</v>
      </c>
      <c r="F16" s="77">
        <v>44611</v>
      </c>
      <c r="G16" s="35" t="s">
        <v>9</v>
      </c>
      <c r="H16" s="78">
        <v>41570</v>
      </c>
      <c r="I16" s="35" t="s">
        <v>207</v>
      </c>
      <c r="J16" s="79">
        <f ca="1">(TODAY()-staff[[#This Row],[Date Joined]])/365</f>
        <v>1.9506849315068493</v>
      </c>
      <c r="K16" s="80">
        <f ca="1">IF(staff[[#This Row],[Tenure]]&gt;2,3%,2%)*staff[[#This Row],[Salary]]</f>
        <v>870.2</v>
      </c>
    </row>
    <row r="17" spans="2:11" x14ac:dyDescent="0.25">
      <c r="B17" s="32" t="s">
        <v>124</v>
      </c>
      <c r="C17" s="33" t="s">
        <v>8</v>
      </c>
      <c r="D17" s="33">
        <v>31</v>
      </c>
      <c r="E17" s="33" t="s">
        <v>16</v>
      </c>
      <c r="F17" s="73">
        <v>44084</v>
      </c>
      <c r="G17" s="33" t="s">
        <v>12</v>
      </c>
      <c r="H17" s="74">
        <v>41980</v>
      </c>
      <c r="I17" s="33" t="s">
        <v>205</v>
      </c>
      <c r="J17" s="75">
        <f ca="1">(TODAY()-staff[[#This Row],[Date Joined]])/365</f>
        <v>1.7808219178082192</v>
      </c>
      <c r="K17" s="76">
        <f ca="1">IF(staff[[#This Row],[Tenure]]&gt;2,3%,2%)*staff[[#This Row],[Salary]]</f>
        <v>870.2</v>
      </c>
    </row>
    <row r="18" spans="2:11" x14ac:dyDescent="0.25">
      <c r="B18" s="34" t="s">
        <v>30</v>
      </c>
      <c r="C18" s="35" t="s">
        <v>8</v>
      </c>
      <c r="D18" s="35">
        <v>31</v>
      </c>
      <c r="E18" s="35" t="s">
        <v>16</v>
      </c>
      <c r="F18" s="77">
        <v>44145</v>
      </c>
      <c r="G18" s="35" t="s">
        <v>12</v>
      </c>
      <c r="H18" s="78">
        <v>41980</v>
      </c>
      <c r="I18" s="35" t="s">
        <v>207</v>
      </c>
      <c r="J18" s="79">
        <f ca="1">(TODAY()-staff[[#This Row],[Date Joined]])/365</f>
        <v>3.2246575342465755</v>
      </c>
      <c r="K18" s="80">
        <f ca="1">IF(staff[[#This Row],[Tenure]]&gt;2,3%,2%)*staff[[#This Row],[Salary]]</f>
        <v>1315.2</v>
      </c>
    </row>
    <row r="19" spans="2:11" x14ac:dyDescent="0.25">
      <c r="B19" s="32" t="s">
        <v>172</v>
      </c>
      <c r="C19" s="33" t="s">
        <v>15</v>
      </c>
      <c r="D19" s="33">
        <v>28</v>
      </c>
      <c r="E19" s="33" t="s">
        <v>42</v>
      </c>
      <c r="F19" s="73">
        <v>44758</v>
      </c>
      <c r="G19" s="33" t="s">
        <v>19</v>
      </c>
      <c r="H19" s="74">
        <v>43510</v>
      </c>
      <c r="I19" s="33" t="s">
        <v>205</v>
      </c>
      <c r="J19" s="75">
        <f ca="1">(TODAY()-staff[[#This Row],[Date Joined]])/365</f>
        <v>3.0575342465753423</v>
      </c>
      <c r="K19" s="76">
        <f ca="1">IF(staff[[#This Row],[Tenure]]&gt;2,3%,2%)*staff[[#This Row],[Salary]]</f>
        <v>1315.2</v>
      </c>
    </row>
    <row r="20" spans="2:11" x14ac:dyDescent="0.25">
      <c r="B20" s="34" t="s">
        <v>80</v>
      </c>
      <c r="C20" s="35" t="s">
        <v>15</v>
      </c>
      <c r="D20" s="35">
        <v>28</v>
      </c>
      <c r="E20" s="35" t="s">
        <v>42</v>
      </c>
      <c r="F20" s="77">
        <v>44820</v>
      </c>
      <c r="G20" s="35" t="s">
        <v>19</v>
      </c>
      <c r="H20" s="78">
        <v>43510</v>
      </c>
      <c r="I20" s="35" t="s">
        <v>207</v>
      </c>
      <c r="J20" s="79">
        <f ca="1">(TODAY()-staff[[#This Row],[Date Joined]])/365</f>
        <v>3.0986301369863014</v>
      </c>
      <c r="K20" s="80">
        <f ca="1">IF(staff[[#This Row],[Tenure]]&gt;2,3%,2%)*staff[[#This Row],[Salary]]</f>
        <v>1365.3</v>
      </c>
    </row>
    <row r="21" spans="2:11" x14ac:dyDescent="0.25">
      <c r="B21" s="81" t="s">
        <v>176</v>
      </c>
      <c r="C21" s="82" t="s">
        <v>8</v>
      </c>
      <c r="D21" s="82">
        <v>32</v>
      </c>
      <c r="E21" s="82" t="s">
        <v>13</v>
      </c>
      <c r="F21" s="73">
        <v>44293</v>
      </c>
      <c r="G21" s="82" t="s">
        <v>12</v>
      </c>
      <c r="H21" s="74">
        <v>43840</v>
      </c>
      <c r="I21" s="82" t="s">
        <v>205</v>
      </c>
      <c r="J21" s="75">
        <f ca="1">(TODAY()-staff[[#This Row],[Date Joined]])/365</f>
        <v>2.9315068493150687</v>
      </c>
      <c r="K21" s="76">
        <f ca="1">IF(staff[[#This Row],[Tenure]]&gt;2,3%,2%)*staff[[#This Row],[Salary]]</f>
        <v>1365.3</v>
      </c>
    </row>
    <row r="22" spans="2:11" x14ac:dyDescent="0.25">
      <c r="B22" s="34" t="s">
        <v>84</v>
      </c>
      <c r="C22" s="35" t="s">
        <v>8</v>
      </c>
      <c r="D22" s="35">
        <v>32</v>
      </c>
      <c r="E22" s="35" t="s">
        <v>13</v>
      </c>
      <c r="F22" s="77">
        <v>44354</v>
      </c>
      <c r="G22" s="35" t="s">
        <v>12</v>
      </c>
      <c r="H22" s="78">
        <v>43840</v>
      </c>
      <c r="I22" s="35" t="s">
        <v>207</v>
      </c>
      <c r="J22" s="79">
        <f ca="1">(TODAY()-staff[[#This Row],[Date Joined]])/365</f>
        <v>3.5780821917808221</v>
      </c>
      <c r="K22" s="80">
        <f ca="1">IF(staff[[#This Row],[Tenure]]&gt;2,3%,2%)*staff[[#This Row],[Salary]]</f>
        <v>1420.8</v>
      </c>
    </row>
    <row r="23" spans="2:11" x14ac:dyDescent="0.25">
      <c r="B23" s="81" t="s">
        <v>201</v>
      </c>
      <c r="C23" s="82" t="s">
        <v>8</v>
      </c>
      <c r="D23" s="82">
        <v>32</v>
      </c>
      <c r="E23" s="82" t="s">
        <v>16</v>
      </c>
      <c r="F23" s="73">
        <v>44339</v>
      </c>
      <c r="G23" s="82" t="s">
        <v>56</v>
      </c>
      <c r="H23" s="74">
        <v>45510</v>
      </c>
      <c r="I23" s="82" t="s">
        <v>205</v>
      </c>
      <c r="J23" s="75">
        <f ca="1">(TODAY()-staff[[#This Row],[Date Joined]])/365</f>
        <v>3.4109589041095889</v>
      </c>
      <c r="K23" s="76">
        <f ca="1">IF(staff[[#This Row],[Tenure]]&gt;2,3%,2%)*staff[[#This Row],[Salary]]</f>
        <v>1420.8</v>
      </c>
    </row>
    <row r="24" spans="2:11" x14ac:dyDescent="0.25">
      <c r="B24" s="34" t="s">
        <v>108</v>
      </c>
      <c r="C24" s="35" t="s">
        <v>8</v>
      </c>
      <c r="D24" s="35">
        <v>32</v>
      </c>
      <c r="E24" s="35" t="s">
        <v>16</v>
      </c>
      <c r="F24" s="77">
        <v>44400</v>
      </c>
      <c r="G24" s="35" t="s">
        <v>56</v>
      </c>
      <c r="H24" s="78">
        <v>45510</v>
      </c>
      <c r="I24" s="35" t="s">
        <v>207</v>
      </c>
      <c r="J24" s="79">
        <f ca="1">(TODAY()-staff[[#This Row],[Date Joined]])/365</f>
        <v>4.0821917808219181</v>
      </c>
      <c r="K24" s="80">
        <f ca="1">IF(staff[[#This Row],[Tenure]]&gt;2,3%,2%)*staff[[#This Row],[Salary]]</f>
        <v>1445.1</v>
      </c>
    </row>
    <row r="25" spans="2:11" x14ac:dyDescent="0.25">
      <c r="B25" s="32" t="s">
        <v>151</v>
      </c>
      <c r="C25" s="33" t="s">
        <v>15</v>
      </c>
      <c r="D25" s="33">
        <v>26</v>
      </c>
      <c r="E25" s="33" t="s">
        <v>16</v>
      </c>
      <c r="F25" s="73">
        <v>44164</v>
      </c>
      <c r="G25" s="33" t="s">
        <v>9</v>
      </c>
      <c r="H25" s="74">
        <v>47360</v>
      </c>
      <c r="I25" s="33" t="s">
        <v>205</v>
      </c>
      <c r="J25" s="75">
        <f ca="1">(TODAY()-staff[[#This Row],[Date Joined]])/365</f>
        <v>3.9150684931506849</v>
      </c>
      <c r="K25" s="76">
        <f ca="1">IF(staff[[#This Row],[Tenure]]&gt;2,3%,2%)*staff[[#This Row],[Salary]]</f>
        <v>1445.1</v>
      </c>
    </row>
    <row r="26" spans="2:11" x14ac:dyDescent="0.25">
      <c r="B26" s="34" t="s">
        <v>59</v>
      </c>
      <c r="C26" s="35" t="s">
        <v>15</v>
      </c>
      <c r="D26" s="35">
        <v>26</v>
      </c>
      <c r="E26" s="35" t="s">
        <v>16</v>
      </c>
      <c r="F26" s="77">
        <v>44225</v>
      </c>
      <c r="G26" s="35" t="s">
        <v>9</v>
      </c>
      <c r="H26" s="78">
        <v>47360</v>
      </c>
      <c r="I26" s="35" t="s">
        <v>207</v>
      </c>
      <c r="J26" s="79">
        <f ca="1">(TODAY()-staff[[#This Row],[Date Joined]])/365</f>
        <v>2.2739726027397262</v>
      </c>
      <c r="K26" s="80">
        <f ca="1">IF(staff[[#This Row],[Tenure]]&gt;2,3%,2%)*staff[[#This Row],[Salary]]</f>
        <v>1455.8999999999999</v>
      </c>
    </row>
    <row r="27" spans="2:11" x14ac:dyDescent="0.25">
      <c r="B27" s="81" t="s">
        <v>123</v>
      </c>
      <c r="C27" s="82" t="s">
        <v>15</v>
      </c>
      <c r="D27" s="82">
        <v>28</v>
      </c>
      <c r="E27" s="82" t="s">
        <v>13</v>
      </c>
      <c r="F27" s="73">
        <v>43980</v>
      </c>
      <c r="G27" s="82" t="s">
        <v>21</v>
      </c>
      <c r="H27" s="74">
        <v>48170</v>
      </c>
      <c r="I27" s="82" t="s">
        <v>205</v>
      </c>
      <c r="J27" s="75">
        <f ca="1">(TODAY()-staff[[#This Row],[Date Joined]])/365</f>
        <v>2.106849315068493</v>
      </c>
      <c r="K27" s="76">
        <f ca="1">IF(staff[[#This Row],[Tenure]]&gt;2,3%,2%)*staff[[#This Row],[Salary]]</f>
        <v>1455.8999999999999</v>
      </c>
    </row>
    <row r="28" spans="2:11" x14ac:dyDescent="0.25">
      <c r="B28" s="34" t="s">
        <v>29</v>
      </c>
      <c r="C28" s="35" t="s">
        <v>15</v>
      </c>
      <c r="D28" s="35">
        <v>28</v>
      </c>
      <c r="E28" s="35" t="s">
        <v>13</v>
      </c>
      <c r="F28" s="77">
        <v>44041</v>
      </c>
      <c r="G28" s="35" t="s">
        <v>21</v>
      </c>
      <c r="H28" s="78">
        <v>48170</v>
      </c>
      <c r="I28" s="35" t="s">
        <v>207</v>
      </c>
      <c r="J28" s="79">
        <f ca="1">(TODAY()-staff[[#This Row],[Date Joined]])/365</f>
        <v>2.7945205479452055</v>
      </c>
      <c r="K28" s="80">
        <f ca="1">IF(staff[[#This Row],[Tenure]]&gt;2,3%,2%)*staff[[#This Row],[Salary]]</f>
        <v>1468.5</v>
      </c>
    </row>
    <row r="29" spans="2:11" x14ac:dyDescent="0.25">
      <c r="B29" s="32" t="s">
        <v>144</v>
      </c>
      <c r="C29" s="33" t="s">
        <v>15</v>
      </c>
      <c r="D29" s="33">
        <v>33</v>
      </c>
      <c r="E29" s="33" t="s">
        <v>13</v>
      </c>
      <c r="F29" s="73">
        <v>44640</v>
      </c>
      <c r="G29" s="33" t="s">
        <v>9</v>
      </c>
      <c r="H29" s="74">
        <v>48530</v>
      </c>
      <c r="I29" s="33" t="s">
        <v>205</v>
      </c>
      <c r="J29" s="75">
        <f ca="1">(TODAY()-staff[[#This Row],[Date Joined]])/365</f>
        <v>2.6273972602739728</v>
      </c>
      <c r="K29" s="76">
        <f ca="1">IF(staff[[#This Row],[Tenure]]&gt;2,3%,2%)*staff[[#This Row],[Salary]]</f>
        <v>1468.5</v>
      </c>
    </row>
    <row r="30" spans="2:11" x14ac:dyDescent="0.25">
      <c r="B30" s="34" t="s">
        <v>51</v>
      </c>
      <c r="C30" s="35" t="s">
        <v>15</v>
      </c>
      <c r="D30" s="35">
        <v>33</v>
      </c>
      <c r="E30" s="35" t="s">
        <v>13</v>
      </c>
      <c r="F30" s="77">
        <v>44701</v>
      </c>
      <c r="G30" s="35" t="s">
        <v>9</v>
      </c>
      <c r="H30" s="78">
        <v>48530</v>
      </c>
      <c r="I30" s="35" t="s">
        <v>207</v>
      </c>
      <c r="J30" s="79">
        <f ca="1">(TODAY()-staff[[#This Row],[Date Joined]])/365</f>
        <v>2.6410958904109587</v>
      </c>
      <c r="K30" s="80">
        <f ca="1">IF(staff[[#This Row],[Tenure]]&gt;2,3%,2%)*staff[[#This Row],[Salary]]</f>
        <v>1469.3999999999999</v>
      </c>
    </row>
    <row r="31" spans="2:11" x14ac:dyDescent="0.25">
      <c r="B31" s="32" t="s">
        <v>113</v>
      </c>
      <c r="C31" s="33" t="s">
        <v>15</v>
      </c>
      <c r="D31" s="33">
        <v>31</v>
      </c>
      <c r="E31" s="33" t="s">
        <v>16</v>
      </c>
      <c r="F31" s="73">
        <v>44450</v>
      </c>
      <c r="G31" s="33" t="s">
        <v>12</v>
      </c>
      <c r="H31" s="74">
        <v>48950</v>
      </c>
      <c r="I31" s="33" t="s">
        <v>205</v>
      </c>
      <c r="J31" s="75">
        <f ca="1">(TODAY()-staff[[#This Row],[Date Joined]])/365</f>
        <v>2.473972602739726</v>
      </c>
      <c r="K31" s="76">
        <f ca="1">IF(staff[[#This Row],[Tenure]]&gt;2,3%,2%)*staff[[#This Row],[Salary]]</f>
        <v>1469.3999999999999</v>
      </c>
    </row>
    <row r="32" spans="2:11" x14ac:dyDescent="0.25">
      <c r="B32" s="34" t="s">
        <v>14</v>
      </c>
      <c r="C32" s="35" t="s">
        <v>15</v>
      </c>
      <c r="D32" s="35">
        <v>31</v>
      </c>
      <c r="E32" s="35" t="s">
        <v>16</v>
      </c>
      <c r="F32" s="77">
        <v>44511</v>
      </c>
      <c r="G32" s="35" t="s">
        <v>12</v>
      </c>
      <c r="H32" s="78">
        <v>48950</v>
      </c>
      <c r="I32" s="35" t="s">
        <v>207</v>
      </c>
      <c r="J32" s="79">
        <f ca="1">(TODAY()-staff[[#This Row],[Date Joined]])/365</f>
        <v>2.2191780821917808</v>
      </c>
      <c r="K32" s="80">
        <f ca="1">IF(staff[[#This Row],[Tenure]]&gt;2,3%,2%)*staff[[#This Row],[Salary]]</f>
        <v>1488.8999999999999</v>
      </c>
    </row>
    <row r="33" spans="2:11" x14ac:dyDescent="0.25">
      <c r="B33" s="32" t="s">
        <v>146</v>
      </c>
      <c r="C33" s="33" t="s">
        <v>15</v>
      </c>
      <c r="D33" s="33">
        <v>27</v>
      </c>
      <c r="E33" s="33" t="s">
        <v>16</v>
      </c>
      <c r="F33" s="73">
        <v>44506</v>
      </c>
      <c r="G33" s="33" t="s">
        <v>21</v>
      </c>
      <c r="H33" s="74">
        <v>48980</v>
      </c>
      <c r="I33" s="33" t="s">
        <v>205</v>
      </c>
      <c r="J33" s="75">
        <f ca="1">(TODAY()-staff[[#This Row],[Date Joined]])/365</f>
        <v>2.0520547945205481</v>
      </c>
      <c r="K33" s="76">
        <f ca="1">IF(staff[[#This Row],[Tenure]]&gt;2,3%,2%)*staff[[#This Row],[Salary]]</f>
        <v>1488.8999999999999</v>
      </c>
    </row>
    <row r="34" spans="2:11" x14ac:dyDescent="0.25">
      <c r="B34" s="34" t="s">
        <v>53</v>
      </c>
      <c r="C34" s="35" t="s">
        <v>15</v>
      </c>
      <c r="D34" s="35">
        <v>27</v>
      </c>
      <c r="E34" s="35" t="s">
        <v>16</v>
      </c>
      <c r="F34" s="77">
        <v>44567</v>
      </c>
      <c r="G34" s="35" t="s">
        <v>21</v>
      </c>
      <c r="H34" s="78">
        <v>48980</v>
      </c>
      <c r="I34" s="35" t="s">
        <v>207</v>
      </c>
      <c r="J34" s="79">
        <f ca="1">(TODAY()-staff[[#This Row],[Date Joined]])/365</f>
        <v>3</v>
      </c>
      <c r="K34" s="80">
        <f ca="1">IF(staff[[#This Row],[Tenure]]&gt;2,3%,2%)*staff[[#This Row],[Salary]]</f>
        <v>1578.3</v>
      </c>
    </row>
    <row r="35" spans="2:11" x14ac:dyDescent="0.25">
      <c r="B35" s="81" t="s">
        <v>165</v>
      </c>
      <c r="C35" s="82" t="s">
        <v>8</v>
      </c>
      <c r="D35" s="82">
        <v>34</v>
      </c>
      <c r="E35" s="82" t="s">
        <v>24</v>
      </c>
      <c r="F35" s="73">
        <v>44660</v>
      </c>
      <c r="G35" s="82" t="s">
        <v>19</v>
      </c>
      <c r="H35" s="74">
        <v>49630</v>
      </c>
      <c r="I35" s="82" t="s">
        <v>205</v>
      </c>
      <c r="J35" s="75">
        <f ca="1">(TODAY()-staff[[#This Row],[Date Joined]])/365</f>
        <v>2.8328767123287673</v>
      </c>
      <c r="K35" s="76">
        <f ca="1">IF(staff[[#This Row],[Tenure]]&gt;2,3%,2%)*staff[[#This Row],[Salary]]</f>
        <v>1578.3</v>
      </c>
    </row>
    <row r="36" spans="2:11" x14ac:dyDescent="0.25">
      <c r="B36" s="34" t="s">
        <v>73</v>
      </c>
      <c r="C36" s="35" t="s">
        <v>8</v>
      </c>
      <c r="D36" s="35">
        <v>34</v>
      </c>
      <c r="E36" s="35" t="s">
        <v>24</v>
      </c>
      <c r="F36" s="77">
        <v>44721</v>
      </c>
      <c r="G36" s="35" t="s">
        <v>19</v>
      </c>
      <c r="H36" s="78">
        <v>49630</v>
      </c>
      <c r="I36" s="35" t="s">
        <v>207</v>
      </c>
      <c r="J36" s="79">
        <f ca="1">(TODAY()-staff[[#This Row],[Date Joined]])/365</f>
        <v>3.2164383561643834</v>
      </c>
      <c r="K36" s="80">
        <f ca="1">IF(staff[[#This Row],[Tenure]]&gt;2,3%,2%)*staff[[#This Row],[Salary]]</f>
        <v>1597.2</v>
      </c>
    </row>
    <row r="37" spans="2:11" x14ac:dyDescent="0.25">
      <c r="B37" s="32" t="s">
        <v>155</v>
      </c>
      <c r="C37" s="33" t="s">
        <v>15</v>
      </c>
      <c r="D37" s="33">
        <v>24</v>
      </c>
      <c r="E37" s="33" t="s">
        <v>24</v>
      </c>
      <c r="F37" s="73">
        <v>44375</v>
      </c>
      <c r="G37" s="33" t="s">
        <v>21</v>
      </c>
      <c r="H37" s="74">
        <v>52610</v>
      </c>
      <c r="I37" s="33" t="s">
        <v>205</v>
      </c>
      <c r="J37" s="75">
        <f ca="1">(TODAY()-staff[[#This Row],[Date Joined]])/365</f>
        <v>3.0493150684931507</v>
      </c>
      <c r="K37" s="76">
        <f ca="1">IF(staff[[#This Row],[Tenure]]&gt;2,3%,2%)*staff[[#This Row],[Salary]]</f>
        <v>1597.2</v>
      </c>
    </row>
    <row r="38" spans="2:11" x14ac:dyDescent="0.25">
      <c r="B38" s="34" t="s">
        <v>63</v>
      </c>
      <c r="C38" s="35" t="s">
        <v>15</v>
      </c>
      <c r="D38" s="35">
        <v>24</v>
      </c>
      <c r="E38" s="35" t="s">
        <v>24</v>
      </c>
      <c r="F38" s="77">
        <v>44436</v>
      </c>
      <c r="G38" s="35" t="s">
        <v>21</v>
      </c>
      <c r="H38" s="78">
        <v>52610</v>
      </c>
      <c r="I38" s="35" t="s">
        <v>207</v>
      </c>
      <c r="J38" s="79">
        <f ca="1">(TODAY()-staff[[#This Row],[Date Joined]])/365</f>
        <v>2.9232876712328766</v>
      </c>
      <c r="K38" s="80">
        <f ca="1">IF(staff[[#This Row],[Tenure]]&gt;2,3%,2%)*staff[[#This Row],[Salary]]</f>
        <v>1606.2</v>
      </c>
    </row>
    <row r="39" spans="2:11" x14ac:dyDescent="0.25">
      <c r="B39" s="32" t="s">
        <v>167</v>
      </c>
      <c r="C39" s="33" t="s">
        <v>8</v>
      </c>
      <c r="D39" s="33">
        <v>28</v>
      </c>
      <c r="E39" s="33" t="s">
        <v>16</v>
      </c>
      <c r="F39" s="73">
        <v>44296</v>
      </c>
      <c r="G39" s="33" t="s">
        <v>19</v>
      </c>
      <c r="H39" s="74">
        <v>53240</v>
      </c>
      <c r="I39" s="33" t="s">
        <v>205</v>
      </c>
      <c r="J39" s="75">
        <f ca="1">(TODAY()-staff[[#This Row],[Date Joined]])/365</f>
        <v>3.0684931506849313</v>
      </c>
      <c r="K39" s="76">
        <f ca="1">IF(staff[[#This Row],[Tenure]]&gt;2,3%,2%)*staff[[#This Row],[Salary]]</f>
        <v>1606.2</v>
      </c>
    </row>
    <row r="40" spans="2:11" x14ac:dyDescent="0.25">
      <c r="B40" s="34" t="s">
        <v>75</v>
      </c>
      <c r="C40" s="35" t="s">
        <v>8</v>
      </c>
      <c r="D40" s="35">
        <v>28</v>
      </c>
      <c r="E40" s="35" t="s">
        <v>16</v>
      </c>
      <c r="F40" s="77">
        <v>44357</v>
      </c>
      <c r="G40" s="35" t="s">
        <v>19</v>
      </c>
      <c r="H40" s="78">
        <v>53240</v>
      </c>
      <c r="I40" s="35" t="s">
        <v>207</v>
      </c>
      <c r="J40" s="79">
        <f ca="1">(TODAY()-staff[[#This Row],[Date Joined]])/365</f>
        <v>2.7534246575342465</v>
      </c>
      <c r="K40" s="80">
        <f ca="1">IF(staff[[#This Row],[Tenure]]&gt;2,3%,2%)*staff[[#This Row],[Salary]]</f>
        <v>1606.2</v>
      </c>
    </row>
    <row r="41" spans="2:11" x14ac:dyDescent="0.25">
      <c r="B41" s="32" t="s">
        <v>157</v>
      </c>
      <c r="C41" s="33" t="s">
        <v>15</v>
      </c>
      <c r="D41" s="33">
        <v>32</v>
      </c>
      <c r="E41" s="33" t="s">
        <v>16</v>
      </c>
      <c r="F41" s="73">
        <v>44403</v>
      </c>
      <c r="G41" s="33" t="s">
        <v>19</v>
      </c>
      <c r="H41" s="74">
        <v>53540</v>
      </c>
      <c r="I41" s="33" t="s">
        <v>205</v>
      </c>
      <c r="J41" s="75">
        <f ca="1">(TODAY()-staff[[#This Row],[Date Joined]])/365</f>
        <v>2.9013698630136986</v>
      </c>
      <c r="K41" s="76">
        <f ca="1">IF(staff[[#This Row],[Tenure]]&gt;2,3%,2%)*staff[[#This Row],[Salary]]</f>
        <v>1606.2</v>
      </c>
    </row>
    <row r="42" spans="2:11" x14ac:dyDescent="0.25">
      <c r="B42" s="34" t="s">
        <v>139</v>
      </c>
      <c r="C42" s="35" t="s">
        <v>15</v>
      </c>
      <c r="D42" s="35">
        <v>26</v>
      </c>
      <c r="E42" s="35" t="s">
        <v>16</v>
      </c>
      <c r="F42" s="77">
        <v>44350</v>
      </c>
      <c r="G42" s="35" t="s">
        <v>9</v>
      </c>
      <c r="H42" s="78">
        <v>53540</v>
      </c>
      <c r="I42" s="35" t="s">
        <v>205</v>
      </c>
      <c r="J42" s="79">
        <f ca="1">(TODAY()-staff[[#This Row],[Date Joined]])/365</f>
        <v>2.8</v>
      </c>
      <c r="K42" s="80">
        <f ca="1">IF(staff[[#This Row],[Tenure]]&gt;2,3%,2%)*staff[[#This Row],[Salary]]</f>
        <v>1616.1</v>
      </c>
    </row>
    <row r="43" spans="2:11" x14ac:dyDescent="0.25">
      <c r="B43" s="32" t="s">
        <v>65</v>
      </c>
      <c r="C43" s="33" t="s">
        <v>15</v>
      </c>
      <c r="D43" s="33">
        <v>32</v>
      </c>
      <c r="E43" s="33" t="s">
        <v>16</v>
      </c>
      <c r="F43" s="73">
        <v>44465</v>
      </c>
      <c r="G43" s="33" t="s">
        <v>19</v>
      </c>
      <c r="H43" s="74">
        <v>53540</v>
      </c>
      <c r="I43" s="33" t="s">
        <v>207</v>
      </c>
      <c r="J43" s="75">
        <f ca="1">(TODAY()-staff[[#This Row],[Date Joined]])/365</f>
        <v>2.6328767123287671</v>
      </c>
      <c r="K43" s="76">
        <f ca="1">IF(staff[[#This Row],[Tenure]]&gt;2,3%,2%)*staff[[#This Row],[Salary]]</f>
        <v>1616.1</v>
      </c>
    </row>
    <row r="44" spans="2:11" x14ac:dyDescent="0.25">
      <c r="B44" s="34" t="s">
        <v>46</v>
      </c>
      <c r="C44" s="35" t="s">
        <v>15</v>
      </c>
      <c r="D44" s="35">
        <v>26</v>
      </c>
      <c r="E44" s="35" t="s">
        <v>16</v>
      </c>
      <c r="F44" s="77">
        <v>44411</v>
      </c>
      <c r="G44" s="35" t="s">
        <v>9</v>
      </c>
      <c r="H44" s="78">
        <v>53540</v>
      </c>
      <c r="I44" s="35" t="s">
        <v>207</v>
      </c>
      <c r="J44" s="79">
        <f ca="1">(TODAY()-staff[[#This Row],[Date Joined]])/365</f>
        <v>3.8273972602739725</v>
      </c>
      <c r="K44" s="80">
        <f ca="1">IF(staff[[#This Row],[Tenure]]&gt;2,3%,2%)*staff[[#This Row],[Salary]]</f>
        <v>1649.1</v>
      </c>
    </row>
    <row r="45" spans="2:11" x14ac:dyDescent="0.25">
      <c r="B45" s="32" t="s">
        <v>174</v>
      </c>
      <c r="C45" s="33" t="s">
        <v>15</v>
      </c>
      <c r="D45" s="33">
        <v>33</v>
      </c>
      <c r="E45" s="33" t="s">
        <v>16</v>
      </c>
      <c r="F45" s="73">
        <v>44448</v>
      </c>
      <c r="G45" s="33" t="s">
        <v>12</v>
      </c>
      <c r="H45" s="74">
        <v>53870</v>
      </c>
      <c r="I45" s="33" t="s">
        <v>205</v>
      </c>
      <c r="J45" s="75">
        <f ca="1">(TODAY()-staff[[#This Row],[Date Joined]])/365</f>
        <v>3.6602739726027398</v>
      </c>
      <c r="K45" s="76">
        <f ca="1">IF(staff[[#This Row],[Tenure]]&gt;2,3%,2%)*staff[[#This Row],[Salary]]</f>
        <v>1649.1</v>
      </c>
    </row>
    <row r="46" spans="2:11" x14ac:dyDescent="0.25">
      <c r="B46" s="34" t="s">
        <v>82</v>
      </c>
      <c r="C46" s="35" t="s">
        <v>15</v>
      </c>
      <c r="D46" s="35">
        <v>33</v>
      </c>
      <c r="E46" s="35" t="s">
        <v>16</v>
      </c>
      <c r="F46" s="77">
        <v>44509</v>
      </c>
      <c r="G46" s="35" t="s">
        <v>12</v>
      </c>
      <c r="H46" s="78">
        <v>53870</v>
      </c>
      <c r="I46" s="35" t="s">
        <v>207</v>
      </c>
      <c r="J46" s="79">
        <f ca="1">(TODAY()-staff[[#This Row],[Date Joined]])/365</f>
        <v>3.2931506849315069</v>
      </c>
      <c r="K46" s="80">
        <f ca="1">IF(staff[[#This Row],[Tenure]]&gt;2,3%,2%)*staff[[#This Row],[Salary]]</f>
        <v>1706.1</v>
      </c>
    </row>
    <row r="47" spans="2:11" x14ac:dyDescent="0.25">
      <c r="B47" s="81" t="s">
        <v>182</v>
      </c>
      <c r="C47" s="82" t="s">
        <v>15</v>
      </c>
      <c r="D47" s="82">
        <v>27</v>
      </c>
      <c r="E47" s="82" t="s">
        <v>16</v>
      </c>
      <c r="F47" s="73">
        <v>44073</v>
      </c>
      <c r="G47" s="82" t="s">
        <v>19</v>
      </c>
      <c r="H47" s="74">
        <v>54970</v>
      </c>
      <c r="I47" s="82" t="s">
        <v>205</v>
      </c>
      <c r="J47" s="75">
        <f ca="1">(TODAY()-staff[[#This Row],[Date Joined]])/365</f>
        <v>3.1260273972602741</v>
      </c>
      <c r="K47" s="76">
        <f ca="1">IF(staff[[#This Row],[Tenure]]&gt;2,3%,2%)*staff[[#This Row],[Salary]]</f>
        <v>1706.1</v>
      </c>
    </row>
    <row r="48" spans="2:11" x14ac:dyDescent="0.25">
      <c r="B48" s="34" t="s">
        <v>89</v>
      </c>
      <c r="C48" s="35" t="s">
        <v>15</v>
      </c>
      <c r="D48" s="35">
        <v>27</v>
      </c>
      <c r="E48" s="35" t="s">
        <v>16</v>
      </c>
      <c r="F48" s="77">
        <v>44134</v>
      </c>
      <c r="G48" s="35" t="s">
        <v>19</v>
      </c>
      <c r="H48" s="78">
        <v>54970</v>
      </c>
      <c r="I48" s="35" t="s">
        <v>207</v>
      </c>
      <c r="J48" s="79">
        <f ca="1">(TODAY()-staff[[#This Row],[Date Joined]])/365</f>
        <v>2.106849315068493</v>
      </c>
      <c r="K48" s="80">
        <f ca="1">IF(staff[[#This Row],[Tenure]]&gt;2,3%,2%)*staff[[#This Row],[Salary]]</f>
        <v>1712.7</v>
      </c>
    </row>
    <row r="49" spans="2:11" x14ac:dyDescent="0.25">
      <c r="B49" s="81" t="s">
        <v>202</v>
      </c>
      <c r="C49" s="82" t="s">
        <v>8</v>
      </c>
      <c r="D49" s="82">
        <v>38</v>
      </c>
      <c r="E49" s="82" t="s">
        <v>13</v>
      </c>
      <c r="F49" s="73">
        <v>44268</v>
      </c>
      <c r="G49" s="82" t="s">
        <v>19</v>
      </c>
      <c r="H49" s="74">
        <v>56870</v>
      </c>
      <c r="I49" s="82" t="s">
        <v>205</v>
      </c>
      <c r="J49" s="75">
        <f ca="1">(TODAY()-staff[[#This Row],[Date Joined]])/365</f>
        <v>1.9397260273972603</v>
      </c>
      <c r="K49" s="76">
        <f ca="1">IF(staff[[#This Row],[Tenure]]&gt;2,3%,2%)*staff[[#This Row],[Salary]]</f>
        <v>1141.8</v>
      </c>
    </row>
    <row r="50" spans="2:11" x14ac:dyDescent="0.25">
      <c r="B50" s="34" t="s">
        <v>109</v>
      </c>
      <c r="C50" s="35" t="s">
        <v>8</v>
      </c>
      <c r="D50" s="35">
        <v>38</v>
      </c>
      <c r="E50" s="35" t="s">
        <v>13</v>
      </c>
      <c r="F50" s="77">
        <v>44329</v>
      </c>
      <c r="G50" s="35" t="s">
        <v>19</v>
      </c>
      <c r="H50" s="78">
        <v>56870</v>
      </c>
      <c r="I50" s="35" t="s">
        <v>207</v>
      </c>
      <c r="J50" s="79">
        <f ca="1">(TODAY()-staff[[#This Row],[Date Joined]])/365</f>
        <v>2.3726027397260272</v>
      </c>
      <c r="K50" s="80">
        <f ca="1">IF(staff[[#This Row],[Tenure]]&gt;2,3%,2%)*staff[[#This Row],[Salary]]</f>
        <v>1743</v>
      </c>
    </row>
    <row r="51" spans="2:11" x14ac:dyDescent="0.25">
      <c r="B51" s="32" t="s">
        <v>125</v>
      </c>
      <c r="C51" s="33" t="s">
        <v>15</v>
      </c>
      <c r="D51" s="33">
        <v>21</v>
      </c>
      <c r="E51" s="33" t="s">
        <v>16</v>
      </c>
      <c r="F51" s="73">
        <v>44701</v>
      </c>
      <c r="G51" s="33" t="s">
        <v>9</v>
      </c>
      <c r="H51" s="74">
        <v>57090</v>
      </c>
      <c r="I51" s="33" t="s">
        <v>205</v>
      </c>
      <c r="J51" s="75">
        <f ca="1">(TODAY()-staff[[#This Row],[Date Joined]])/365</f>
        <v>2.2109589041095892</v>
      </c>
      <c r="K51" s="76">
        <f ca="1">IF(staff[[#This Row],[Tenure]]&gt;2,3%,2%)*staff[[#This Row],[Salary]]</f>
        <v>1743</v>
      </c>
    </row>
    <row r="52" spans="2:11" x14ac:dyDescent="0.25">
      <c r="B52" s="34" t="s">
        <v>31</v>
      </c>
      <c r="C52" s="35" t="s">
        <v>15</v>
      </c>
      <c r="D52" s="35">
        <v>21</v>
      </c>
      <c r="E52" s="35" t="s">
        <v>16</v>
      </c>
      <c r="F52" s="77">
        <v>44762</v>
      </c>
      <c r="G52" s="35" t="s">
        <v>9</v>
      </c>
      <c r="H52" s="78">
        <v>57090</v>
      </c>
      <c r="I52" s="35" t="s">
        <v>207</v>
      </c>
      <c r="J52" s="79">
        <f ca="1">(TODAY()-staff[[#This Row],[Date Joined]])/365</f>
        <v>2.4</v>
      </c>
      <c r="K52" s="80">
        <f ca="1">IF(staff[[#This Row],[Tenure]]&gt;2,3%,2%)*staff[[#This Row],[Salary]]</f>
        <v>1768.2</v>
      </c>
    </row>
    <row r="53" spans="2:11" x14ac:dyDescent="0.25">
      <c r="B53" s="32" t="s">
        <v>120</v>
      </c>
      <c r="C53" s="33" t="s">
        <v>8</v>
      </c>
      <c r="D53" s="33">
        <v>31</v>
      </c>
      <c r="E53" s="33" t="s">
        <v>16</v>
      </c>
      <c r="F53" s="73">
        <v>44604</v>
      </c>
      <c r="G53" s="33" t="s">
        <v>12</v>
      </c>
      <c r="H53" s="74">
        <v>58100</v>
      </c>
      <c r="I53" s="33" t="s">
        <v>205</v>
      </c>
      <c r="J53" s="75">
        <f ca="1">(TODAY()-staff[[#This Row],[Date Joined]])/365</f>
        <v>2.2383561643835614</v>
      </c>
      <c r="K53" s="76">
        <f ca="1">IF(staff[[#This Row],[Tenure]]&gt;2,3%,2%)*staff[[#This Row],[Salary]]</f>
        <v>1768.2</v>
      </c>
    </row>
    <row r="54" spans="2:11" x14ac:dyDescent="0.25">
      <c r="B54" s="34" t="s">
        <v>26</v>
      </c>
      <c r="C54" s="35" t="s">
        <v>8</v>
      </c>
      <c r="D54" s="35">
        <v>31</v>
      </c>
      <c r="E54" s="35" t="s">
        <v>16</v>
      </c>
      <c r="F54" s="77">
        <v>44663</v>
      </c>
      <c r="G54" s="35" t="s">
        <v>12</v>
      </c>
      <c r="H54" s="78">
        <v>58100</v>
      </c>
      <c r="I54" s="35" t="s">
        <v>207</v>
      </c>
      <c r="J54" s="79">
        <f ca="1">(TODAY()-staff[[#This Row],[Date Joined]])/365</f>
        <v>3.43013698630137</v>
      </c>
      <c r="K54" s="80">
        <f ca="1">IF(staff[[#This Row],[Tenure]]&gt;2,3%,2%)*staff[[#This Row],[Salary]]</f>
        <v>1768.8</v>
      </c>
    </row>
    <row r="55" spans="2:11" x14ac:dyDescent="0.25">
      <c r="B55" s="32" t="s">
        <v>130</v>
      </c>
      <c r="C55" s="33" t="s">
        <v>8</v>
      </c>
      <c r="D55" s="33">
        <v>34</v>
      </c>
      <c r="E55" s="33" t="s">
        <v>16</v>
      </c>
      <c r="F55" s="73">
        <v>44594</v>
      </c>
      <c r="G55" s="33" t="s">
        <v>21</v>
      </c>
      <c r="H55" s="74">
        <v>58940</v>
      </c>
      <c r="I55" s="33" t="s">
        <v>205</v>
      </c>
      <c r="J55" s="75">
        <f ca="1">(TODAY()-staff[[#This Row],[Date Joined]])/365</f>
        <v>3.2684931506849315</v>
      </c>
      <c r="K55" s="76">
        <f ca="1">IF(staff[[#This Row],[Tenure]]&gt;2,3%,2%)*staff[[#This Row],[Salary]]</f>
        <v>1768.8</v>
      </c>
    </row>
    <row r="56" spans="2:11" x14ac:dyDescent="0.25">
      <c r="B56" s="34" t="s">
        <v>36</v>
      </c>
      <c r="C56" s="35" t="s">
        <v>8</v>
      </c>
      <c r="D56" s="35">
        <v>34</v>
      </c>
      <c r="E56" s="35" t="s">
        <v>16</v>
      </c>
      <c r="F56" s="77">
        <v>44653</v>
      </c>
      <c r="G56" s="35" t="s">
        <v>21</v>
      </c>
      <c r="H56" s="78">
        <v>58940</v>
      </c>
      <c r="I56" s="35" t="s">
        <v>207</v>
      </c>
      <c r="J56" s="79">
        <f ca="1">(TODAY()-staff[[#This Row],[Date Joined]])/365</f>
        <v>3.5315068493150683</v>
      </c>
      <c r="K56" s="80">
        <f ca="1">IF(staff[[#This Row],[Tenure]]&gt;2,3%,2%)*staff[[#This Row],[Salary]]</f>
        <v>1782.8999999999999</v>
      </c>
    </row>
    <row r="57" spans="2:11" x14ac:dyDescent="0.25">
      <c r="B57" s="32" t="s">
        <v>193</v>
      </c>
      <c r="C57" s="33" t="s">
        <v>15</v>
      </c>
      <c r="D57" s="33">
        <v>19</v>
      </c>
      <c r="E57" s="33" t="s">
        <v>16</v>
      </c>
      <c r="F57" s="73">
        <v>44218</v>
      </c>
      <c r="G57" s="33" t="s">
        <v>9</v>
      </c>
      <c r="H57" s="74">
        <v>58960</v>
      </c>
      <c r="I57" s="33" t="s">
        <v>205</v>
      </c>
      <c r="J57" s="75">
        <f ca="1">(TODAY()-staff[[#This Row],[Date Joined]])/365</f>
        <v>3.3616438356164382</v>
      </c>
      <c r="K57" s="76">
        <f ca="1">IF(staff[[#This Row],[Tenure]]&gt;2,3%,2%)*staff[[#This Row],[Salary]]</f>
        <v>1782.8999999999999</v>
      </c>
    </row>
    <row r="58" spans="2:11" x14ac:dyDescent="0.25">
      <c r="B58" s="34" t="s">
        <v>100</v>
      </c>
      <c r="C58" s="35" t="s">
        <v>15</v>
      </c>
      <c r="D58" s="35">
        <v>19</v>
      </c>
      <c r="E58" s="35" t="s">
        <v>16</v>
      </c>
      <c r="F58" s="77">
        <v>44277</v>
      </c>
      <c r="G58" s="35" t="s">
        <v>9</v>
      </c>
      <c r="H58" s="78">
        <v>58960</v>
      </c>
      <c r="I58" s="35" t="s">
        <v>207</v>
      </c>
      <c r="J58" s="79">
        <f ca="1">(TODAY()-staff[[#This Row],[Date Joined]])/365</f>
        <v>2.5205479452054793</v>
      </c>
      <c r="K58" s="80">
        <f ca="1">IF(staff[[#This Row],[Tenure]]&gt;2,3%,2%)*staff[[#This Row],[Salary]]</f>
        <v>1803.8999999999999</v>
      </c>
    </row>
    <row r="59" spans="2:11" x14ac:dyDescent="0.25">
      <c r="B59" s="32" t="s">
        <v>171</v>
      </c>
      <c r="C59" s="33" t="s">
        <v>15</v>
      </c>
      <c r="D59" s="33">
        <v>33</v>
      </c>
      <c r="E59" s="33" t="s">
        <v>16</v>
      </c>
      <c r="F59" s="73">
        <v>44181</v>
      </c>
      <c r="G59" s="33" t="s">
        <v>21</v>
      </c>
      <c r="H59" s="74">
        <v>59430</v>
      </c>
      <c r="I59" s="33" t="s">
        <v>205</v>
      </c>
      <c r="J59" s="75">
        <f ca="1">(TODAY()-staff[[#This Row],[Date Joined]])/365</f>
        <v>2.3506849315068492</v>
      </c>
      <c r="K59" s="76">
        <f ca="1">IF(staff[[#This Row],[Tenure]]&gt;2,3%,2%)*staff[[#This Row],[Salary]]</f>
        <v>1803.8999999999999</v>
      </c>
    </row>
    <row r="60" spans="2:11" x14ac:dyDescent="0.25">
      <c r="B60" s="34" t="s">
        <v>79</v>
      </c>
      <c r="C60" s="35" t="s">
        <v>15</v>
      </c>
      <c r="D60" s="35">
        <v>33</v>
      </c>
      <c r="E60" s="35" t="s">
        <v>16</v>
      </c>
      <c r="F60" s="77">
        <v>44243</v>
      </c>
      <c r="G60" s="35" t="s">
        <v>21</v>
      </c>
      <c r="H60" s="78">
        <v>59430</v>
      </c>
      <c r="I60" s="35" t="s">
        <v>207</v>
      </c>
      <c r="J60" s="79">
        <f ca="1">(TODAY()-staff[[#This Row],[Date Joined]])/365</f>
        <v>2.3643835616438356</v>
      </c>
      <c r="K60" s="80">
        <f ca="1">IF(staff[[#This Row],[Tenure]]&gt;2,3%,2%)*staff[[#This Row],[Salary]]</f>
        <v>1817.1</v>
      </c>
    </row>
    <row r="61" spans="2:11" x14ac:dyDescent="0.25">
      <c r="B61" s="32" t="s">
        <v>132</v>
      </c>
      <c r="C61" s="33" t="s">
        <v>8</v>
      </c>
      <c r="D61" s="33">
        <v>34</v>
      </c>
      <c r="E61" s="33" t="s">
        <v>16</v>
      </c>
      <c r="F61" s="73">
        <v>44550</v>
      </c>
      <c r="G61" s="33" t="s">
        <v>21</v>
      </c>
      <c r="H61" s="74">
        <v>60130</v>
      </c>
      <c r="I61" s="33" t="s">
        <v>205</v>
      </c>
      <c r="J61" s="75">
        <f ca="1">(TODAY()-staff[[#This Row],[Date Joined]])/365</f>
        <v>2.2027397260273971</v>
      </c>
      <c r="K61" s="76">
        <f ca="1">IF(staff[[#This Row],[Tenure]]&gt;2,3%,2%)*staff[[#This Row],[Salary]]</f>
        <v>1817.1</v>
      </c>
    </row>
    <row r="62" spans="2:11" x14ac:dyDescent="0.25">
      <c r="B62" s="34" t="s">
        <v>38</v>
      </c>
      <c r="C62" s="35" t="s">
        <v>8</v>
      </c>
      <c r="D62" s="35">
        <v>34</v>
      </c>
      <c r="E62" s="35" t="s">
        <v>16</v>
      </c>
      <c r="F62" s="77">
        <v>44612</v>
      </c>
      <c r="G62" s="35" t="s">
        <v>21</v>
      </c>
      <c r="H62" s="78">
        <v>60130</v>
      </c>
      <c r="I62" s="35" t="s">
        <v>207</v>
      </c>
      <c r="J62" s="79">
        <f ca="1">(TODAY()-staff[[#This Row],[Date Joined]])/365</f>
        <v>3.7890410958904108</v>
      </c>
      <c r="K62" s="80">
        <f ca="1">IF(staff[[#This Row],[Tenure]]&gt;2,3%,2%)*staff[[#This Row],[Salary]]</f>
        <v>1883.3999999999999</v>
      </c>
    </row>
    <row r="63" spans="2:11" x14ac:dyDescent="0.25">
      <c r="B63" s="32" t="s">
        <v>131</v>
      </c>
      <c r="C63" s="33" t="s">
        <v>15</v>
      </c>
      <c r="D63" s="33">
        <v>30</v>
      </c>
      <c r="E63" s="33" t="s">
        <v>16</v>
      </c>
      <c r="F63" s="73">
        <v>44607</v>
      </c>
      <c r="G63" s="33" t="s">
        <v>9</v>
      </c>
      <c r="H63" s="74">
        <v>60570</v>
      </c>
      <c r="I63" s="33" t="s">
        <v>205</v>
      </c>
      <c r="J63" s="75">
        <f ca="1">(TODAY()-staff[[#This Row],[Date Joined]])/365</f>
        <v>3.6219178082191781</v>
      </c>
      <c r="K63" s="76">
        <f ca="1">IF(staff[[#This Row],[Tenure]]&gt;2,3%,2%)*staff[[#This Row],[Salary]]</f>
        <v>1883.3999999999999</v>
      </c>
    </row>
    <row r="64" spans="2:11" x14ac:dyDescent="0.25">
      <c r="B64" s="34" t="s">
        <v>37</v>
      </c>
      <c r="C64" s="35" t="s">
        <v>15</v>
      </c>
      <c r="D64" s="35">
        <v>30</v>
      </c>
      <c r="E64" s="35" t="s">
        <v>16</v>
      </c>
      <c r="F64" s="77">
        <v>44666</v>
      </c>
      <c r="G64" s="35" t="s">
        <v>9</v>
      </c>
      <c r="H64" s="78">
        <v>60570</v>
      </c>
      <c r="I64" s="35" t="s">
        <v>207</v>
      </c>
      <c r="J64" s="79">
        <f ca="1">(TODAY()-staff[[#This Row],[Date Joined]])/365</f>
        <v>2.5616438356164384</v>
      </c>
      <c r="K64" s="80">
        <f ca="1">IF(staff[[#This Row],[Tenure]]&gt;2,3%,2%)*staff[[#This Row],[Salary]]</f>
        <v>1920</v>
      </c>
    </row>
    <row r="65" spans="2:11" x14ac:dyDescent="0.25">
      <c r="B65" s="32" t="s">
        <v>153</v>
      </c>
      <c r="C65" s="33" t="s">
        <v>8</v>
      </c>
      <c r="D65" s="33">
        <v>24</v>
      </c>
      <c r="E65" s="33" t="s">
        <v>16</v>
      </c>
      <c r="F65" s="73">
        <v>44087</v>
      </c>
      <c r="G65" s="33" t="s">
        <v>12</v>
      </c>
      <c r="H65" s="74">
        <v>62780</v>
      </c>
      <c r="I65" s="33" t="s">
        <v>205</v>
      </c>
      <c r="J65" s="75">
        <f ca="1">(TODAY()-staff[[#This Row],[Date Joined]])/365</f>
        <v>2.3917808219178083</v>
      </c>
      <c r="K65" s="76">
        <f ca="1">IF(staff[[#This Row],[Tenure]]&gt;2,3%,2%)*staff[[#This Row],[Salary]]</f>
        <v>1920</v>
      </c>
    </row>
    <row r="66" spans="2:11" x14ac:dyDescent="0.25">
      <c r="B66" s="34" t="s">
        <v>61</v>
      </c>
      <c r="C66" s="35" t="s">
        <v>8</v>
      </c>
      <c r="D66" s="35">
        <v>24</v>
      </c>
      <c r="E66" s="35" t="s">
        <v>16</v>
      </c>
      <c r="F66" s="77">
        <v>44148</v>
      </c>
      <c r="G66" s="35" t="s">
        <v>12</v>
      </c>
      <c r="H66" s="78">
        <v>62780</v>
      </c>
      <c r="I66" s="35" t="s">
        <v>207</v>
      </c>
      <c r="J66" s="79">
        <f ca="1">(TODAY()-staff[[#This Row],[Date Joined]])/365</f>
        <v>4.0109589041095894</v>
      </c>
      <c r="K66" s="80">
        <f ca="1">IF(staff[[#This Row],[Tenure]]&gt;2,3%,2%)*staff[[#This Row],[Salary]]</f>
        <v>1960.8</v>
      </c>
    </row>
    <row r="67" spans="2:11" x14ac:dyDescent="0.25">
      <c r="B67" s="32" t="s">
        <v>116</v>
      </c>
      <c r="C67" s="33" t="s">
        <v>206</v>
      </c>
      <c r="D67" s="33">
        <v>30</v>
      </c>
      <c r="E67" s="33" t="s">
        <v>16</v>
      </c>
      <c r="F67" s="73">
        <v>44535</v>
      </c>
      <c r="G67" s="33" t="s">
        <v>21</v>
      </c>
      <c r="H67" s="74">
        <v>64000</v>
      </c>
      <c r="I67" s="33" t="s">
        <v>205</v>
      </c>
      <c r="J67" s="75">
        <f ca="1">(TODAY()-staff[[#This Row],[Date Joined]])/365</f>
        <v>3.8438356164383563</v>
      </c>
      <c r="K67" s="76">
        <f ca="1">IF(staff[[#This Row],[Tenure]]&gt;2,3%,2%)*staff[[#This Row],[Salary]]</f>
        <v>1960.8</v>
      </c>
    </row>
    <row r="68" spans="2:11" x14ac:dyDescent="0.25">
      <c r="B68" s="34" t="s">
        <v>20</v>
      </c>
      <c r="C68" s="35" t="s">
        <v>206</v>
      </c>
      <c r="D68" s="35">
        <v>30</v>
      </c>
      <c r="E68" s="35" t="s">
        <v>16</v>
      </c>
      <c r="F68" s="77">
        <v>44597</v>
      </c>
      <c r="G68" s="35" t="s">
        <v>21</v>
      </c>
      <c r="H68" s="78">
        <v>64000</v>
      </c>
      <c r="I68" s="35" t="s">
        <v>207</v>
      </c>
      <c r="J68" s="79">
        <f ca="1">(TODAY()-staff[[#This Row],[Date Joined]])/365</f>
        <v>3.1452054794520548</v>
      </c>
      <c r="K68" s="80">
        <f ca="1">IF(staff[[#This Row],[Tenure]]&gt;2,3%,2%)*staff[[#This Row],[Salary]]</f>
        <v>1971</v>
      </c>
    </row>
    <row r="69" spans="2:11" x14ac:dyDescent="0.25">
      <c r="B69" s="32" t="s">
        <v>186</v>
      </c>
      <c r="C69" s="33" t="s">
        <v>8</v>
      </c>
      <c r="D69" s="33">
        <v>33</v>
      </c>
      <c r="E69" s="33" t="s">
        <v>16</v>
      </c>
      <c r="F69" s="73">
        <v>44006</v>
      </c>
      <c r="G69" s="33" t="s">
        <v>21</v>
      </c>
      <c r="H69" s="74">
        <v>65360</v>
      </c>
      <c r="I69" s="33" t="s">
        <v>205</v>
      </c>
      <c r="J69" s="75">
        <f ca="1">(TODAY()-staff[[#This Row],[Date Joined]])/365</f>
        <v>2.978082191780822</v>
      </c>
      <c r="K69" s="76">
        <f ca="1">IF(staff[[#This Row],[Tenure]]&gt;2,3%,2%)*staff[[#This Row],[Salary]]</f>
        <v>1971</v>
      </c>
    </row>
    <row r="70" spans="2:11" x14ac:dyDescent="0.25">
      <c r="B70" s="34" t="s">
        <v>93</v>
      </c>
      <c r="C70" s="35" t="s">
        <v>8</v>
      </c>
      <c r="D70" s="35">
        <v>33</v>
      </c>
      <c r="E70" s="35" t="s">
        <v>16</v>
      </c>
      <c r="F70" s="77">
        <v>44067</v>
      </c>
      <c r="G70" s="35" t="s">
        <v>21</v>
      </c>
      <c r="H70" s="78">
        <v>65360</v>
      </c>
      <c r="I70" s="35" t="s">
        <v>207</v>
      </c>
      <c r="J70" s="79">
        <f ca="1">(TODAY()-staff[[#This Row],[Date Joined]])/365</f>
        <v>3.3260273972602739</v>
      </c>
      <c r="K70" s="80">
        <f ca="1">IF(staff[[#This Row],[Tenure]]&gt;2,3%,2%)*staff[[#This Row],[Salary]]</f>
        <v>1977.6</v>
      </c>
    </row>
    <row r="71" spans="2:11" x14ac:dyDescent="0.25">
      <c r="B71" s="32" t="s">
        <v>168</v>
      </c>
      <c r="C71" s="33" t="s">
        <v>15</v>
      </c>
      <c r="D71" s="33">
        <v>25</v>
      </c>
      <c r="E71" s="33" t="s">
        <v>16</v>
      </c>
      <c r="F71" s="73">
        <v>44322</v>
      </c>
      <c r="G71" s="33" t="s">
        <v>19</v>
      </c>
      <c r="H71" s="74">
        <v>65700</v>
      </c>
      <c r="I71" s="33" t="s">
        <v>205</v>
      </c>
      <c r="J71" s="75">
        <f ca="1">(TODAY()-staff[[#This Row],[Date Joined]])/365</f>
        <v>3.1589041095890411</v>
      </c>
      <c r="K71" s="76">
        <f ca="1">IF(staff[[#This Row],[Tenure]]&gt;2,3%,2%)*staff[[#This Row],[Salary]]</f>
        <v>1977.6</v>
      </c>
    </row>
    <row r="72" spans="2:11" x14ac:dyDescent="0.25">
      <c r="B72" s="34" t="s">
        <v>76</v>
      </c>
      <c r="C72" s="35" t="s">
        <v>15</v>
      </c>
      <c r="D72" s="35">
        <v>25</v>
      </c>
      <c r="E72" s="35" t="s">
        <v>16</v>
      </c>
      <c r="F72" s="77">
        <v>44383</v>
      </c>
      <c r="G72" s="35" t="s">
        <v>19</v>
      </c>
      <c r="H72" s="78">
        <v>65700</v>
      </c>
      <c r="I72" s="35" t="s">
        <v>207</v>
      </c>
      <c r="J72" s="79">
        <f ca="1">(TODAY()-staff[[#This Row],[Date Joined]])/365</f>
        <v>3.128767123287671</v>
      </c>
      <c r="K72" s="80">
        <f ca="1">IF(staff[[#This Row],[Tenure]]&gt;2,3%,2%)*staff[[#This Row],[Salary]]</f>
        <v>2037.3</v>
      </c>
    </row>
    <row r="73" spans="2:11" x14ac:dyDescent="0.25">
      <c r="B73" s="32" t="s">
        <v>126</v>
      </c>
      <c r="C73" s="33" t="s">
        <v>8</v>
      </c>
      <c r="D73" s="33">
        <v>21</v>
      </c>
      <c r="E73" s="33" t="s">
        <v>16</v>
      </c>
      <c r="F73" s="73">
        <v>44256</v>
      </c>
      <c r="G73" s="33" t="s">
        <v>21</v>
      </c>
      <c r="H73" s="74">
        <v>65920</v>
      </c>
      <c r="I73" s="33" t="s">
        <v>205</v>
      </c>
      <c r="J73" s="75">
        <f ca="1">(TODAY()-staff[[#This Row],[Date Joined]])/365</f>
        <v>2.9616438356164383</v>
      </c>
      <c r="K73" s="76">
        <f ca="1">IF(staff[[#This Row],[Tenure]]&gt;2,3%,2%)*staff[[#This Row],[Salary]]</f>
        <v>2037.3</v>
      </c>
    </row>
    <row r="74" spans="2:11" x14ac:dyDescent="0.25">
      <c r="B74" s="34" t="s">
        <v>32</v>
      </c>
      <c r="C74" s="35" t="s">
        <v>8</v>
      </c>
      <c r="D74" s="35">
        <v>21</v>
      </c>
      <c r="E74" s="35" t="s">
        <v>16</v>
      </c>
      <c r="F74" s="77">
        <v>44317</v>
      </c>
      <c r="G74" s="35" t="s">
        <v>21</v>
      </c>
      <c r="H74" s="78">
        <v>65920</v>
      </c>
      <c r="I74" s="35" t="s">
        <v>207</v>
      </c>
      <c r="J74" s="79">
        <f ca="1">(TODAY()-staff[[#This Row],[Date Joined]])/365</f>
        <v>2.2739726027397262</v>
      </c>
      <c r="K74" s="80">
        <f ca="1">IF(staff[[#This Row],[Tenure]]&gt;2,3%,2%)*staff[[#This Row],[Salary]]</f>
        <v>2038.5</v>
      </c>
    </row>
    <row r="75" spans="2:11" x14ac:dyDescent="0.25">
      <c r="B75" s="32" t="s">
        <v>121</v>
      </c>
      <c r="C75" s="33" t="s">
        <v>8</v>
      </c>
      <c r="D75" s="33">
        <v>30</v>
      </c>
      <c r="E75" s="33" t="s">
        <v>24</v>
      </c>
      <c r="F75" s="73">
        <v>44328</v>
      </c>
      <c r="G75" s="33" t="s">
        <v>21</v>
      </c>
      <c r="H75" s="74">
        <v>67910</v>
      </c>
      <c r="I75" s="33" t="s">
        <v>205</v>
      </c>
      <c r="J75" s="75">
        <f ca="1">(TODAY()-staff[[#This Row],[Date Joined]])/365</f>
        <v>2.106849315068493</v>
      </c>
      <c r="K75" s="76">
        <f ca="1">IF(staff[[#This Row],[Tenure]]&gt;2,3%,2%)*staff[[#This Row],[Salary]]</f>
        <v>2038.5</v>
      </c>
    </row>
    <row r="76" spans="2:11" x14ac:dyDescent="0.25">
      <c r="B76" s="34" t="s">
        <v>27</v>
      </c>
      <c r="C76" s="35" t="s">
        <v>8</v>
      </c>
      <c r="D76" s="35">
        <v>30</v>
      </c>
      <c r="E76" s="35" t="s">
        <v>24</v>
      </c>
      <c r="F76" s="77">
        <v>44389</v>
      </c>
      <c r="G76" s="35" t="s">
        <v>21</v>
      </c>
      <c r="H76" s="78">
        <v>67910</v>
      </c>
      <c r="I76" s="35" t="s">
        <v>207</v>
      </c>
      <c r="J76" s="79">
        <f ca="1">(TODAY()-staff[[#This Row],[Date Joined]])/365</f>
        <v>2.7232876712328768</v>
      </c>
      <c r="K76" s="80">
        <f ca="1">IF(staff[[#This Row],[Tenure]]&gt;2,3%,2%)*staff[[#This Row],[Salary]]</f>
        <v>2067</v>
      </c>
    </row>
    <row r="77" spans="2:11" x14ac:dyDescent="0.25">
      <c r="B77" s="32" t="s">
        <v>138</v>
      </c>
      <c r="C77" s="33" t="s">
        <v>15</v>
      </c>
      <c r="D77" s="33">
        <v>30</v>
      </c>
      <c r="E77" s="33" t="s">
        <v>16</v>
      </c>
      <c r="F77" s="73">
        <v>44640</v>
      </c>
      <c r="G77" s="33" t="s">
        <v>9</v>
      </c>
      <c r="H77" s="74">
        <v>67950</v>
      </c>
      <c r="I77" s="33" t="s">
        <v>205</v>
      </c>
      <c r="J77" s="75">
        <f ca="1">(TODAY()-staff[[#This Row],[Date Joined]])/365</f>
        <v>2.5561643835616437</v>
      </c>
      <c r="K77" s="76">
        <f ca="1">IF(staff[[#This Row],[Tenure]]&gt;2,3%,2%)*staff[[#This Row],[Salary]]</f>
        <v>2067</v>
      </c>
    </row>
    <row r="78" spans="2:11" x14ac:dyDescent="0.25">
      <c r="B78" s="34" t="s">
        <v>45</v>
      </c>
      <c r="C78" s="35" t="s">
        <v>15</v>
      </c>
      <c r="D78" s="35">
        <v>30</v>
      </c>
      <c r="E78" s="35" t="s">
        <v>16</v>
      </c>
      <c r="F78" s="77">
        <v>44701</v>
      </c>
      <c r="G78" s="35" t="s">
        <v>9</v>
      </c>
      <c r="H78" s="78">
        <v>67950</v>
      </c>
      <c r="I78" s="35" t="s">
        <v>207</v>
      </c>
      <c r="J78" s="79">
        <f ca="1">(TODAY()-staff[[#This Row],[Date Joined]])/365</f>
        <v>2.2739726027397262</v>
      </c>
      <c r="K78" s="80">
        <f ca="1">IF(staff[[#This Row],[Tenure]]&gt;2,3%,2%)*staff[[#This Row],[Salary]]</f>
        <v>2072.1</v>
      </c>
    </row>
    <row r="79" spans="2:11" x14ac:dyDescent="0.25">
      <c r="B79" s="32" t="s">
        <v>184</v>
      </c>
      <c r="C79" s="33" t="s">
        <v>8</v>
      </c>
      <c r="D79" s="33">
        <v>20</v>
      </c>
      <c r="E79" s="33" t="s">
        <v>24</v>
      </c>
      <c r="F79" s="73">
        <v>44476</v>
      </c>
      <c r="G79" s="33" t="s">
        <v>19</v>
      </c>
      <c r="H79" s="74">
        <v>68900</v>
      </c>
      <c r="I79" s="33" t="s">
        <v>205</v>
      </c>
      <c r="J79" s="75">
        <f ca="1">(TODAY()-staff[[#This Row],[Date Joined]])/365</f>
        <v>2.106849315068493</v>
      </c>
      <c r="K79" s="76">
        <f ca="1">IF(staff[[#This Row],[Tenure]]&gt;2,3%,2%)*staff[[#This Row],[Salary]]</f>
        <v>2072.1</v>
      </c>
    </row>
    <row r="80" spans="2:11" x14ac:dyDescent="0.25">
      <c r="B80" s="34" t="s">
        <v>91</v>
      </c>
      <c r="C80" s="35" t="s">
        <v>8</v>
      </c>
      <c r="D80" s="35">
        <v>20</v>
      </c>
      <c r="E80" s="35" t="s">
        <v>24</v>
      </c>
      <c r="F80" s="77">
        <v>44537</v>
      </c>
      <c r="G80" s="35" t="s">
        <v>19</v>
      </c>
      <c r="H80" s="78">
        <v>68900</v>
      </c>
      <c r="I80" s="35" t="s">
        <v>207</v>
      </c>
      <c r="J80" s="79">
        <f ca="1">(TODAY()-staff[[#This Row],[Date Joined]])/365</f>
        <v>3.441095890410959</v>
      </c>
      <c r="K80" s="80">
        <f ca="1">IF(staff[[#This Row],[Tenure]]&gt;2,3%,2%)*staff[[#This Row],[Salary]]</f>
        <v>2073.6</v>
      </c>
    </row>
    <row r="81" spans="2:11" x14ac:dyDescent="0.25">
      <c r="B81" s="32" t="s">
        <v>190</v>
      </c>
      <c r="C81" s="33" t="s">
        <v>15</v>
      </c>
      <c r="D81" s="33">
        <v>37</v>
      </c>
      <c r="E81" s="33" t="s">
        <v>16</v>
      </c>
      <c r="F81" s="73">
        <v>44640</v>
      </c>
      <c r="G81" s="33" t="s">
        <v>12</v>
      </c>
      <c r="H81" s="74">
        <v>69070</v>
      </c>
      <c r="I81" s="33" t="s">
        <v>205</v>
      </c>
      <c r="J81" s="75">
        <f ca="1">(TODAY()-staff[[#This Row],[Date Joined]])/365</f>
        <v>3.2794520547945205</v>
      </c>
      <c r="K81" s="76">
        <f ca="1">IF(staff[[#This Row],[Tenure]]&gt;2,3%,2%)*staff[[#This Row],[Salary]]</f>
        <v>2073.6</v>
      </c>
    </row>
    <row r="82" spans="2:11" x14ac:dyDescent="0.25">
      <c r="B82" s="34" t="s">
        <v>97</v>
      </c>
      <c r="C82" s="35" t="s">
        <v>15</v>
      </c>
      <c r="D82" s="35">
        <v>37</v>
      </c>
      <c r="E82" s="35" t="s">
        <v>16</v>
      </c>
      <c r="F82" s="77">
        <v>44701</v>
      </c>
      <c r="G82" s="35" t="s">
        <v>12</v>
      </c>
      <c r="H82" s="78">
        <v>69070</v>
      </c>
      <c r="I82" s="35" t="s">
        <v>207</v>
      </c>
      <c r="J82" s="79">
        <f ca="1">(TODAY()-staff[[#This Row],[Date Joined]])/365</f>
        <v>1.8657534246575342</v>
      </c>
      <c r="K82" s="80">
        <f ca="1">IF(staff[[#This Row],[Tenure]]&gt;2,3%,2%)*staff[[#This Row],[Salary]]</f>
        <v>1394.2</v>
      </c>
    </row>
    <row r="83" spans="2:11" x14ac:dyDescent="0.25">
      <c r="B83" s="32" t="s">
        <v>119</v>
      </c>
      <c r="C83" s="33" t="s">
        <v>15</v>
      </c>
      <c r="D83" s="33">
        <v>30</v>
      </c>
      <c r="E83" s="33" t="s">
        <v>16</v>
      </c>
      <c r="F83" s="73">
        <v>44214</v>
      </c>
      <c r="G83" s="33" t="s">
        <v>12</v>
      </c>
      <c r="H83" s="74">
        <v>69120</v>
      </c>
      <c r="I83" s="33" t="s">
        <v>205</v>
      </c>
      <c r="J83" s="75">
        <f ca="1">(TODAY()-staff[[#This Row],[Date Joined]])/365</f>
        <v>1.6986301369863013</v>
      </c>
      <c r="K83" s="76">
        <f ca="1">IF(staff[[#This Row],[Tenure]]&gt;2,3%,2%)*staff[[#This Row],[Salary]]</f>
        <v>1394.2</v>
      </c>
    </row>
    <row r="84" spans="2:11" x14ac:dyDescent="0.25">
      <c r="B84" s="34" t="s">
        <v>25</v>
      </c>
      <c r="C84" s="35" t="s">
        <v>15</v>
      </c>
      <c r="D84" s="35">
        <v>30</v>
      </c>
      <c r="E84" s="35" t="s">
        <v>16</v>
      </c>
      <c r="F84" s="77">
        <v>44273</v>
      </c>
      <c r="G84" s="35" t="s">
        <v>12</v>
      </c>
      <c r="H84" s="78">
        <v>69120</v>
      </c>
      <c r="I84" s="35" t="s">
        <v>207</v>
      </c>
      <c r="J84" s="79">
        <f ca="1">(TODAY()-staff[[#This Row],[Date Joined]])/365</f>
        <v>2.1917808219178081</v>
      </c>
      <c r="K84" s="80">
        <f ca="1">IF(staff[[#This Row],[Tenure]]&gt;2,3%,2%)*staff[[#This Row],[Salary]]</f>
        <v>2108.1</v>
      </c>
    </row>
    <row r="85" spans="2:11" x14ac:dyDescent="0.25">
      <c r="B85" s="81" t="s">
        <v>159</v>
      </c>
      <c r="C85" s="82" t="s">
        <v>15</v>
      </c>
      <c r="D85" s="82">
        <v>30</v>
      </c>
      <c r="E85" s="82" t="s">
        <v>16</v>
      </c>
      <c r="F85" s="73">
        <v>44789</v>
      </c>
      <c r="G85" s="82" t="s">
        <v>12</v>
      </c>
      <c r="H85" s="74">
        <v>69710</v>
      </c>
      <c r="I85" s="82" t="s">
        <v>205</v>
      </c>
      <c r="J85" s="75">
        <f ca="1">(TODAY()-staff[[#This Row],[Date Joined]])/365</f>
        <v>2.0246575342465754</v>
      </c>
      <c r="K85" s="76">
        <f ca="1">IF(staff[[#This Row],[Tenure]]&gt;2,3%,2%)*staff[[#This Row],[Salary]]</f>
        <v>2108.1</v>
      </c>
    </row>
    <row r="86" spans="2:11" x14ac:dyDescent="0.25">
      <c r="B86" s="34" t="s">
        <v>67</v>
      </c>
      <c r="C86" s="35" t="s">
        <v>15</v>
      </c>
      <c r="D86" s="35">
        <v>30</v>
      </c>
      <c r="E86" s="35" t="s">
        <v>16</v>
      </c>
      <c r="F86" s="77">
        <v>44850</v>
      </c>
      <c r="G86" s="35" t="s">
        <v>12</v>
      </c>
      <c r="H86" s="78">
        <v>69710</v>
      </c>
      <c r="I86" s="35" t="s">
        <v>207</v>
      </c>
      <c r="J86" s="79">
        <f ca="1">(TODAY()-staff[[#This Row],[Date Joined]])/365</f>
        <v>2.117808219178082</v>
      </c>
      <c r="K86" s="80">
        <f ca="1">IF(staff[[#This Row],[Tenure]]&gt;2,3%,2%)*staff[[#This Row],[Salary]]</f>
        <v>2118.2999999999997</v>
      </c>
    </row>
    <row r="87" spans="2:11" x14ac:dyDescent="0.25">
      <c r="B87" s="32" t="s">
        <v>183</v>
      </c>
      <c r="C87" s="33" t="s">
        <v>15</v>
      </c>
      <c r="D87" s="33">
        <v>42</v>
      </c>
      <c r="E87" s="33" t="s">
        <v>24</v>
      </c>
      <c r="F87" s="73">
        <v>44670</v>
      </c>
      <c r="G87" s="33" t="s">
        <v>21</v>
      </c>
      <c r="H87" s="74">
        <v>70270</v>
      </c>
      <c r="I87" s="33" t="s">
        <v>205</v>
      </c>
      <c r="J87" s="75">
        <f ca="1">(TODAY()-staff[[#This Row],[Date Joined]])/365</f>
        <v>1.9506849315068493</v>
      </c>
      <c r="K87" s="76">
        <f ca="1">IF(staff[[#This Row],[Tenure]]&gt;2,3%,2%)*staff[[#This Row],[Salary]]</f>
        <v>1412.2</v>
      </c>
    </row>
    <row r="88" spans="2:11" x14ac:dyDescent="0.25">
      <c r="B88" s="34" t="s">
        <v>90</v>
      </c>
      <c r="C88" s="35" t="s">
        <v>15</v>
      </c>
      <c r="D88" s="35">
        <v>42</v>
      </c>
      <c r="E88" s="35" t="s">
        <v>24</v>
      </c>
      <c r="F88" s="77">
        <v>44731</v>
      </c>
      <c r="G88" s="35" t="s">
        <v>21</v>
      </c>
      <c r="H88" s="78">
        <v>70270</v>
      </c>
      <c r="I88" s="35" t="s">
        <v>207</v>
      </c>
      <c r="J88" s="79">
        <f ca="1">(TODAY()-staff[[#This Row],[Date Joined]])/365</f>
        <v>3.2821917808219179</v>
      </c>
      <c r="K88" s="80">
        <f ca="1">IF(staff[[#This Row],[Tenure]]&gt;2,3%,2%)*staff[[#This Row],[Salary]]</f>
        <v>2141.4</v>
      </c>
    </row>
    <row r="89" spans="2:11" x14ac:dyDescent="0.25">
      <c r="B89" s="32" t="s">
        <v>162</v>
      </c>
      <c r="C89" s="33" t="s">
        <v>15</v>
      </c>
      <c r="D89" s="33">
        <v>46</v>
      </c>
      <c r="E89" s="33" t="s">
        <v>16</v>
      </c>
      <c r="F89" s="73">
        <v>44697</v>
      </c>
      <c r="G89" s="33" t="s">
        <v>9</v>
      </c>
      <c r="H89" s="74">
        <v>70610</v>
      </c>
      <c r="I89" s="33" t="s">
        <v>205</v>
      </c>
      <c r="J89" s="75">
        <f ca="1">(TODAY()-staff[[#This Row],[Date Joined]])/365</f>
        <v>3.1150684931506851</v>
      </c>
      <c r="K89" s="76">
        <f ca="1">IF(staff[[#This Row],[Tenure]]&gt;2,3%,2%)*staff[[#This Row],[Salary]]</f>
        <v>2141.4</v>
      </c>
    </row>
    <row r="90" spans="2:11" x14ac:dyDescent="0.25">
      <c r="B90" s="34" t="s">
        <v>70</v>
      </c>
      <c r="C90" s="35" t="s">
        <v>15</v>
      </c>
      <c r="D90" s="35">
        <v>46</v>
      </c>
      <c r="E90" s="35" t="s">
        <v>16</v>
      </c>
      <c r="F90" s="77">
        <v>44758</v>
      </c>
      <c r="G90" s="35" t="s">
        <v>9</v>
      </c>
      <c r="H90" s="78">
        <v>70610</v>
      </c>
      <c r="I90" s="35" t="s">
        <v>207</v>
      </c>
      <c r="J90" s="79">
        <f ca="1">(TODAY()-staff[[#This Row],[Date Joined]])/365</f>
        <v>3.1397260273972605</v>
      </c>
      <c r="K90" s="80">
        <f ca="1">IF(staff[[#This Row],[Tenure]]&gt;2,3%,2%)*staff[[#This Row],[Salary]]</f>
        <v>2236.5</v>
      </c>
    </row>
    <row r="91" spans="2:11" x14ac:dyDescent="0.25">
      <c r="B91" s="32" t="s">
        <v>187</v>
      </c>
      <c r="C91" s="33" t="s">
        <v>15</v>
      </c>
      <c r="D91" s="33">
        <v>36</v>
      </c>
      <c r="E91" s="33" t="s">
        <v>16</v>
      </c>
      <c r="F91" s="73">
        <v>44272</v>
      </c>
      <c r="G91" s="33" t="s">
        <v>21</v>
      </c>
      <c r="H91" s="74">
        <v>71380</v>
      </c>
      <c r="I91" s="33" t="s">
        <v>205</v>
      </c>
      <c r="J91" s="75">
        <f ca="1">(TODAY()-staff[[#This Row],[Date Joined]])/365</f>
        <v>2.9726027397260273</v>
      </c>
      <c r="K91" s="76">
        <f ca="1">IF(staff[[#This Row],[Tenure]]&gt;2,3%,2%)*staff[[#This Row],[Salary]]</f>
        <v>2236.5</v>
      </c>
    </row>
    <row r="92" spans="2:11" x14ac:dyDescent="0.25">
      <c r="B92" s="34" t="s">
        <v>94</v>
      </c>
      <c r="C92" s="35" t="s">
        <v>15</v>
      </c>
      <c r="D92" s="35">
        <v>36</v>
      </c>
      <c r="E92" s="35" t="s">
        <v>16</v>
      </c>
      <c r="F92" s="77">
        <v>44333</v>
      </c>
      <c r="G92" s="35" t="s">
        <v>21</v>
      </c>
      <c r="H92" s="78">
        <v>71380</v>
      </c>
      <c r="I92" s="35" t="s">
        <v>207</v>
      </c>
      <c r="J92" s="79">
        <f ca="1">(TODAY()-staff[[#This Row],[Date Joined]])/365</f>
        <v>2.0602739726027397</v>
      </c>
      <c r="K92" s="80">
        <f ca="1">IF(staff[[#This Row],[Tenure]]&gt;2,3%,2%)*staff[[#This Row],[Salary]]</f>
        <v>2250</v>
      </c>
    </row>
    <row r="93" spans="2:11" x14ac:dyDescent="0.25">
      <c r="B93" s="81" t="s">
        <v>115</v>
      </c>
      <c r="C93" s="82" t="s">
        <v>15</v>
      </c>
      <c r="D93" s="82">
        <v>33</v>
      </c>
      <c r="E93" s="82" t="s">
        <v>16</v>
      </c>
      <c r="F93" s="73">
        <v>44324</v>
      </c>
      <c r="G93" s="82" t="s">
        <v>19</v>
      </c>
      <c r="H93" s="74">
        <v>74550</v>
      </c>
      <c r="I93" s="82" t="s">
        <v>205</v>
      </c>
      <c r="J93" s="75">
        <f ca="1">(TODAY()-staff[[#This Row],[Date Joined]])/365</f>
        <v>1.893150684931507</v>
      </c>
      <c r="K93" s="76">
        <f ca="1">IF(staff[[#This Row],[Tenure]]&gt;2,3%,2%)*staff[[#This Row],[Salary]]</f>
        <v>1500</v>
      </c>
    </row>
    <row r="94" spans="2:11" x14ac:dyDescent="0.25">
      <c r="B94" s="34" t="s">
        <v>18</v>
      </c>
      <c r="C94" s="35" t="s">
        <v>15</v>
      </c>
      <c r="D94" s="35">
        <v>33</v>
      </c>
      <c r="E94" s="35" t="s">
        <v>16</v>
      </c>
      <c r="F94" s="77">
        <v>44385</v>
      </c>
      <c r="G94" s="35" t="s">
        <v>19</v>
      </c>
      <c r="H94" s="78">
        <v>74550</v>
      </c>
      <c r="I94" s="35" t="s">
        <v>207</v>
      </c>
      <c r="J94" s="79">
        <f ca="1">(TODAY()-staff[[#This Row],[Date Joined]])/365</f>
        <v>3.3342465753424659</v>
      </c>
      <c r="K94" s="80">
        <f ca="1">IF(staff[[#This Row],[Tenure]]&gt;2,3%,2%)*staff[[#This Row],[Salary]]</f>
        <v>2258.4</v>
      </c>
    </row>
    <row r="95" spans="2:11" x14ac:dyDescent="0.25">
      <c r="B95" s="81" t="s">
        <v>111</v>
      </c>
      <c r="C95" s="82" t="s">
        <v>8</v>
      </c>
      <c r="D95" s="82">
        <v>42</v>
      </c>
      <c r="E95" s="82" t="s">
        <v>10</v>
      </c>
      <c r="F95" s="73">
        <v>44718</v>
      </c>
      <c r="G95" s="82" t="s">
        <v>9</v>
      </c>
      <c r="H95" s="74">
        <v>75000</v>
      </c>
      <c r="I95" s="82" t="s">
        <v>205</v>
      </c>
      <c r="J95" s="75">
        <f ca="1">(TODAY()-staff[[#This Row],[Date Joined]])/365</f>
        <v>3.1726027397260275</v>
      </c>
      <c r="K95" s="76">
        <f ca="1">IF(staff[[#This Row],[Tenure]]&gt;2,3%,2%)*staff[[#This Row],[Salary]]</f>
        <v>2258.4</v>
      </c>
    </row>
    <row r="96" spans="2:11" x14ac:dyDescent="0.25">
      <c r="B96" s="34" t="s">
        <v>7</v>
      </c>
      <c r="C96" s="35" t="s">
        <v>8</v>
      </c>
      <c r="D96" s="35">
        <v>42</v>
      </c>
      <c r="E96" s="35" t="s">
        <v>10</v>
      </c>
      <c r="F96" s="77">
        <v>44779</v>
      </c>
      <c r="G96" s="35" t="s">
        <v>9</v>
      </c>
      <c r="H96" s="78">
        <v>75000</v>
      </c>
      <c r="I96" s="35" t="s">
        <v>207</v>
      </c>
      <c r="J96" s="79">
        <f ca="1">(TODAY()-staff[[#This Row],[Date Joined]])/365</f>
        <v>3.1698630136986301</v>
      </c>
      <c r="K96" s="80">
        <f ca="1">IF(staff[[#This Row],[Tenure]]&gt;2,3%,2%)*staff[[#This Row],[Salary]]</f>
        <v>2264.4</v>
      </c>
    </row>
    <row r="97" spans="2:11" x14ac:dyDescent="0.25">
      <c r="B97" s="32" t="s">
        <v>188</v>
      </c>
      <c r="C97" s="33" t="s">
        <v>8</v>
      </c>
      <c r="D97" s="33">
        <v>33</v>
      </c>
      <c r="E97" s="33" t="s">
        <v>16</v>
      </c>
      <c r="F97" s="73">
        <v>44253</v>
      </c>
      <c r="G97" s="33" t="s">
        <v>12</v>
      </c>
      <c r="H97" s="74">
        <v>75280</v>
      </c>
      <c r="I97" s="33" t="s">
        <v>205</v>
      </c>
      <c r="J97" s="75">
        <f ca="1">(TODAY()-staff[[#This Row],[Date Joined]])/365</f>
        <v>3.0027397260273974</v>
      </c>
      <c r="K97" s="76">
        <f ca="1">IF(staff[[#This Row],[Tenure]]&gt;2,3%,2%)*staff[[#This Row],[Salary]]</f>
        <v>2264.4</v>
      </c>
    </row>
    <row r="98" spans="2:11" x14ac:dyDescent="0.25">
      <c r="B98" s="34" t="s">
        <v>95</v>
      </c>
      <c r="C98" s="35" t="s">
        <v>8</v>
      </c>
      <c r="D98" s="35">
        <v>33</v>
      </c>
      <c r="E98" s="35" t="s">
        <v>16</v>
      </c>
      <c r="F98" s="77">
        <v>44312</v>
      </c>
      <c r="G98" s="35" t="s">
        <v>12</v>
      </c>
      <c r="H98" s="78">
        <v>75280</v>
      </c>
      <c r="I98" s="35" t="s">
        <v>207</v>
      </c>
      <c r="J98" s="79">
        <f ca="1">(TODAY()-staff[[#This Row],[Date Joined]])/365</f>
        <v>3.5342465753424657</v>
      </c>
      <c r="K98" s="80">
        <f ca="1">IF(staff[[#This Row],[Tenure]]&gt;2,3%,2%)*staff[[#This Row],[Salary]]</f>
        <v>2276.4</v>
      </c>
    </row>
    <row r="99" spans="2:11" x14ac:dyDescent="0.25">
      <c r="B99" s="32" t="s">
        <v>135</v>
      </c>
      <c r="C99" s="33" t="s">
        <v>8</v>
      </c>
      <c r="D99" s="33">
        <v>33</v>
      </c>
      <c r="E99" s="33" t="s">
        <v>42</v>
      </c>
      <c r="F99" s="73">
        <v>44313</v>
      </c>
      <c r="G99" s="33" t="s">
        <v>12</v>
      </c>
      <c r="H99" s="74">
        <v>75480</v>
      </c>
      <c r="I99" s="33" t="s">
        <v>205</v>
      </c>
      <c r="J99" s="75">
        <f ca="1">(TODAY()-staff[[#This Row],[Date Joined]])/365</f>
        <v>3.3643835616438356</v>
      </c>
      <c r="K99" s="76">
        <f ca="1">IF(staff[[#This Row],[Tenure]]&gt;2,3%,2%)*staff[[#This Row],[Salary]]</f>
        <v>2276.4</v>
      </c>
    </row>
    <row r="100" spans="2:11" x14ac:dyDescent="0.25">
      <c r="B100" s="34" t="s">
        <v>41</v>
      </c>
      <c r="C100" s="35" t="s">
        <v>8</v>
      </c>
      <c r="D100" s="35">
        <v>33</v>
      </c>
      <c r="E100" s="35" t="s">
        <v>42</v>
      </c>
      <c r="F100" s="77">
        <v>44374</v>
      </c>
      <c r="G100" s="35" t="s">
        <v>12</v>
      </c>
      <c r="H100" s="78">
        <v>75480</v>
      </c>
      <c r="I100" s="35" t="s">
        <v>207</v>
      </c>
      <c r="J100" s="79">
        <f ca="1">(TODAY()-staff[[#This Row],[Date Joined]])/365</f>
        <v>3.6876712328767125</v>
      </c>
      <c r="K100" s="80">
        <f ca="1">IF(staff[[#This Row],[Tenure]]&gt;2,3%,2%)*staff[[#This Row],[Salary]]</f>
        <v>2279.1</v>
      </c>
    </row>
    <row r="101" spans="2:11" x14ac:dyDescent="0.25">
      <c r="B101" s="32" t="s">
        <v>170</v>
      </c>
      <c r="C101" s="33" t="s">
        <v>15</v>
      </c>
      <c r="D101" s="33">
        <v>21</v>
      </c>
      <c r="E101" s="33" t="s">
        <v>16</v>
      </c>
      <c r="F101" s="73">
        <v>44180</v>
      </c>
      <c r="G101" s="33" t="s">
        <v>56</v>
      </c>
      <c r="H101" s="74">
        <v>75880</v>
      </c>
      <c r="I101" s="33" t="s">
        <v>205</v>
      </c>
      <c r="J101" s="75">
        <f ca="1">(TODAY()-staff[[#This Row],[Date Joined]])/365</f>
        <v>3.5205479452054793</v>
      </c>
      <c r="K101" s="76">
        <f ca="1">IF(staff[[#This Row],[Tenure]]&gt;2,3%,2%)*staff[[#This Row],[Salary]]</f>
        <v>2279.1</v>
      </c>
    </row>
    <row r="102" spans="2:11" x14ac:dyDescent="0.25">
      <c r="B102" s="34" t="s">
        <v>78</v>
      </c>
      <c r="C102" s="35" t="s">
        <v>15</v>
      </c>
      <c r="D102" s="35">
        <v>21</v>
      </c>
      <c r="E102" s="35" t="s">
        <v>16</v>
      </c>
      <c r="F102" s="77">
        <v>44242</v>
      </c>
      <c r="G102" s="35" t="s">
        <v>56</v>
      </c>
      <c r="H102" s="78">
        <v>75880</v>
      </c>
      <c r="I102" s="35" t="s">
        <v>207</v>
      </c>
      <c r="J102" s="79">
        <f ca="1">(TODAY()-staff[[#This Row],[Date Joined]])/365</f>
        <v>2.9643835616438357</v>
      </c>
      <c r="K102" s="80">
        <f ca="1">IF(staff[[#This Row],[Tenure]]&gt;2,3%,2%)*staff[[#This Row],[Salary]]</f>
        <v>2307</v>
      </c>
    </row>
    <row r="103" spans="2:11" x14ac:dyDescent="0.25">
      <c r="B103" s="32" t="s">
        <v>129</v>
      </c>
      <c r="C103" s="33" t="s">
        <v>8</v>
      </c>
      <c r="D103" s="33">
        <v>28</v>
      </c>
      <c r="E103" s="33" t="s">
        <v>16</v>
      </c>
      <c r="F103" s="73">
        <v>44124</v>
      </c>
      <c r="G103" s="33" t="s">
        <v>21</v>
      </c>
      <c r="H103" s="74">
        <v>75970</v>
      </c>
      <c r="I103" s="33" t="s">
        <v>205</v>
      </c>
      <c r="J103" s="75">
        <f ca="1">(TODAY()-staff[[#This Row],[Date Joined]])/365</f>
        <v>2.7945205479452055</v>
      </c>
      <c r="K103" s="76">
        <f ca="1">IF(staff[[#This Row],[Tenure]]&gt;2,3%,2%)*staff[[#This Row],[Salary]]</f>
        <v>2307</v>
      </c>
    </row>
    <row r="104" spans="2:11" x14ac:dyDescent="0.25">
      <c r="B104" s="34" t="s">
        <v>35</v>
      </c>
      <c r="C104" s="35" t="s">
        <v>8</v>
      </c>
      <c r="D104" s="35">
        <v>28</v>
      </c>
      <c r="E104" s="35" t="s">
        <v>16</v>
      </c>
      <c r="F104" s="77">
        <v>44185</v>
      </c>
      <c r="G104" s="35" t="s">
        <v>21</v>
      </c>
      <c r="H104" s="78">
        <v>75970</v>
      </c>
      <c r="I104" s="35" t="s">
        <v>207</v>
      </c>
      <c r="J104" s="79">
        <f ca="1">(TODAY()-staff[[#This Row],[Date Joined]])/365</f>
        <v>2.7452054794520548</v>
      </c>
      <c r="K104" s="80">
        <f ca="1">IF(staff[[#This Row],[Tenure]]&gt;2,3%,2%)*staff[[#This Row],[Salary]]</f>
        <v>2351.6999999999998</v>
      </c>
    </row>
    <row r="105" spans="2:11" x14ac:dyDescent="0.25">
      <c r="B105" s="81" t="s">
        <v>154</v>
      </c>
      <c r="C105" s="82" t="s">
        <v>8</v>
      </c>
      <c r="D105" s="82">
        <v>22</v>
      </c>
      <c r="E105" s="82" t="s">
        <v>13</v>
      </c>
      <c r="F105" s="73">
        <v>44388</v>
      </c>
      <c r="G105" s="82" t="s">
        <v>9</v>
      </c>
      <c r="H105" s="74">
        <v>76900</v>
      </c>
      <c r="I105" s="82" t="s">
        <v>205</v>
      </c>
      <c r="J105" s="75">
        <f ca="1">(TODAY()-staff[[#This Row],[Date Joined]])/365</f>
        <v>2.5780821917808221</v>
      </c>
      <c r="K105" s="76">
        <f ca="1">IF(staff[[#This Row],[Tenure]]&gt;2,3%,2%)*staff[[#This Row],[Salary]]</f>
        <v>2351.6999999999998</v>
      </c>
    </row>
    <row r="106" spans="2:11" x14ac:dyDescent="0.25">
      <c r="B106" s="34" t="s">
        <v>62</v>
      </c>
      <c r="C106" s="35" t="s">
        <v>8</v>
      </c>
      <c r="D106" s="35">
        <v>22</v>
      </c>
      <c r="E106" s="35" t="s">
        <v>13</v>
      </c>
      <c r="F106" s="77">
        <v>44450</v>
      </c>
      <c r="G106" s="35" t="s">
        <v>9</v>
      </c>
      <c r="H106" s="78">
        <v>76900</v>
      </c>
      <c r="I106" s="35" t="s">
        <v>207</v>
      </c>
      <c r="J106" s="79">
        <f ca="1">(TODAY()-staff[[#This Row],[Date Joined]])/365</f>
        <v>2.8410958904109589</v>
      </c>
      <c r="K106" s="80">
        <f ca="1">IF(staff[[#This Row],[Tenure]]&gt;2,3%,2%)*staff[[#This Row],[Salary]]</f>
        <v>2356.1999999999998</v>
      </c>
    </row>
    <row r="107" spans="2:11" x14ac:dyDescent="0.25">
      <c r="B107" s="32" t="s">
        <v>164</v>
      </c>
      <c r="C107" s="33" t="s">
        <v>8</v>
      </c>
      <c r="D107" s="33">
        <v>36</v>
      </c>
      <c r="E107" s="33" t="s">
        <v>16</v>
      </c>
      <c r="F107" s="73">
        <v>44468</v>
      </c>
      <c r="G107" s="33" t="s">
        <v>9</v>
      </c>
      <c r="H107" s="74">
        <v>78390</v>
      </c>
      <c r="I107" s="33" t="s">
        <v>205</v>
      </c>
      <c r="J107" s="75">
        <f ca="1">(TODAY()-staff[[#This Row],[Date Joined]])/365</f>
        <v>2.6739726027397261</v>
      </c>
      <c r="K107" s="76">
        <f ca="1">IF(staff[[#This Row],[Tenure]]&gt;2,3%,2%)*staff[[#This Row],[Salary]]</f>
        <v>2356.1999999999998</v>
      </c>
    </row>
    <row r="108" spans="2:11" x14ac:dyDescent="0.25">
      <c r="B108" s="34" t="s">
        <v>72</v>
      </c>
      <c r="C108" s="35" t="s">
        <v>8</v>
      </c>
      <c r="D108" s="35">
        <v>36</v>
      </c>
      <c r="E108" s="35" t="s">
        <v>16</v>
      </c>
      <c r="F108" s="77">
        <v>44529</v>
      </c>
      <c r="G108" s="35" t="s">
        <v>9</v>
      </c>
      <c r="H108" s="78">
        <v>78390</v>
      </c>
      <c r="I108" s="35" t="s">
        <v>207</v>
      </c>
      <c r="J108" s="79">
        <f ca="1">(TODAY()-staff[[#This Row],[Date Joined]])/365</f>
        <v>2.1561643835616437</v>
      </c>
      <c r="K108" s="80">
        <f ca="1">IF(staff[[#This Row],[Tenure]]&gt;2,3%,2%)*staff[[#This Row],[Salary]]</f>
        <v>2387.1</v>
      </c>
    </row>
    <row r="109" spans="2:11" x14ac:dyDescent="0.25">
      <c r="B109" s="32" t="s">
        <v>141</v>
      </c>
      <c r="C109" s="33" t="s">
        <v>8</v>
      </c>
      <c r="D109" s="33">
        <v>36</v>
      </c>
      <c r="E109" s="33" t="s">
        <v>16</v>
      </c>
      <c r="F109" s="73">
        <v>44433</v>
      </c>
      <c r="G109" s="33" t="s">
        <v>19</v>
      </c>
      <c r="H109" s="74">
        <v>78540</v>
      </c>
      <c r="I109" s="33" t="s">
        <v>205</v>
      </c>
      <c r="J109" s="75">
        <f ca="1">(TODAY()-staff[[#This Row],[Date Joined]])/365</f>
        <v>1.989041095890411</v>
      </c>
      <c r="K109" s="76">
        <f ca="1">IF(staff[[#This Row],[Tenure]]&gt;2,3%,2%)*staff[[#This Row],[Salary]]</f>
        <v>1591.4</v>
      </c>
    </row>
    <row r="110" spans="2:11" x14ac:dyDescent="0.25">
      <c r="B110" s="34" t="s">
        <v>48</v>
      </c>
      <c r="C110" s="35" t="s">
        <v>8</v>
      </c>
      <c r="D110" s="35">
        <v>36</v>
      </c>
      <c r="E110" s="35" t="s">
        <v>16</v>
      </c>
      <c r="F110" s="77">
        <v>44494</v>
      </c>
      <c r="G110" s="35" t="s">
        <v>19</v>
      </c>
      <c r="H110" s="78">
        <v>78540</v>
      </c>
      <c r="I110" s="35" t="s">
        <v>207</v>
      </c>
      <c r="J110" s="79">
        <f ca="1">(TODAY()-staff[[#This Row],[Date Joined]])/365</f>
        <v>2.2931506849315069</v>
      </c>
      <c r="K110" s="80">
        <f ca="1">IF(staff[[#This Row],[Tenure]]&gt;2,3%,2%)*staff[[#This Row],[Salary]]</f>
        <v>2421</v>
      </c>
    </row>
    <row r="111" spans="2:11" x14ac:dyDescent="0.25">
      <c r="B111" s="81" t="s">
        <v>197</v>
      </c>
      <c r="C111" s="82" t="s">
        <v>15</v>
      </c>
      <c r="D111" s="82">
        <v>20</v>
      </c>
      <c r="E111" s="82" t="s">
        <v>16</v>
      </c>
      <c r="F111" s="73">
        <v>44683</v>
      </c>
      <c r="G111" s="82" t="s">
        <v>9</v>
      </c>
      <c r="H111" s="74">
        <v>79570</v>
      </c>
      <c r="I111" s="82" t="s">
        <v>205</v>
      </c>
      <c r="J111" s="75">
        <f ca="1">(TODAY()-staff[[#This Row],[Date Joined]])/365</f>
        <v>2.1260273972602741</v>
      </c>
      <c r="K111" s="76">
        <f ca="1">IF(staff[[#This Row],[Tenure]]&gt;2,3%,2%)*staff[[#This Row],[Salary]]</f>
        <v>2421</v>
      </c>
    </row>
    <row r="112" spans="2:11" x14ac:dyDescent="0.25">
      <c r="B112" s="34" t="s">
        <v>104</v>
      </c>
      <c r="C112" s="35" t="s">
        <v>15</v>
      </c>
      <c r="D112" s="35">
        <v>20</v>
      </c>
      <c r="E112" s="35" t="s">
        <v>16</v>
      </c>
      <c r="F112" s="77">
        <v>44744</v>
      </c>
      <c r="G112" s="35" t="s">
        <v>9</v>
      </c>
      <c r="H112" s="78">
        <v>79570</v>
      </c>
      <c r="I112" s="35" t="s">
        <v>207</v>
      </c>
      <c r="J112" s="79">
        <f ca="1">(TODAY()-staff[[#This Row],[Date Joined]])/365</f>
        <v>2.3150684931506849</v>
      </c>
      <c r="K112" s="80">
        <f ca="1">IF(staff[[#This Row],[Tenure]]&gt;2,3%,2%)*staff[[#This Row],[Salary]]</f>
        <v>2512.5</v>
      </c>
    </row>
    <row r="113" spans="2:11" x14ac:dyDescent="0.25">
      <c r="B113" s="32" t="s">
        <v>133</v>
      </c>
      <c r="C113" s="33" t="s">
        <v>8</v>
      </c>
      <c r="D113" s="33">
        <v>25</v>
      </c>
      <c r="E113" s="33" t="s">
        <v>13</v>
      </c>
      <c r="F113" s="73">
        <v>44633</v>
      </c>
      <c r="G113" s="33" t="s">
        <v>12</v>
      </c>
      <c r="H113" s="74">
        <v>80700</v>
      </c>
      <c r="I113" s="33" t="s">
        <v>205</v>
      </c>
      <c r="J113" s="75">
        <f ca="1">(TODAY()-staff[[#This Row],[Date Joined]])/365</f>
        <v>2.1479452054794521</v>
      </c>
      <c r="K113" s="76">
        <f ca="1">IF(staff[[#This Row],[Tenure]]&gt;2,3%,2%)*staff[[#This Row],[Salary]]</f>
        <v>2512.5</v>
      </c>
    </row>
    <row r="114" spans="2:11" x14ac:dyDescent="0.25">
      <c r="B114" s="34" t="s">
        <v>39</v>
      </c>
      <c r="C114" s="35" t="s">
        <v>8</v>
      </c>
      <c r="D114" s="35">
        <v>25</v>
      </c>
      <c r="E114" s="35" t="s">
        <v>13</v>
      </c>
      <c r="F114" s="77">
        <v>44694</v>
      </c>
      <c r="G114" s="35" t="s">
        <v>12</v>
      </c>
      <c r="H114" s="78">
        <v>80700</v>
      </c>
      <c r="I114" s="35" t="s">
        <v>207</v>
      </c>
      <c r="J114" s="79">
        <f ca="1">(TODAY()-staff[[#This Row],[Date Joined]])/365</f>
        <v>2.9397260273972603</v>
      </c>
      <c r="K114" s="80">
        <f ca="1">IF(staff[[#This Row],[Tenure]]&gt;2,3%,2%)*staff[[#This Row],[Salary]]</f>
        <v>2550</v>
      </c>
    </row>
    <row r="115" spans="2:11" x14ac:dyDescent="0.25">
      <c r="B115" s="32" t="s">
        <v>185</v>
      </c>
      <c r="C115" s="33" t="s">
        <v>8</v>
      </c>
      <c r="D115" s="33">
        <v>27</v>
      </c>
      <c r="E115" s="33" t="s">
        <v>16</v>
      </c>
      <c r="F115" s="73">
        <v>44625</v>
      </c>
      <c r="G115" s="33" t="s">
        <v>12</v>
      </c>
      <c r="H115" s="74">
        <v>83750</v>
      </c>
      <c r="I115" s="33" t="s">
        <v>205</v>
      </c>
      <c r="J115" s="75">
        <f ca="1">(TODAY()-staff[[#This Row],[Date Joined]])/365</f>
        <v>2.7698630136986302</v>
      </c>
      <c r="K115" s="76">
        <f ca="1">IF(staff[[#This Row],[Tenure]]&gt;2,3%,2%)*staff[[#This Row],[Salary]]</f>
        <v>2550</v>
      </c>
    </row>
    <row r="116" spans="2:11" x14ac:dyDescent="0.25">
      <c r="B116" s="34" t="s">
        <v>92</v>
      </c>
      <c r="C116" s="35" t="s">
        <v>8</v>
      </c>
      <c r="D116" s="35">
        <v>27</v>
      </c>
      <c r="E116" s="35" t="s">
        <v>16</v>
      </c>
      <c r="F116" s="77">
        <v>44686</v>
      </c>
      <c r="G116" s="35" t="s">
        <v>12</v>
      </c>
      <c r="H116" s="78">
        <v>83750</v>
      </c>
      <c r="I116" s="35" t="s">
        <v>207</v>
      </c>
      <c r="J116" s="79">
        <f ca="1">(TODAY()-staff[[#This Row],[Date Joined]])/365</f>
        <v>1.9808219178082191</v>
      </c>
      <c r="K116" s="80">
        <f ca="1">IF(staff[[#This Row],[Tenure]]&gt;2,3%,2%)*staff[[#This Row],[Salary]]</f>
        <v>1731.4</v>
      </c>
    </row>
    <row r="117" spans="2:11" x14ac:dyDescent="0.25">
      <c r="B117" s="32" t="s">
        <v>122</v>
      </c>
      <c r="C117" s="33" t="s">
        <v>8</v>
      </c>
      <c r="D117" s="33">
        <v>34</v>
      </c>
      <c r="E117" s="33" t="s">
        <v>16</v>
      </c>
      <c r="F117" s="73">
        <v>44397</v>
      </c>
      <c r="G117" s="33" t="s">
        <v>21</v>
      </c>
      <c r="H117" s="74">
        <v>85000</v>
      </c>
      <c r="I117" s="33" t="s">
        <v>205</v>
      </c>
      <c r="J117" s="75">
        <f ca="1">(TODAY()-staff[[#This Row],[Date Joined]])/365</f>
        <v>1.810958904109589</v>
      </c>
      <c r="K117" s="76">
        <f ca="1">IF(staff[[#This Row],[Tenure]]&gt;2,3%,2%)*staff[[#This Row],[Salary]]</f>
        <v>1731.4</v>
      </c>
    </row>
    <row r="118" spans="2:11" x14ac:dyDescent="0.25">
      <c r="B118" s="34" t="s">
        <v>28</v>
      </c>
      <c r="C118" s="35" t="s">
        <v>8</v>
      </c>
      <c r="D118" s="35">
        <v>34</v>
      </c>
      <c r="E118" s="35" t="s">
        <v>16</v>
      </c>
      <c r="F118" s="77">
        <v>44459</v>
      </c>
      <c r="G118" s="35" t="s">
        <v>21</v>
      </c>
      <c r="H118" s="78">
        <v>85000</v>
      </c>
      <c r="I118" s="35" t="s">
        <v>207</v>
      </c>
      <c r="J118" s="79">
        <f ca="1">(TODAY()-staff[[#This Row],[Date Joined]])/365</f>
        <v>3.2712328767123289</v>
      </c>
      <c r="K118" s="80">
        <f ca="1">IF(staff[[#This Row],[Tenure]]&gt;2,3%,2%)*staff[[#This Row],[Salary]]</f>
        <v>2628.6</v>
      </c>
    </row>
    <row r="119" spans="2:11" x14ac:dyDescent="0.25">
      <c r="B119" s="32" t="s">
        <v>181</v>
      </c>
      <c r="C119" s="33" t="s">
        <v>8</v>
      </c>
      <c r="D119" s="33">
        <v>33</v>
      </c>
      <c r="E119" s="33" t="s">
        <v>16</v>
      </c>
      <c r="F119" s="73">
        <v>44747</v>
      </c>
      <c r="G119" s="33" t="s">
        <v>21</v>
      </c>
      <c r="H119" s="74">
        <v>86570</v>
      </c>
      <c r="I119" s="33" t="s">
        <v>205</v>
      </c>
      <c r="J119" s="75">
        <f ca="1">(TODAY()-staff[[#This Row],[Date Joined]])/365</f>
        <v>3.1041095890410957</v>
      </c>
      <c r="K119" s="76">
        <f ca="1">IF(staff[[#This Row],[Tenure]]&gt;2,3%,2%)*staff[[#This Row],[Salary]]</f>
        <v>2628.6</v>
      </c>
    </row>
    <row r="120" spans="2:11" x14ac:dyDescent="0.25">
      <c r="B120" s="34" t="s">
        <v>88</v>
      </c>
      <c r="C120" s="35" t="s">
        <v>8</v>
      </c>
      <c r="D120" s="35">
        <v>33</v>
      </c>
      <c r="E120" s="35" t="s">
        <v>16</v>
      </c>
      <c r="F120" s="77">
        <v>44809</v>
      </c>
      <c r="G120" s="35" t="s">
        <v>21</v>
      </c>
      <c r="H120" s="78">
        <v>86570</v>
      </c>
      <c r="I120" s="35" t="s">
        <v>207</v>
      </c>
      <c r="J120" s="79">
        <f ca="1">(TODAY()-staff[[#This Row],[Date Joined]])/365</f>
        <v>3.2684931506849315</v>
      </c>
      <c r="K120" s="80">
        <f ca="1">IF(staff[[#This Row],[Tenure]]&gt;2,3%,2%)*staff[[#This Row],[Salary]]</f>
        <v>2641.5</v>
      </c>
    </row>
    <row r="121" spans="2:11" x14ac:dyDescent="0.25">
      <c r="B121" s="32" t="s">
        <v>166</v>
      </c>
      <c r="C121" s="33" t="s">
        <v>8</v>
      </c>
      <c r="D121" s="33">
        <v>40</v>
      </c>
      <c r="E121" s="33" t="s">
        <v>16</v>
      </c>
      <c r="F121" s="73">
        <v>44276</v>
      </c>
      <c r="G121" s="33" t="s">
        <v>12</v>
      </c>
      <c r="H121" s="74">
        <v>87620</v>
      </c>
      <c r="I121" s="33" t="s">
        <v>205</v>
      </c>
      <c r="J121" s="75">
        <f ca="1">(TODAY()-staff[[#This Row],[Date Joined]])/365</f>
        <v>3.1013698630136988</v>
      </c>
      <c r="K121" s="76">
        <f ca="1">IF(staff[[#This Row],[Tenure]]&gt;2,3%,2%)*staff[[#This Row],[Salary]]</f>
        <v>2641.5</v>
      </c>
    </row>
    <row r="122" spans="2:11" x14ac:dyDescent="0.25">
      <c r="B122" s="34" t="s">
        <v>74</v>
      </c>
      <c r="C122" s="35" t="s">
        <v>8</v>
      </c>
      <c r="D122" s="35">
        <v>40</v>
      </c>
      <c r="E122" s="35" t="s">
        <v>16</v>
      </c>
      <c r="F122" s="77">
        <v>44337</v>
      </c>
      <c r="G122" s="35" t="s">
        <v>12</v>
      </c>
      <c r="H122" s="78">
        <v>87620</v>
      </c>
      <c r="I122" s="35" t="s">
        <v>207</v>
      </c>
      <c r="J122" s="79">
        <f ca="1">(TODAY()-staff[[#This Row],[Date Joined]])/365</f>
        <v>3.4465753424657533</v>
      </c>
      <c r="K122" s="80">
        <f ca="1">IF(staff[[#This Row],[Tenure]]&gt;2,3%,2%)*staff[[#This Row],[Salary]]</f>
        <v>2721</v>
      </c>
    </row>
    <row r="123" spans="2:11" x14ac:dyDescent="0.25">
      <c r="B123" s="81" t="s">
        <v>118</v>
      </c>
      <c r="C123" s="82" t="s">
        <v>15</v>
      </c>
      <c r="D123" s="82">
        <v>37</v>
      </c>
      <c r="E123" s="82" t="s">
        <v>24</v>
      </c>
      <c r="F123" s="73">
        <v>44277</v>
      </c>
      <c r="G123" s="82" t="s">
        <v>12</v>
      </c>
      <c r="H123" s="74">
        <v>88050</v>
      </c>
      <c r="I123" s="82" t="s">
        <v>205</v>
      </c>
      <c r="J123" s="75">
        <f ca="1">(TODAY()-staff[[#This Row],[Date Joined]])/365</f>
        <v>3.2849315068493152</v>
      </c>
      <c r="K123" s="76">
        <f ca="1">IF(staff[[#This Row],[Tenure]]&gt;2,3%,2%)*staff[[#This Row],[Salary]]</f>
        <v>2721</v>
      </c>
    </row>
    <row r="124" spans="2:11" x14ac:dyDescent="0.25">
      <c r="B124" s="34" t="s">
        <v>23</v>
      </c>
      <c r="C124" s="35" t="s">
        <v>15</v>
      </c>
      <c r="D124" s="35">
        <v>37</v>
      </c>
      <c r="E124" s="35" t="s">
        <v>24</v>
      </c>
      <c r="F124" s="77">
        <v>44338</v>
      </c>
      <c r="G124" s="35" t="s">
        <v>12</v>
      </c>
      <c r="H124" s="78">
        <v>88050</v>
      </c>
      <c r="I124" s="35" t="s">
        <v>207</v>
      </c>
      <c r="J124" s="79">
        <f ca="1">(TODAY()-staff[[#This Row],[Date Joined]])/365</f>
        <v>2.0739726027397261</v>
      </c>
      <c r="K124" s="80">
        <f ca="1">IF(staff[[#This Row],[Tenure]]&gt;2,3%,2%)*staff[[#This Row],[Salary]]</f>
        <v>2739.2999999999997</v>
      </c>
    </row>
    <row r="125" spans="2:11" x14ac:dyDescent="0.25">
      <c r="B125" s="32" t="s">
        <v>112</v>
      </c>
      <c r="C125" s="33" t="s">
        <v>206</v>
      </c>
      <c r="D125" s="33">
        <v>27</v>
      </c>
      <c r="E125" s="33" t="s">
        <v>13</v>
      </c>
      <c r="F125" s="73">
        <v>44212</v>
      </c>
      <c r="G125" s="33" t="s">
        <v>12</v>
      </c>
      <c r="H125" s="74">
        <v>90700</v>
      </c>
      <c r="I125" s="33" t="s">
        <v>205</v>
      </c>
      <c r="J125" s="75">
        <f ca="1">(TODAY()-staff[[#This Row],[Date Joined]])/365</f>
        <v>1.9068493150684931</v>
      </c>
      <c r="K125" s="76">
        <f ca="1">IF(staff[[#This Row],[Tenure]]&gt;2,3%,2%)*staff[[#This Row],[Salary]]</f>
        <v>1826.2</v>
      </c>
    </row>
    <row r="126" spans="2:11" x14ac:dyDescent="0.25">
      <c r="B126" s="34" t="s">
        <v>11</v>
      </c>
      <c r="C126" s="35" t="s">
        <v>206</v>
      </c>
      <c r="D126" s="35">
        <v>26</v>
      </c>
      <c r="E126" s="35" t="s">
        <v>13</v>
      </c>
      <c r="F126" s="77">
        <v>44271</v>
      </c>
      <c r="G126" s="35" t="s">
        <v>12</v>
      </c>
      <c r="H126" s="78">
        <v>90700</v>
      </c>
      <c r="I126" s="35" t="s">
        <v>207</v>
      </c>
      <c r="J126" s="79">
        <f ca="1">(TODAY()-staff[[#This Row],[Date Joined]])/365</f>
        <v>3.5506849315068494</v>
      </c>
      <c r="K126" s="80">
        <f ca="1">IF(staff[[#This Row],[Tenure]]&gt;2,3%,2%)*staff[[#This Row],[Salary]]</f>
        <v>2749.5</v>
      </c>
    </row>
    <row r="127" spans="2:11" x14ac:dyDescent="0.25">
      <c r="B127" s="81" t="s">
        <v>145</v>
      </c>
      <c r="C127" s="82" t="s">
        <v>206</v>
      </c>
      <c r="D127" s="82">
        <v>32</v>
      </c>
      <c r="E127" s="82" t="s">
        <v>16</v>
      </c>
      <c r="F127" s="73">
        <v>44713</v>
      </c>
      <c r="G127" s="82" t="s">
        <v>12</v>
      </c>
      <c r="H127" s="74">
        <v>91310</v>
      </c>
      <c r="I127" s="82" t="s">
        <v>205</v>
      </c>
      <c r="J127" s="75">
        <f ca="1">(TODAY()-staff[[#This Row],[Date Joined]])/365</f>
        <v>3.3808219178082193</v>
      </c>
      <c r="K127" s="76">
        <f ca="1">IF(staff[[#This Row],[Tenure]]&gt;2,3%,2%)*staff[[#This Row],[Salary]]</f>
        <v>2749.5</v>
      </c>
    </row>
    <row r="128" spans="2:11" x14ac:dyDescent="0.25">
      <c r="B128" s="34" t="s">
        <v>52</v>
      </c>
      <c r="C128" s="35" t="s">
        <v>206</v>
      </c>
      <c r="D128" s="35">
        <v>32</v>
      </c>
      <c r="E128" s="35" t="s">
        <v>16</v>
      </c>
      <c r="F128" s="77">
        <v>44774</v>
      </c>
      <c r="G128" s="35" t="s">
        <v>12</v>
      </c>
      <c r="H128" s="78">
        <v>91310</v>
      </c>
      <c r="I128" s="35" t="s">
        <v>207</v>
      </c>
      <c r="J128" s="79">
        <f ca="1">(TODAY()-staff[[#This Row],[Date Joined]])/365</f>
        <v>2.978082191780822</v>
      </c>
      <c r="K128" s="80">
        <f ca="1">IF(staff[[#This Row],[Tenure]]&gt;2,3%,2%)*staff[[#This Row],[Salary]]</f>
        <v>2773.5</v>
      </c>
    </row>
    <row r="129" spans="2:11" x14ac:dyDescent="0.25">
      <c r="B129" s="32" t="s">
        <v>160</v>
      </c>
      <c r="C129" s="33" t="s">
        <v>15</v>
      </c>
      <c r="D129" s="33">
        <v>27</v>
      </c>
      <c r="E129" s="33" t="s">
        <v>13</v>
      </c>
      <c r="F129" s="73">
        <v>44174</v>
      </c>
      <c r="G129" s="33" t="s">
        <v>21</v>
      </c>
      <c r="H129" s="74">
        <v>91650</v>
      </c>
      <c r="I129" s="33" t="s">
        <v>205</v>
      </c>
      <c r="J129" s="75">
        <f ca="1">(TODAY()-staff[[#This Row],[Date Joined]])/365</f>
        <v>2.8082191780821919</v>
      </c>
      <c r="K129" s="76">
        <f ca="1">IF(staff[[#This Row],[Tenure]]&gt;2,3%,2%)*staff[[#This Row],[Salary]]</f>
        <v>2773.5</v>
      </c>
    </row>
    <row r="130" spans="2:11" x14ac:dyDescent="0.25">
      <c r="B130" s="34" t="s">
        <v>68</v>
      </c>
      <c r="C130" s="35" t="s">
        <v>15</v>
      </c>
      <c r="D130" s="35">
        <v>27</v>
      </c>
      <c r="E130" s="35" t="s">
        <v>13</v>
      </c>
      <c r="F130" s="77">
        <v>44236</v>
      </c>
      <c r="G130" s="35" t="s">
        <v>21</v>
      </c>
      <c r="H130" s="78">
        <v>91650</v>
      </c>
      <c r="I130" s="35" t="s">
        <v>207</v>
      </c>
      <c r="J130" s="79">
        <f ca="1">(TODAY()-staff[[#This Row],[Date Joined]])/365</f>
        <v>3.6328767123287671</v>
      </c>
      <c r="K130" s="80">
        <f ca="1">IF(staff[[#This Row],[Tenure]]&gt;2,3%,2%)*staff[[#This Row],[Salary]]</f>
        <v>2781</v>
      </c>
    </row>
    <row r="131" spans="2:11" x14ac:dyDescent="0.25">
      <c r="B131" s="32" t="s">
        <v>195</v>
      </c>
      <c r="C131" s="33" t="s">
        <v>8</v>
      </c>
      <c r="D131" s="33">
        <v>34</v>
      </c>
      <c r="E131" s="33" t="s">
        <v>16</v>
      </c>
      <c r="F131" s="73">
        <v>44383</v>
      </c>
      <c r="G131" s="33" t="s">
        <v>21</v>
      </c>
      <c r="H131" s="74">
        <v>92450</v>
      </c>
      <c r="I131" s="33" t="s">
        <v>205</v>
      </c>
      <c r="J131" s="75">
        <f ca="1">(TODAY()-staff[[#This Row],[Date Joined]])/365</f>
        <v>3.4657534246575343</v>
      </c>
      <c r="K131" s="76">
        <f ca="1">IF(staff[[#This Row],[Tenure]]&gt;2,3%,2%)*staff[[#This Row],[Salary]]</f>
        <v>2781</v>
      </c>
    </row>
    <row r="132" spans="2:11" x14ac:dyDescent="0.25">
      <c r="B132" s="34" t="s">
        <v>102</v>
      </c>
      <c r="C132" s="35" t="s">
        <v>8</v>
      </c>
      <c r="D132" s="35">
        <v>34</v>
      </c>
      <c r="E132" s="35" t="s">
        <v>16</v>
      </c>
      <c r="F132" s="77">
        <v>44445</v>
      </c>
      <c r="G132" s="35" t="s">
        <v>21</v>
      </c>
      <c r="H132" s="78">
        <v>92450</v>
      </c>
      <c r="I132" s="35" t="s">
        <v>207</v>
      </c>
      <c r="J132" s="79">
        <f ca="1">(TODAY()-staff[[#This Row],[Date Joined]])/365</f>
        <v>3.6739726027397261</v>
      </c>
      <c r="K132" s="80">
        <f ca="1">IF(staff[[#This Row],[Tenure]]&gt;2,3%,2%)*staff[[#This Row],[Salary]]</f>
        <v>2884.2</v>
      </c>
    </row>
    <row r="133" spans="2:11" x14ac:dyDescent="0.25">
      <c r="B133" s="81" t="s">
        <v>169</v>
      </c>
      <c r="C133" s="82" t="s">
        <v>8</v>
      </c>
      <c r="D133" s="82">
        <v>25</v>
      </c>
      <c r="E133" s="82" t="s">
        <v>16</v>
      </c>
      <c r="F133" s="73">
        <v>44144</v>
      </c>
      <c r="G133" s="82" t="s">
        <v>19</v>
      </c>
      <c r="H133" s="74">
        <v>92700</v>
      </c>
      <c r="I133" s="82" t="s">
        <v>205</v>
      </c>
      <c r="J133" s="75">
        <f ca="1">(TODAY()-staff[[#This Row],[Date Joined]])/365</f>
        <v>3.506849315068493</v>
      </c>
      <c r="K133" s="76">
        <f ca="1">IF(staff[[#This Row],[Tenure]]&gt;2,3%,2%)*staff[[#This Row],[Salary]]</f>
        <v>2884.2</v>
      </c>
    </row>
    <row r="134" spans="2:11" x14ac:dyDescent="0.25">
      <c r="B134" s="34" t="s">
        <v>77</v>
      </c>
      <c r="C134" s="35" t="s">
        <v>8</v>
      </c>
      <c r="D134" s="35">
        <v>25</v>
      </c>
      <c r="E134" s="35" t="s">
        <v>16</v>
      </c>
      <c r="F134" s="77">
        <v>44205</v>
      </c>
      <c r="G134" s="35" t="s">
        <v>19</v>
      </c>
      <c r="H134" s="78">
        <v>92700</v>
      </c>
      <c r="I134" s="35" t="s">
        <v>207</v>
      </c>
      <c r="J134" s="79">
        <f ca="1">(TODAY()-staff[[#This Row],[Date Joined]])/365</f>
        <v>2.536986301369863</v>
      </c>
      <c r="K134" s="80">
        <f ca="1">IF(staff[[#This Row],[Tenure]]&gt;2,3%,2%)*staff[[#This Row],[Salary]]</f>
        <v>2904</v>
      </c>
    </row>
    <row r="135" spans="2:11" x14ac:dyDescent="0.25">
      <c r="B135" s="32" t="s">
        <v>163</v>
      </c>
      <c r="C135" s="33" t="s">
        <v>8</v>
      </c>
      <c r="D135" s="33">
        <v>33</v>
      </c>
      <c r="E135" s="33" t="s">
        <v>16</v>
      </c>
      <c r="F135" s="73">
        <v>44129</v>
      </c>
      <c r="G135" s="33" t="s">
        <v>12</v>
      </c>
      <c r="H135" s="74">
        <v>96140</v>
      </c>
      <c r="I135" s="33" t="s">
        <v>205</v>
      </c>
      <c r="J135" s="75">
        <f ca="1">(TODAY()-staff[[#This Row],[Date Joined]])/365</f>
        <v>2.3671232876712329</v>
      </c>
      <c r="K135" s="76">
        <f ca="1">IF(staff[[#This Row],[Tenure]]&gt;2,3%,2%)*staff[[#This Row],[Salary]]</f>
        <v>2904</v>
      </c>
    </row>
    <row r="136" spans="2:11" x14ac:dyDescent="0.25">
      <c r="B136" s="34" t="s">
        <v>71</v>
      </c>
      <c r="C136" s="35" t="s">
        <v>8</v>
      </c>
      <c r="D136" s="35">
        <v>33</v>
      </c>
      <c r="E136" s="35" t="s">
        <v>16</v>
      </c>
      <c r="F136" s="77">
        <v>44190</v>
      </c>
      <c r="G136" s="35" t="s">
        <v>12</v>
      </c>
      <c r="H136" s="78">
        <v>96140</v>
      </c>
      <c r="I136" s="35" t="s">
        <v>207</v>
      </c>
      <c r="J136" s="79">
        <f ca="1">(TODAY()-staff[[#This Row],[Date Joined]])/365</f>
        <v>3.4684931506849317</v>
      </c>
      <c r="K136" s="80">
        <f ca="1">IF(staff[[#This Row],[Tenure]]&gt;2,3%,2%)*staff[[#This Row],[Salary]]</f>
        <v>2992.5</v>
      </c>
    </row>
    <row r="137" spans="2:11" x14ac:dyDescent="0.25">
      <c r="B137" s="81" t="s">
        <v>177</v>
      </c>
      <c r="C137" s="82" t="s">
        <v>15</v>
      </c>
      <c r="D137" s="82">
        <v>30</v>
      </c>
      <c r="E137" s="82" t="s">
        <v>16</v>
      </c>
      <c r="F137" s="73">
        <v>44544</v>
      </c>
      <c r="G137" s="82" t="s">
        <v>21</v>
      </c>
      <c r="H137" s="74">
        <v>96800</v>
      </c>
      <c r="I137" s="82" t="s">
        <v>205</v>
      </c>
      <c r="J137" s="75">
        <f ca="1">(TODAY()-staff[[#This Row],[Date Joined]])/365</f>
        <v>3.3068493150684932</v>
      </c>
      <c r="K137" s="76">
        <f ca="1">IF(staff[[#This Row],[Tenure]]&gt;2,3%,2%)*staff[[#This Row],[Salary]]</f>
        <v>2992.5</v>
      </c>
    </row>
    <row r="138" spans="2:11" x14ac:dyDescent="0.25">
      <c r="B138" s="34" t="s">
        <v>85</v>
      </c>
      <c r="C138" s="35" t="s">
        <v>15</v>
      </c>
      <c r="D138" s="35">
        <v>30</v>
      </c>
      <c r="E138" s="35" t="s">
        <v>16</v>
      </c>
      <c r="F138" s="77">
        <v>44606</v>
      </c>
      <c r="G138" s="35" t="s">
        <v>21</v>
      </c>
      <c r="H138" s="78">
        <v>96800</v>
      </c>
      <c r="I138" s="35" t="s">
        <v>207</v>
      </c>
      <c r="J138" s="79">
        <f ca="1">(TODAY()-staff[[#This Row],[Date Joined]])/365</f>
        <v>2.463013698630137</v>
      </c>
      <c r="K138" s="80">
        <f ca="1">IF(staff[[#This Row],[Tenure]]&gt;2,3%,2%)*staff[[#This Row],[Salary]]</f>
        <v>2999.1</v>
      </c>
    </row>
    <row r="139" spans="2:11" x14ac:dyDescent="0.25">
      <c r="B139" s="32" t="s">
        <v>198</v>
      </c>
      <c r="C139" s="33" t="s">
        <v>15</v>
      </c>
      <c r="D139" s="33">
        <v>40</v>
      </c>
      <c r="E139" s="33" t="s">
        <v>16</v>
      </c>
      <c r="F139" s="73">
        <v>44204</v>
      </c>
      <c r="G139" s="33" t="s">
        <v>9</v>
      </c>
      <c r="H139" s="74">
        <v>99750</v>
      </c>
      <c r="I139" s="33" t="s">
        <v>205</v>
      </c>
      <c r="J139" s="75">
        <f ca="1">(TODAY()-staff[[#This Row],[Date Joined]])/365</f>
        <v>2.3013698630136985</v>
      </c>
      <c r="K139" s="76">
        <f ca="1">IF(staff[[#This Row],[Tenure]]&gt;2,3%,2%)*staff[[#This Row],[Salary]]</f>
        <v>2999.1</v>
      </c>
    </row>
    <row r="140" spans="2:11" x14ac:dyDescent="0.25">
      <c r="B140" s="34" t="s">
        <v>105</v>
      </c>
      <c r="C140" s="35" t="s">
        <v>15</v>
      </c>
      <c r="D140" s="35">
        <v>40</v>
      </c>
      <c r="E140" s="35" t="s">
        <v>16</v>
      </c>
      <c r="F140" s="77">
        <v>44263</v>
      </c>
      <c r="G140" s="35" t="s">
        <v>9</v>
      </c>
      <c r="H140" s="78">
        <v>99750</v>
      </c>
      <c r="I140" s="35" t="s">
        <v>207</v>
      </c>
      <c r="J140" s="79">
        <f ca="1">(TODAY()-staff[[#This Row],[Date Joined]])/365</f>
        <v>2.3150684931506849</v>
      </c>
      <c r="K140" s="80">
        <f ca="1">IF(staff[[#This Row],[Tenure]]&gt;2,3%,2%)*staff[[#This Row],[Salary]]</f>
        <v>3012.6</v>
      </c>
    </row>
    <row r="141" spans="2:11" x14ac:dyDescent="0.25">
      <c r="B141" s="32" t="s">
        <v>200</v>
      </c>
      <c r="C141" s="33" t="s">
        <v>8</v>
      </c>
      <c r="D141" s="33">
        <v>28</v>
      </c>
      <c r="E141" s="33" t="s">
        <v>16</v>
      </c>
      <c r="F141" s="73">
        <v>44571</v>
      </c>
      <c r="G141" s="33" t="s">
        <v>9</v>
      </c>
      <c r="H141" s="74">
        <v>99970</v>
      </c>
      <c r="I141" s="33" t="s">
        <v>205</v>
      </c>
      <c r="J141" s="75">
        <f ca="1">(TODAY()-staff[[#This Row],[Date Joined]])/365</f>
        <v>2.1479452054794521</v>
      </c>
      <c r="K141" s="76">
        <f ca="1">IF(staff[[#This Row],[Tenure]]&gt;2,3%,2%)*staff[[#This Row],[Salary]]</f>
        <v>3012.6</v>
      </c>
    </row>
    <row r="142" spans="2:11" x14ac:dyDescent="0.25">
      <c r="B142" s="34" t="s">
        <v>107</v>
      </c>
      <c r="C142" s="35" t="s">
        <v>8</v>
      </c>
      <c r="D142" s="35">
        <v>28</v>
      </c>
      <c r="E142" s="35" t="s">
        <v>16</v>
      </c>
      <c r="F142" s="77">
        <v>44630</v>
      </c>
      <c r="G142" s="35" t="s">
        <v>9</v>
      </c>
      <c r="H142" s="78">
        <v>99970</v>
      </c>
      <c r="I142" s="35" t="s">
        <v>207</v>
      </c>
      <c r="J142" s="79">
        <f ca="1">(TODAY()-staff[[#This Row],[Date Joined]])/365</f>
        <v>2.2109589041095892</v>
      </c>
      <c r="K142" s="80">
        <f ca="1">IF(staff[[#This Row],[Tenure]]&gt;2,3%,2%)*staff[[#This Row],[Salary]]</f>
        <v>3106.5</v>
      </c>
    </row>
    <row r="143" spans="2:11" x14ac:dyDescent="0.25">
      <c r="B143" s="32" t="s">
        <v>196</v>
      </c>
      <c r="C143" s="33" t="s">
        <v>15</v>
      </c>
      <c r="D143" s="33">
        <v>24</v>
      </c>
      <c r="E143" s="33" t="s">
        <v>16</v>
      </c>
      <c r="F143" s="73">
        <v>44625</v>
      </c>
      <c r="G143" s="33" t="s">
        <v>12</v>
      </c>
      <c r="H143" s="74">
        <v>100420</v>
      </c>
      <c r="I143" s="33" t="s">
        <v>205</v>
      </c>
      <c r="J143" s="75">
        <f ca="1">(TODAY()-staff[[#This Row],[Date Joined]])/365</f>
        <v>2.043835616438356</v>
      </c>
      <c r="K143" s="76">
        <f ca="1">IF(staff[[#This Row],[Tenure]]&gt;2,3%,2%)*staff[[#This Row],[Salary]]</f>
        <v>3106.5</v>
      </c>
    </row>
    <row r="144" spans="2:11" x14ac:dyDescent="0.25">
      <c r="B144" s="34" t="s">
        <v>103</v>
      </c>
      <c r="C144" s="35" t="s">
        <v>15</v>
      </c>
      <c r="D144" s="35">
        <v>24</v>
      </c>
      <c r="E144" s="35" t="s">
        <v>16</v>
      </c>
      <c r="F144" s="77">
        <v>44686</v>
      </c>
      <c r="G144" s="35" t="s">
        <v>12</v>
      </c>
      <c r="H144" s="78">
        <v>100420</v>
      </c>
      <c r="I144" s="35" t="s">
        <v>207</v>
      </c>
      <c r="J144" s="79">
        <f ca="1">(TODAY()-staff[[#This Row],[Date Joined]])/365</f>
        <v>2.4109589041095889</v>
      </c>
      <c r="K144" s="80">
        <f ca="1">IF(staff[[#This Row],[Tenure]]&gt;2,3%,2%)*staff[[#This Row],[Salary]]</f>
        <v>3123.6</v>
      </c>
    </row>
    <row r="145" spans="2:11" x14ac:dyDescent="0.25">
      <c r="B145" s="81" t="s">
        <v>143</v>
      </c>
      <c r="C145" s="82" t="s">
        <v>15</v>
      </c>
      <c r="D145" s="82">
        <v>31</v>
      </c>
      <c r="E145" s="82" t="s">
        <v>16</v>
      </c>
      <c r="F145" s="73">
        <v>44663</v>
      </c>
      <c r="G145" s="82" t="s">
        <v>9</v>
      </c>
      <c r="H145" s="74">
        <v>103550</v>
      </c>
      <c r="I145" s="82" t="s">
        <v>205</v>
      </c>
      <c r="J145" s="75">
        <f ca="1">(TODAY()-staff[[#This Row],[Date Joined]])/365</f>
        <v>2.2493150684931509</v>
      </c>
      <c r="K145" s="76">
        <f ca="1">IF(staff[[#This Row],[Tenure]]&gt;2,3%,2%)*staff[[#This Row],[Salary]]</f>
        <v>3123.6</v>
      </c>
    </row>
    <row r="146" spans="2:11" x14ac:dyDescent="0.25">
      <c r="B146" s="34" t="s">
        <v>50</v>
      </c>
      <c r="C146" s="35" t="s">
        <v>15</v>
      </c>
      <c r="D146" s="35">
        <v>31</v>
      </c>
      <c r="E146" s="35" t="s">
        <v>16</v>
      </c>
      <c r="F146" s="77">
        <v>44724</v>
      </c>
      <c r="G146" s="35" t="s">
        <v>9</v>
      </c>
      <c r="H146" s="78">
        <v>103550</v>
      </c>
      <c r="I146" s="35" t="s">
        <v>207</v>
      </c>
      <c r="J146" s="79">
        <f ca="1">(TODAY()-staff[[#This Row],[Date Joined]])/365</f>
        <v>3.1506849315068495</v>
      </c>
      <c r="K146" s="80">
        <f ca="1">IF(staff[[#This Row],[Tenure]]&gt;2,3%,2%)*staff[[#This Row],[Salary]]</f>
        <v>3132.2999999999997</v>
      </c>
    </row>
    <row r="147" spans="2:11" x14ac:dyDescent="0.25">
      <c r="B147" s="32" t="s">
        <v>189</v>
      </c>
      <c r="C147" s="33" t="s">
        <v>8</v>
      </c>
      <c r="D147" s="33">
        <v>28</v>
      </c>
      <c r="E147" s="33" t="s">
        <v>16</v>
      </c>
      <c r="F147" s="73">
        <v>44590</v>
      </c>
      <c r="G147" s="33" t="s">
        <v>9</v>
      </c>
      <c r="H147" s="74">
        <v>104120</v>
      </c>
      <c r="I147" s="33" t="s">
        <v>205</v>
      </c>
      <c r="J147" s="75">
        <f ca="1">(TODAY()-staff[[#This Row],[Date Joined]])/365</f>
        <v>2.9835616438356163</v>
      </c>
      <c r="K147" s="76">
        <f ca="1">IF(staff[[#This Row],[Tenure]]&gt;2,3%,2%)*staff[[#This Row],[Salary]]</f>
        <v>3132.2999999999997</v>
      </c>
    </row>
    <row r="148" spans="2:11" x14ac:dyDescent="0.25">
      <c r="B148" s="34" t="s">
        <v>96</v>
      </c>
      <c r="C148" s="35" t="s">
        <v>8</v>
      </c>
      <c r="D148" s="35">
        <v>28</v>
      </c>
      <c r="E148" s="35" t="s">
        <v>16</v>
      </c>
      <c r="F148" s="77">
        <v>44649</v>
      </c>
      <c r="G148" s="35" t="s">
        <v>9</v>
      </c>
      <c r="H148" s="78">
        <v>104120</v>
      </c>
      <c r="I148" s="35" t="s">
        <v>207</v>
      </c>
      <c r="J148" s="79">
        <f ca="1">(TODAY()-staff[[#This Row],[Date Joined]])/365</f>
        <v>2.8630136986301369</v>
      </c>
      <c r="K148" s="80">
        <f ca="1">IF(staff[[#This Row],[Tenure]]&gt;2,3%,2%)*staff[[#This Row],[Salary]]</f>
        <v>3143.1</v>
      </c>
    </row>
    <row r="149" spans="2:11" x14ac:dyDescent="0.25">
      <c r="B149" s="81" t="s">
        <v>194</v>
      </c>
      <c r="C149" s="82" t="s">
        <v>8</v>
      </c>
      <c r="D149" s="82">
        <v>40</v>
      </c>
      <c r="E149" s="82" t="s">
        <v>16</v>
      </c>
      <c r="F149" s="73">
        <v>44320</v>
      </c>
      <c r="G149" s="82" t="s">
        <v>12</v>
      </c>
      <c r="H149" s="74">
        <v>104410</v>
      </c>
      <c r="I149" s="82" t="s">
        <v>205</v>
      </c>
      <c r="J149" s="75">
        <f ca="1">(TODAY()-staff[[#This Row],[Date Joined]])/365</f>
        <v>2.6958904109589041</v>
      </c>
      <c r="K149" s="76">
        <f ca="1">IF(staff[[#This Row],[Tenure]]&gt;2,3%,2%)*staff[[#This Row],[Salary]]</f>
        <v>3143.1</v>
      </c>
    </row>
    <row r="150" spans="2:11" x14ac:dyDescent="0.25">
      <c r="B150" s="34" t="s">
        <v>101</v>
      </c>
      <c r="C150" s="35" t="s">
        <v>8</v>
      </c>
      <c r="D150" s="35">
        <v>40</v>
      </c>
      <c r="E150" s="35" t="s">
        <v>16</v>
      </c>
      <c r="F150" s="77">
        <v>44381</v>
      </c>
      <c r="G150" s="35" t="s">
        <v>12</v>
      </c>
      <c r="H150" s="78">
        <v>104410</v>
      </c>
      <c r="I150" s="35" t="s">
        <v>207</v>
      </c>
      <c r="J150" s="79">
        <f ca="1">(TODAY()-staff[[#This Row],[Date Joined]])/365</f>
        <v>2.9917808219178084</v>
      </c>
      <c r="K150" s="80">
        <f ca="1">IF(staff[[#This Row],[Tenure]]&gt;2,3%,2%)*staff[[#This Row],[Salary]]</f>
        <v>3193.7999999999997</v>
      </c>
    </row>
    <row r="151" spans="2:11" x14ac:dyDescent="0.25">
      <c r="B151" s="32" t="s">
        <v>136</v>
      </c>
      <c r="C151" s="33" t="s">
        <v>8</v>
      </c>
      <c r="D151" s="33">
        <v>28</v>
      </c>
      <c r="E151" s="33" t="s">
        <v>16</v>
      </c>
      <c r="F151" s="73">
        <v>44425</v>
      </c>
      <c r="G151" s="33" t="s">
        <v>9</v>
      </c>
      <c r="H151" s="74">
        <v>104770</v>
      </c>
      <c r="I151" s="33" t="s">
        <v>205</v>
      </c>
      <c r="J151" s="75">
        <f ca="1">(TODAY()-staff[[#This Row],[Date Joined]])/365</f>
        <v>2.8219178082191783</v>
      </c>
      <c r="K151" s="76">
        <f ca="1">IF(staff[[#This Row],[Tenure]]&gt;2,3%,2%)*staff[[#This Row],[Salary]]</f>
        <v>3193.7999999999997</v>
      </c>
    </row>
    <row r="152" spans="2:11" x14ac:dyDescent="0.25">
      <c r="B152" s="34" t="s">
        <v>43</v>
      </c>
      <c r="C152" s="35" t="s">
        <v>8</v>
      </c>
      <c r="D152" s="35">
        <v>28</v>
      </c>
      <c r="E152" s="35" t="s">
        <v>16</v>
      </c>
      <c r="F152" s="77">
        <v>44486</v>
      </c>
      <c r="G152" s="35" t="s">
        <v>9</v>
      </c>
      <c r="H152" s="78">
        <v>104770</v>
      </c>
      <c r="I152" s="35" t="s">
        <v>207</v>
      </c>
      <c r="J152" s="79">
        <f ca="1">(TODAY()-staff[[#This Row],[Date Joined]])/365</f>
        <v>2.9397260273972603</v>
      </c>
      <c r="K152" s="80">
        <f ca="1">IF(staff[[#This Row],[Tenure]]&gt;2,3%,2%)*staff[[#This Row],[Salary]]</f>
        <v>3231</v>
      </c>
    </row>
    <row r="153" spans="2:11" x14ac:dyDescent="0.25">
      <c r="B153" s="32" t="s">
        <v>161</v>
      </c>
      <c r="C153" s="33" t="s">
        <v>15</v>
      </c>
      <c r="D153" s="33">
        <v>23</v>
      </c>
      <c r="E153" s="33" t="s">
        <v>16</v>
      </c>
      <c r="F153" s="73">
        <v>44378</v>
      </c>
      <c r="G153" s="33" t="s">
        <v>9</v>
      </c>
      <c r="H153" s="74">
        <v>106460</v>
      </c>
      <c r="I153" s="33" t="s">
        <v>205</v>
      </c>
      <c r="J153" s="75">
        <f ca="1">(TODAY()-staff[[#This Row],[Date Joined]])/365</f>
        <v>2.7698630136986302</v>
      </c>
      <c r="K153" s="76">
        <f ca="1">IF(staff[[#This Row],[Tenure]]&gt;2,3%,2%)*staff[[#This Row],[Salary]]</f>
        <v>3231</v>
      </c>
    </row>
    <row r="154" spans="2:11" x14ac:dyDescent="0.25">
      <c r="B154" s="34" t="s">
        <v>69</v>
      </c>
      <c r="C154" s="35" t="s">
        <v>15</v>
      </c>
      <c r="D154" s="35">
        <v>23</v>
      </c>
      <c r="E154" s="35" t="s">
        <v>16</v>
      </c>
      <c r="F154" s="77">
        <v>44440</v>
      </c>
      <c r="G154" s="35" t="s">
        <v>9</v>
      </c>
      <c r="H154" s="78">
        <v>106460</v>
      </c>
      <c r="I154" s="35" t="s">
        <v>207</v>
      </c>
      <c r="J154" s="79">
        <f ca="1">(TODAY()-staff[[#This Row],[Date Joined]])/365</f>
        <v>3.1616438356164385</v>
      </c>
      <c r="K154" s="80">
        <f ca="1">IF(staff[[#This Row],[Tenure]]&gt;2,3%,2%)*staff[[#This Row],[Salary]]</f>
        <v>3274.7999999999997</v>
      </c>
    </row>
    <row r="155" spans="2:11" x14ac:dyDescent="0.25">
      <c r="B155" s="32" t="s">
        <v>117</v>
      </c>
      <c r="C155" s="33" t="s">
        <v>15</v>
      </c>
      <c r="D155" s="33">
        <v>20</v>
      </c>
      <c r="E155" s="33" t="s">
        <v>16</v>
      </c>
      <c r="F155" s="73">
        <v>44397</v>
      </c>
      <c r="G155" s="33" t="s">
        <v>12</v>
      </c>
      <c r="H155" s="74">
        <v>107700</v>
      </c>
      <c r="I155" s="33" t="s">
        <v>205</v>
      </c>
      <c r="J155" s="75">
        <f ca="1">(TODAY()-staff[[#This Row],[Date Joined]])/365</f>
        <v>2.9945205479452053</v>
      </c>
      <c r="K155" s="76">
        <f ca="1">IF(staff[[#This Row],[Tenure]]&gt;2,3%,2%)*staff[[#This Row],[Salary]]</f>
        <v>3274.7999999999997</v>
      </c>
    </row>
    <row r="156" spans="2:11" x14ac:dyDescent="0.25">
      <c r="B156" s="34" t="s">
        <v>22</v>
      </c>
      <c r="C156" s="35" t="s">
        <v>15</v>
      </c>
      <c r="D156" s="35">
        <v>20</v>
      </c>
      <c r="E156" s="35" t="s">
        <v>16</v>
      </c>
      <c r="F156" s="77">
        <v>44459</v>
      </c>
      <c r="G156" s="35" t="s">
        <v>12</v>
      </c>
      <c r="H156" s="78">
        <v>107700</v>
      </c>
      <c r="I156" s="35" t="s">
        <v>207</v>
      </c>
      <c r="J156" s="79">
        <f ca="1">(TODAY()-staff[[#This Row],[Date Joined]])/365</f>
        <v>2.2054794520547945</v>
      </c>
      <c r="K156" s="80">
        <f ca="1">IF(staff[[#This Row],[Tenure]]&gt;2,3%,2%)*staff[[#This Row],[Salary]]</f>
        <v>3275.7</v>
      </c>
    </row>
    <row r="157" spans="2:11" x14ac:dyDescent="0.25">
      <c r="B157" s="32" t="s">
        <v>127</v>
      </c>
      <c r="C157" s="33" t="s">
        <v>8</v>
      </c>
      <c r="D157" s="33">
        <v>38</v>
      </c>
      <c r="E157" s="33" t="s">
        <v>10</v>
      </c>
      <c r="F157" s="73">
        <v>44316</v>
      </c>
      <c r="G157" s="33" t="s">
        <v>19</v>
      </c>
      <c r="H157" s="74">
        <v>109160</v>
      </c>
      <c r="I157" s="33" t="s">
        <v>205</v>
      </c>
      <c r="J157" s="75">
        <f ca="1">(TODAY()-staff[[#This Row],[Date Joined]])/365</f>
        <v>2.0383561643835617</v>
      </c>
      <c r="K157" s="76">
        <f ca="1">IF(staff[[#This Row],[Tenure]]&gt;2,3%,2%)*staff[[#This Row],[Salary]]</f>
        <v>3275.7</v>
      </c>
    </row>
    <row r="158" spans="2:11" x14ac:dyDescent="0.25">
      <c r="B158" s="34" t="s">
        <v>33</v>
      </c>
      <c r="C158" s="35" t="s">
        <v>8</v>
      </c>
      <c r="D158" s="35">
        <v>38</v>
      </c>
      <c r="E158" s="35" t="s">
        <v>10</v>
      </c>
      <c r="F158" s="77">
        <v>44377</v>
      </c>
      <c r="G158" s="35" t="s">
        <v>19</v>
      </c>
      <c r="H158" s="78">
        <v>109160</v>
      </c>
      <c r="I158" s="35" t="s">
        <v>207</v>
      </c>
      <c r="J158" s="79">
        <f ca="1">(TODAY()-staff[[#This Row],[Date Joined]])/365</f>
        <v>3.7013698630136984</v>
      </c>
      <c r="K158" s="80">
        <f ca="1">IF(staff[[#This Row],[Tenure]]&gt;2,3%,2%)*staff[[#This Row],[Salary]]</f>
        <v>3363.2999999999997</v>
      </c>
    </row>
    <row r="159" spans="2:11" x14ac:dyDescent="0.25">
      <c r="B159" s="81" t="s">
        <v>128</v>
      </c>
      <c r="C159" s="82" t="s">
        <v>15</v>
      </c>
      <c r="D159" s="82">
        <v>25</v>
      </c>
      <c r="E159" s="82" t="s">
        <v>13</v>
      </c>
      <c r="F159" s="73">
        <v>44665</v>
      </c>
      <c r="G159" s="82" t="s">
        <v>9</v>
      </c>
      <c r="H159" s="74">
        <v>109190</v>
      </c>
      <c r="I159" s="82" t="s">
        <v>205</v>
      </c>
      <c r="J159" s="75">
        <f ca="1">(TODAY()-staff[[#This Row],[Date Joined]])/365</f>
        <v>3.5342465753424657</v>
      </c>
      <c r="K159" s="76">
        <f ca="1">IF(staff[[#This Row],[Tenure]]&gt;2,3%,2%)*staff[[#This Row],[Salary]]</f>
        <v>3363.2999999999997</v>
      </c>
    </row>
    <row r="160" spans="2:11" x14ac:dyDescent="0.25">
      <c r="B160" s="34" t="s">
        <v>34</v>
      </c>
      <c r="C160" s="35" t="s">
        <v>15</v>
      </c>
      <c r="D160" s="35">
        <v>25</v>
      </c>
      <c r="E160" s="35" t="s">
        <v>13</v>
      </c>
      <c r="F160" s="77">
        <v>44726</v>
      </c>
      <c r="G160" s="35" t="s">
        <v>9</v>
      </c>
      <c r="H160" s="78">
        <v>109190</v>
      </c>
      <c r="I160" s="35" t="s">
        <v>207</v>
      </c>
      <c r="J160" s="79">
        <f ca="1">(TODAY()-staff[[#This Row],[Date Joined]])/365</f>
        <v>1.8356164383561644</v>
      </c>
      <c r="K160" s="80">
        <f ca="1">IF(staff[[#This Row],[Tenure]]&gt;2,3%,2%)*staff[[#This Row],[Salary]]</f>
        <v>2251.4</v>
      </c>
    </row>
    <row r="161" spans="2:11" x14ac:dyDescent="0.25">
      <c r="B161" s="32" t="s">
        <v>180</v>
      </c>
      <c r="C161" s="33" t="s">
        <v>15</v>
      </c>
      <c r="D161" s="33">
        <v>29</v>
      </c>
      <c r="E161" s="33" t="s">
        <v>24</v>
      </c>
      <c r="F161" s="73">
        <v>44119</v>
      </c>
      <c r="G161" s="33" t="s">
        <v>12</v>
      </c>
      <c r="H161" s="74">
        <v>112110</v>
      </c>
      <c r="I161" s="33" t="s">
        <v>205</v>
      </c>
      <c r="J161" s="75">
        <f ca="1">(TODAY()-staff[[#This Row],[Date Joined]])/365</f>
        <v>1.6684931506849314</v>
      </c>
      <c r="K161" s="76">
        <f ca="1">IF(staff[[#This Row],[Tenure]]&gt;2,3%,2%)*staff[[#This Row],[Salary]]</f>
        <v>2251.4</v>
      </c>
    </row>
    <row r="162" spans="2:11" x14ac:dyDescent="0.25">
      <c r="B162" s="34" t="s">
        <v>87</v>
      </c>
      <c r="C162" s="35" t="s">
        <v>15</v>
      </c>
      <c r="D162" s="35">
        <v>29</v>
      </c>
      <c r="E162" s="35" t="s">
        <v>24</v>
      </c>
      <c r="F162" s="77">
        <v>44180</v>
      </c>
      <c r="G162" s="35" t="s">
        <v>12</v>
      </c>
      <c r="H162" s="78">
        <v>112110</v>
      </c>
      <c r="I162" s="35" t="s">
        <v>207</v>
      </c>
      <c r="J162" s="79">
        <f ca="1">(TODAY()-staff[[#This Row],[Date Joined]])/365</f>
        <v>3.6931506849315068</v>
      </c>
      <c r="K162" s="80">
        <f ca="1">IF(staff[[#This Row],[Tenure]]&gt;2,3%,2%)*staff[[#This Row],[Salary]]</f>
        <v>3379.5</v>
      </c>
    </row>
    <row r="163" spans="2:11" x14ac:dyDescent="0.25">
      <c r="B163" s="32" t="s">
        <v>173</v>
      </c>
      <c r="C163" s="33" t="s">
        <v>8</v>
      </c>
      <c r="D163" s="33">
        <v>30</v>
      </c>
      <c r="E163" s="33" t="s">
        <v>16</v>
      </c>
      <c r="F163" s="73">
        <v>44800</v>
      </c>
      <c r="G163" s="33" t="s">
        <v>9</v>
      </c>
      <c r="H163" s="74">
        <v>112570</v>
      </c>
      <c r="I163" s="33" t="s">
        <v>205</v>
      </c>
      <c r="J163" s="75">
        <f ca="1">(TODAY()-staff[[#This Row],[Date Joined]])/365</f>
        <v>2.2684931506849315</v>
      </c>
      <c r="K163" s="76">
        <f ca="1">IF(staff[[#This Row],[Tenure]]&gt;2,3%,2%)*staff[[#This Row],[Salary]]</f>
        <v>3379.5</v>
      </c>
    </row>
    <row r="164" spans="2:11" x14ac:dyDescent="0.25">
      <c r="B164" s="34" t="s">
        <v>81</v>
      </c>
      <c r="C164" s="35" t="s">
        <v>8</v>
      </c>
      <c r="D164" s="35">
        <v>30</v>
      </c>
      <c r="E164" s="35" t="s">
        <v>16</v>
      </c>
      <c r="F164" s="77">
        <v>44861</v>
      </c>
      <c r="G164" s="35" t="s">
        <v>9</v>
      </c>
      <c r="H164" s="78">
        <v>112570</v>
      </c>
      <c r="I164" s="35" t="s">
        <v>207</v>
      </c>
      <c r="J164" s="79">
        <f ca="1">(TODAY()-staff[[#This Row],[Date Joined]])/365</f>
        <v>3.526027397260274</v>
      </c>
      <c r="K164" s="80">
        <f ca="1">IF(staff[[#This Row],[Tenure]]&gt;2,3%,2%)*staff[[#This Row],[Salary]]</f>
        <v>3379.5</v>
      </c>
    </row>
    <row r="165" spans="2:11" x14ac:dyDescent="0.25">
      <c r="B165" s="81" t="s">
        <v>156</v>
      </c>
      <c r="C165" s="82" t="s">
        <v>15</v>
      </c>
      <c r="D165" s="82">
        <v>20</v>
      </c>
      <c r="E165" s="82" t="s">
        <v>16</v>
      </c>
      <c r="F165" s="73">
        <v>44122</v>
      </c>
      <c r="G165" s="82" t="s">
        <v>12</v>
      </c>
      <c r="H165" s="74">
        <v>112650</v>
      </c>
      <c r="I165" s="82" t="s">
        <v>205</v>
      </c>
      <c r="J165" s="75">
        <f ca="1">(TODAY()-staff[[#This Row],[Date Joined]])/365</f>
        <v>2.9753424657534246</v>
      </c>
      <c r="K165" s="76">
        <f ca="1">IF(staff[[#This Row],[Tenure]]&gt;2,3%,2%)*staff[[#This Row],[Salary]]</f>
        <v>3383.4</v>
      </c>
    </row>
    <row r="166" spans="2:11" x14ac:dyDescent="0.25">
      <c r="B166" s="83" t="s">
        <v>178</v>
      </c>
      <c r="C166" s="84" t="s">
        <v>15</v>
      </c>
      <c r="D166" s="84">
        <v>34</v>
      </c>
      <c r="E166" s="84" t="s">
        <v>16</v>
      </c>
      <c r="F166" s="77">
        <v>44642</v>
      </c>
      <c r="G166" s="84" t="s">
        <v>9</v>
      </c>
      <c r="H166" s="78">
        <v>112650</v>
      </c>
      <c r="I166" s="84" t="s">
        <v>205</v>
      </c>
      <c r="J166" s="79">
        <f ca="1">(TODAY()-staff[[#This Row],[Date Joined]])/365</f>
        <v>2.8054794520547945</v>
      </c>
      <c r="K166" s="80">
        <f ca="1">IF(staff[[#This Row],[Tenure]]&gt;2,3%,2%)*staff[[#This Row],[Salary]]</f>
        <v>3383.4</v>
      </c>
    </row>
    <row r="167" spans="2:11" x14ac:dyDescent="0.25">
      <c r="B167" s="32" t="s">
        <v>64</v>
      </c>
      <c r="C167" s="33" t="s">
        <v>15</v>
      </c>
      <c r="D167" s="33">
        <v>20</v>
      </c>
      <c r="E167" s="33" t="s">
        <v>16</v>
      </c>
      <c r="F167" s="73">
        <v>44183</v>
      </c>
      <c r="G167" s="33" t="s">
        <v>12</v>
      </c>
      <c r="H167" s="74">
        <v>112650</v>
      </c>
      <c r="I167" s="33" t="s">
        <v>207</v>
      </c>
      <c r="J167" s="75">
        <f ca="1">(TODAY()-staff[[#This Row],[Date Joined]])/365</f>
        <v>2.5287671232876714</v>
      </c>
      <c r="K167" s="76">
        <f ca="1">IF(staff[[#This Row],[Tenure]]&gt;2,3%,2%)*staff[[#This Row],[Salary]]</f>
        <v>3398.4</v>
      </c>
    </row>
    <row r="168" spans="2:11" x14ac:dyDescent="0.25">
      <c r="B168" s="34" t="s">
        <v>150</v>
      </c>
      <c r="C168" s="35" t="s">
        <v>15</v>
      </c>
      <c r="D168" s="35">
        <v>22</v>
      </c>
      <c r="E168" s="35" t="s">
        <v>13</v>
      </c>
      <c r="F168" s="77">
        <v>44384</v>
      </c>
      <c r="G168" s="35" t="s">
        <v>19</v>
      </c>
      <c r="H168" s="78">
        <v>112780</v>
      </c>
      <c r="I168" s="35" t="s">
        <v>205</v>
      </c>
      <c r="J168" s="79">
        <f ca="1">(TODAY()-staff[[#This Row],[Date Joined]])/365</f>
        <v>2.3589041095890413</v>
      </c>
      <c r="K168" s="80">
        <f ca="1">IF(staff[[#This Row],[Tenure]]&gt;2,3%,2%)*staff[[#This Row],[Salary]]</f>
        <v>3398.4</v>
      </c>
    </row>
    <row r="169" spans="2:11" x14ac:dyDescent="0.25">
      <c r="B169" s="32" t="s">
        <v>58</v>
      </c>
      <c r="C169" s="33" t="s">
        <v>15</v>
      </c>
      <c r="D169" s="33">
        <v>22</v>
      </c>
      <c r="E169" s="33" t="s">
        <v>13</v>
      </c>
      <c r="F169" s="73">
        <v>44446</v>
      </c>
      <c r="G169" s="33" t="s">
        <v>19</v>
      </c>
      <c r="H169" s="74">
        <v>112780</v>
      </c>
      <c r="I169" s="33" t="s">
        <v>207</v>
      </c>
      <c r="J169" s="75">
        <f ca="1">(TODAY()-staff[[#This Row],[Date Joined]])/365</f>
        <v>1.8657534246575342</v>
      </c>
      <c r="K169" s="76">
        <f ca="1">IF(staff[[#This Row],[Tenure]]&gt;2,3%,2%)*staff[[#This Row],[Salary]]</f>
        <v>2283.6</v>
      </c>
    </row>
    <row r="170" spans="2:11" x14ac:dyDescent="0.25">
      <c r="B170" s="34" t="s">
        <v>191</v>
      </c>
      <c r="C170" s="35" t="s">
        <v>15</v>
      </c>
      <c r="D170" s="35">
        <v>27</v>
      </c>
      <c r="E170" s="35" t="s">
        <v>42</v>
      </c>
      <c r="F170" s="77">
        <v>44547</v>
      </c>
      <c r="G170" s="35" t="s">
        <v>9</v>
      </c>
      <c r="H170" s="78">
        <v>113280</v>
      </c>
      <c r="I170" s="35" t="s">
        <v>205</v>
      </c>
      <c r="J170" s="79">
        <f ca="1">(TODAY()-staff[[#This Row],[Date Joined]])/365</f>
        <v>1.6986301369863013</v>
      </c>
      <c r="K170" s="80">
        <f ca="1">IF(staff[[#This Row],[Tenure]]&gt;2,3%,2%)*staff[[#This Row],[Salary]]</f>
        <v>2283.6</v>
      </c>
    </row>
    <row r="171" spans="2:11" x14ac:dyDescent="0.25">
      <c r="B171" s="32" t="s">
        <v>98</v>
      </c>
      <c r="C171" s="33" t="s">
        <v>15</v>
      </c>
      <c r="D171" s="33">
        <v>27</v>
      </c>
      <c r="E171" s="33" t="s">
        <v>42</v>
      </c>
      <c r="F171" s="73">
        <v>44609</v>
      </c>
      <c r="G171" s="33" t="s">
        <v>9</v>
      </c>
      <c r="H171" s="74">
        <v>113280</v>
      </c>
      <c r="I171" s="33" t="s">
        <v>207</v>
      </c>
      <c r="J171" s="75">
        <f ca="1">(TODAY()-staff[[#This Row],[Date Joined]])/365</f>
        <v>1.3287671232876712</v>
      </c>
      <c r="K171" s="76">
        <f ca="1">IF(staff[[#This Row],[Tenure]]&gt;2,3%,2%)*staff[[#This Row],[Salary]]</f>
        <v>2297.4</v>
      </c>
    </row>
    <row r="172" spans="2:11" x14ac:dyDescent="0.25">
      <c r="B172" s="34" t="s">
        <v>147</v>
      </c>
      <c r="C172" s="35" t="s">
        <v>8</v>
      </c>
      <c r="D172" s="35">
        <v>30</v>
      </c>
      <c r="E172" s="35" t="s">
        <v>16</v>
      </c>
      <c r="F172" s="77">
        <v>44789</v>
      </c>
      <c r="G172" s="35" t="s">
        <v>9</v>
      </c>
      <c r="H172" s="78">
        <v>114180</v>
      </c>
      <c r="I172" s="35" t="s">
        <v>205</v>
      </c>
      <c r="J172" s="79">
        <f ca="1">(TODAY()-staff[[#This Row],[Date Joined]])/365</f>
        <v>1.1643835616438356</v>
      </c>
      <c r="K172" s="80">
        <f ca="1">IF(staff[[#This Row],[Tenure]]&gt;2,3%,2%)*staff[[#This Row],[Salary]]</f>
        <v>2297.4</v>
      </c>
    </row>
    <row r="173" spans="2:11" x14ac:dyDescent="0.25">
      <c r="B173" s="32" t="s">
        <v>54</v>
      </c>
      <c r="C173" s="33" t="s">
        <v>8</v>
      </c>
      <c r="D173" s="33">
        <v>30</v>
      </c>
      <c r="E173" s="33" t="s">
        <v>16</v>
      </c>
      <c r="F173" s="73">
        <v>44850</v>
      </c>
      <c r="G173" s="33" t="s">
        <v>9</v>
      </c>
      <c r="H173" s="74">
        <v>114180</v>
      </c>
      <c r="I173" s="33" t="s">
        <v>207</v>
      </c>
      <c r="J173" s="75">
        <f ca="1">(TODAY()-staff[[#This Row],[Date Joined]])/365</f>
        <v>3.9643835616438357</v>
      </c>
      <c r="K173" s="76">
        <f ca="1">IF(staff[[#This Row],[Tenure]]&gt;2,3%,2%)*staff[[#This Row],[Salary]]</f>
        <v>3446.7</v>
      </c>
    </row>
    <row r="174" spans="2:11" x14ac:dyDescent="0.25">
      <c r="B174" s="34" t="s">
        <v>114</v>
      </c>
      <c r="C174" s="35" t="s">
        <v>8</v>
      </c>
      <c r="D174" s="35">
        <v>44</v>
      </c>
      <c r="E174" s="35" t="s">
        <v>16</v>
      </c>
      <c r="F174" s="77">
        <v>44985</v>
      </c>
      <c r="G174" s="35" t="s">
        <v>12</v>
      </c>
      <c r="H174" s="78">
        <v>114870</v>
      </c>
      <c r="I174" s="35" t="s">
        <v>205</v>
      </c>
      <c r="J174" s="79">
        <f ca="1">(TODAY()-staff[[#This Row],[Date Joined]])/365</f>
        <v>3.7945205479452055</v>
      </c>
      <c r="K174" s="80">
        <f ca="1">IF(staff[[#This Row],[Tenure]]&gt;2,3%,2%)*staff[[#This Row],[Salary]]</f>
        <v>3446.7</v>
      </c>
    </row>
    <row r="175" spans="2:11" x14ac:dyDescent="0.25">
      <c r="B175" s="32" t="s">
        <v>17</v>
      </c>
      <c r="C175" s="33" t="s">
        <v>8</v>
      </c>
      <c r="D175" s="33">
        <v>43</v>
      </c>
      <c r="E175" s="33" t="s">
        <v>16</v>
      </c>
      <c r="F175" s="73">
        <v>45045</v>
      </c>
      <c r="G175" s="33" t="s">
        <v>12</v>
      </c>
      <c r="H175" s="74">
        <v>114870</v>
      </c>
      <c r="I175" s="33" t="s">
        <v>207</v>
      </c>
      <c r="J175" s="75">
        <f ca="1">(TODAY()-staff[[#This Row],[Date Joined]])/365</f>
        <v>3.7945205479452055</v>
      </c>
      <c r="K175" s="76">
        <f ca="1">IF(staff[[#This Row],[Tenure]]&gt;2,3%,2%)*staff[[#This Row],[Salary]]</f>
        <v>3463.2</v>
      </c>
    </row>
    <row r="176" spans="2:11" x14ac:dyDescent="0.25">
      <c r="B176" s="34" t="s">
        <v>175</v>
      </c>
      <c r="C176" s="35" t="s">
        <v>8</v>
      </c>
      <c r="D176" s="35">
        <v>36</v>
      </c>
      <c r="E176" s="35" t="s">
        <v>16</v>
      </c>
      <c r="F176" s="77">
        <v>44023</v>
      </c>
      <c r="G176" s="35" t="s">
        <v>9</v>
      </c>
      <c r="H176" s="78">
        <v>114890</v>
      </c>
      <c r="I176" s="35" t="s">
        <v>205</v>
      </c>
      <c r="J176" s="79">
        <f ca="1">(TODAY()-staff[[#This Row],[Date Joined]])/365</f>
        <v>3.6273972602739728</v>
      </c>
      <c r="K176" s="80">
        <f ca="1">IF(staff[[#This Row],[Tenure]]&gt;2,3%,2%)*staff[[#This Row],[Salary]]</f>
        <v>3463.2</v>
      </c>
    </row>
    <row r="177" spans="2:11" x14ac:dyDescent="0.25">
      <c r="B177" s="32" t="s">
        <v>83</v>
      </c>
      <c r="C177" s="33" t="s">
        <v>8</v>
      </c>
      <c r="D177" s="33">
        <v>36</v>
      </c>
      <c r="E177" s="33" t="s">
        <v>16</v>
      </c>
      <c r="F177" s="73">
        <v>44085</v>
      </c>
      <c r="G177" s="33" t="s">
        <v>9</v>
      </c>
      <c r="H177" s="74">
        <v>114890</v>
      </c>
      <c r="I177" s="33" t="s">
        <v>207</v>
      </c>
      <c r="J177" s="75">
        <f ca="1">(TODAY()-staff[[#This Row],[Date Joined]])/365</f>
        <v>3.7452054794520548</v>
      </c>
      <c r="K177" s="76">
        <f ca="1">IF(staff[[#This Row],[Tenure]]&gt;2,3%,2%)*staff[[#This Row],[Salary]]</f>
        <v>3477.6</v>
      </c>
    </row>
    <row r="178" spans="2:11" x14ac:dyDescent="0.25">
      <c r="B178" s="83" t="s">
        <v>142</v>
      </c>
      <c r="C178" s="84" t="s">
        <v>206</v>
      </c>
      <c r="D178" s="84">
        <v>37</v>
      </c>
      <c r="E178" s="84" t="s">
        <v>24</v>
      </c>
      <c r="F178" s="77">
        <v>44085</v>
      </c>
      <c r="G178" s="84" t="s">
        <v>21</v>
      </c>
      <c r="H178" s="78">
        <v>115440</v>
      </c>
      <c r="I178" s="84" t="s">
        <v>205</v>
      </c>
      <c r="J178" s="79">
        <f ca="1">(TODAY()-staff[[#This Row],[Date Joined]])/365</f>
        <v>3.5780821917808221</v>
      </c>
      <c r="K178" s="80">
        <f ca="1">IF(staff[[#This Row],[Tenure]]&gt;2,3%,2%)*staff[[#This Row],[Salary]]</f>
        <v>3477.6</v>
      </c>
    </row>
    <row r="179" spans="2:11" x14ac:dyDescent="0.25">
      <c r="B179" s="32" t="s">
        <v>49</v>
      </c>
      <c r="C179" s="33" t="s">
        <v>206</v>
      </c>
      <c r="D179" s="33">
        <v>37</v>
      </c>
      <c r="E179" s="33" t="s">
        <v>24</v>
      </c>
      <c r="F179" s="73">
        <v>44146</v>
      </c>
      <c r="G179" s="33" t="s">
        <v>21</v>
      </c>
      <c r="H179" s="74">
        <v>115440</v>
      </c>
      <c r="I179" s="33" t="s">
        <v>207</v>
      </c>
      <c r="J179" s="75">
        <f ca="1">(TODAY()-staff[[#This Row],[Date Joined]])/365</f>
        <v>2.9616438356164383</v>
      </c>
      <c r="K179" s="76">
        <f ca="1">IF(staff[[#This Row],[Tenure]]&gt;2,3%,2%)*staff[[#This Row],[Salary]]</f>
        <v>3543</v>
      </c>
    </row>
    <row r="180" spans="2:11" x14ac:dyDescent="0.25">
      <c r="B180" s="34" t="s">
        <v>134</v>
      </c>
      <c r="C180" s="35" t="s">
        <v>15</v>
      </c>
      <c r="D180" s="35">
        <v>33</v>
      </c>
      <c r="E180" s="35" t="s">
        <v>16</v>
      </c>
      <c r="F180" s="77">
        <v>44103</v>
      </c>
      <c r="G180" s="35" t="s">
        <v>9</v>
      </c>
      <c r="H180" s="78">
        <v>115920</v>
      </c>
      <c r="I180" s="35" t="s">
        <v>205</v>
      </c>
      <c r="J180" s="79">
        <f ca="1">(TODAY()-staff[[#This Row],[Date Joined]])/365</f>
        <v>2.7917808219178082</v>
      </c>
      <c r="K180" s="80">
        <f ca="1">IF(staff[[#This Row],[Tenure]]&gt;2,3%,2%)*staff[[#This Row],[Salary]]</f>
        <v>3543</v>
      </c>
    </row>
    <row r="181" spans="2:11" x14ac:dyDescent="0.25">
      <c r="B181" s="32" t="s">
        <v>40</v>
      </c>
      <c r="C181" s="33" t="s">
        <v>15</v>
      </c>
      <c r="D181" s="33">
        <v>33</v>
      </c>
      <c r="E181" s="33" t="s">
        <v>16</v>
      </c>
      <c r="F181" s="73">
        <v>44164</v>
      </c>
      <c r="G181" s="33" t="s">
        <v>9</v>
      </c>
      <c r="H181" s="74">
        <v>115920</v>
      </c>
      <c r="I181" s="33" t="s">
        <v>207</v>
      </c>
      <c r="J181" s="75">
        <f ca="1">(TODAY()-staff[[#This Row],[Date Joined]])/365</f>
        <v>4.1424657534246574</v>
      </c>
      <c r="K181" s="76">
        <f ca="1">IF(staff[[#This Row],[Tenure]]&gt;2,3%,2%)*staff[[#This Row],[Salary]]</f>
        <v>3565.2</v>
      </c>
    </row>
    <row r="182" spans="2:11" x14ac:dyDescent="0.25">
      <c r="B182" s="34" t="s">
        <v>148</v>
      </c>
      <c r="C182" s="35" t="s">
        <v>8</v>
      </c>
      <c r="D182" s="35">
        <v>37</v>
      </c>
      <c r="E182" s="35" t="s">
        <v>16</v>
      </c>
      <c r="F182" s="77">
        <v>44389</v>
      </c>
      <c r="G182" s="35" t="s">
        <v>56</v>
      </c>
      <c r="H182" s="78">
        <v>118100</v>
      </c>
      <c r="I182" s="35" t="s">
        <v>205</v>
      </c>
      <c r="J182" s="79">
        <f ca="1">(TODAY()-staff[[#This Row],[Date Joined]])/365</f>
        <v>3.9753424657534246</v>
      </c>
      <c r="K182" s="80">
        <f ca="1">IF(staff[[#This Row],[Tenure]]&gt;2,3%,2%)*staff[[#This Row],[Salary]]</f>
        <v>3565.2</v>
      </c>
    </row>
    <row r="183" spans="2:11" x14ac:dyDescent="0.25">
      <c r="B183" s="32" t="s">
        <v>55</v>
      </c>
      <c r="C183" s="33" t="s">
        <v>8</v>
      </c>
      <c r="D183" s="33">
        <v>37</v>
      </c>
      <c r="E183" s="33" t="s">
        <v>16</v>
      </c>
      <c r="F183" s="73">
        <v>44451</v>
      </c>
      <c r="G183" s="33" t="s">
        <v>56</v>
      </c>
      <c r="H183" s="74">
        <v>118100</v>
      </c>
      <c r="I183" s="33" t="s">
        <v>207</v>
      </c>
      <c r="J183" s="75">
        <f ca="1">(TODAY()-staff[[#This Row],[Date Joined]])/365</f>
        <v>3.8602739726027395</v>
      </c>
      <c r="K183" s="76">
        <f ca="1">IF(staff[[#This Row],[Tenure]]&gt;2,3%,2%)*staff[[#This Row],[Salary]]</f>
        <v>3573.2999999999997</v>
      </c>
    </row>
    <row r="184" spans="2:11" x14ac:dyDescent="0.25">
      <c r="B184" s="83" t="s">
        <v>199</v>
      </c>
      <c r="C184" s="84" t="s">
        <v>15</v>
      </c>
      <c r="D184" s="84">
        <v>36</v>
      </c>
      <c r="E184" s="84" t="s">
        <v>16</v>
      </c>
      <c r="F184" s="77">
        <v>43958</v>
      </c>
      <c r="G184" s="84" t="s">
        <v>12</v>
      </c>
      <c r="H184" s="78">
        <v>118840</v>
      </c>
      <c r="I184" s="84" t="s">
        <v>205</v>
      </c>
      <c r="J184" s="79">
        <f ca="1">(TODAY()-staff[[#This Row],[Date Joined]])/365</f>
        <v>3.6931506849315068</v>
      </c>
      <c r="K184" s="80">
        <f ca="1">IF(staff[[#This Row],[Tenure]]&gt;2,3%,2%)*staff[[#This Row],[Salary]]</f>
        <v>3573.2999999999997</v>
      </c>
    </row>
    <row r="185" spans="2:11" x14ac:dyDescent="0.25">
      <c r="B185" s="32" t="s">
        <v>106</v>
      </c>
      <c r="C185" s="33" t="s">
        <v>15</v>
      </c>
      <c r="D185" s="33">
        <v>36</v>
      </c>
      <c r="E185" s="33" t="s">
        <v>16</v>
      </c>
      <c r="F185" s="73">
        <v>44019</v>
      </c>
      <c r="G185" s="33" t="s">
        <v>12</v>
      </c>
      <c r="H185" s="74">
        <v>118840</v>
      </c>
      <c r="I185" s="33" t="s">
        <v>207</v>
      </c>
      <c r="J185" s="75" t="e">
        <f ca="1">(TODAY()-staff[[#This Row],[Date Joined]])/365</f>
        <v>#VALUE!</v>
      </c>
      <c r="K185" s="76" t="e">
        <f>IF(staff[[#This Row],[Tenure]]&gt;2,3%,2%)*staff[[#This Row],[Salary]]</f>
        <v>#VALUE!</v>
      </c>
    </row>
    <row r="186" spans="2:11" x14ac:dyDescent="0.25">
      <c r="B186" s="34" t="s">
        <v>152</v>
      </c>
      <c r="C186" s="35" t="s">
        <v>8</v>
      </c>
      <c r="D186" s="35">
        <v>27</v>
      </c>
      <c r="E186" s="35" t="s">
        <v>16</v>
      </c>
      <c r="F186" s="77">
        <v>44061</v>
      </c>
      <c r="G186" s="35" t="s">
        <v>56</v>
      </c>
      <c r="H186" s="78">
        <v>119110</v>
      </c>
      <c r="I186" s="35" t="s">
        <v>205</v>
      </c>
      <c r="J186" s="79" t="e">
        <f ca="1">(TODAY()-staff[[#This Row],[Date Joined]])/365</f>
        <v>#VALUE!</v>
      </c>
      <c r="K186" s="80" t="e">
        <f>IF(staff[[#This Row],[Tenure]]&gt;2,3%,2%)*staff[[#This Row],[Salary]]</f>
        <v>#VALUE!</v>
      </c>
    </row>
    <row r="187" spans="2:11" x14ac:dyDescent="0.25">
      <c r="B187" s="32" t="s">
        <v>60</v>
      </c>
      <c r="C187" s="33" t="s">
        <v>8</v>
      </c>
      <c r="D187" s="33">
        <v>27</v>
      </c>
      <c r="E187" s="33" t="s">
        <v>16</v>
      </c>
      <c r="F187" s="73">
        <v>44122</v>
      </c>
      <c r="G187" s="33" t="s">
        <v>56</v>
      </c>
      <c r="H187" s="74">
        <v>119110</v>
      </c>
      <c r="I187" s="33" t="s">
        <v>207</v>
      </c>
      <c r="J187" s="75" t="e">
        <f ca="1">(TODAY()-staff[[#This Row],[Date Joined]])/365</f>
        <v>#VALUE!</v>
      </c>
      <c r="K187" s="76" t="e">
        <f>IF(staff[[#This Row],[Tenure]]&gt;2,3%,2%)*staff[[#This Row],[Salary]]</f>
        <v>#VALUE!</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8A8D7-7957-4DA2-9CEF-215C1B863832}">
  <sheetPr>
    <tabColor theme="7" tint="0.39997558519241921"/>
  </sheetPr>
  <dimension ref="A1:K1"/>
  <sheetViews>
    <sheetView showGridLines="0" zoomScale="85" zoomScaleNormal="85" workbookViewId="0">
      <selection activeCell="C5" sqref="C5"/>
    </sheetView>
  </sheetViews>
  <sheetFormatPr defaultRowHeight="15" x14ac:dyDescent="0.25"/>
  <cols>
    <col min="1" max="1" width="2.5703125" customWidth="1"/>
  </cols>
  <sheetData>
    <row r="1" spans="1:11" s="9" customFormat="1" ht="42.75" customHeight="1" x14ac:dyDescent="0.55000000000000004">
      <c r="A1" s="10"/>
      <c r="B1" s="88" t="s">
        <v>244</v>
      </c>
      <c r="C1" s="8"/>
      <c r="D1" s="8"/>
      <c r="F1" s="8"/>
      <c r="G1" s="8"/>
      <c r="H1" s="8"/>
      <c r="K1" s="1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E A A B Q S w M E F A A C A A g A E w z a W N 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E w z 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M M 2 l h H G M c F x A E A A K s E A A A T A B w A R m 9 y b X V s Y X M v U 2 V j d G l v b j E u b S C i G A A o o B Q A A A A A A A A A A A A A A A A A A A A A A A A A A A C d U 9 F q 6 k A Q f R f 8 h 2 X 7 k k A Q C q U v v S 2 U p C 3 t g x d U b q E i Z U 1 G X b r Z l c 3 k 3 v Y G / 7 2 z i c Y 1 W i j 1 R T g 7 c 8 7 M n J M C U p R G s 3 H z f 3 7 V 7 / V 7 x U p Y y J j + / 1 q g W C z Y N V O A / R 6 j 3 9 i U N g V C 7 t 5 T U I O 4 t B Y 0 P h v 7 N j f m L Q i r 6 V D k c M 1 3 v X y 2 m c Z G I x X N o o b i j N 9 m G d H H Z Y E m 5 8 Q 1 E X M F A 0 J j o 8 p c B 4 1 I x H h s S o 3 2 g 0 c M R L p i f P j C w 3 5 P 6 p N E / u h S Z 1 L 8 f H q v / e Q C 8 U r o J c l M P t a w X 2 B i h S 4 W x u b N G u 6 x 2 O 1 S V d x R 0 y Z I M E N 4 x 0 3 E K v 4 A O g N 7 B N 8 u X e m j x s u L g e O p w Z F A q Z d H t Y l A Y E 9 G a s h 2 b x l B K P O m L Y G 1 s J j T A k e t Y 6 F E f V 5 P a R N + 2 6 f O I Z x h T e 3 O r 8 d h w v d 0 I 9 B 0 A i K s u 4 s 9 Y / O w h Y O O r j t d S 9 s m g s b 0 g 9 C l 9 r P w d Q o a 9 d j k c z p e U H m u R 2 3 4 N / 7 8 u f l L h E m 5 V j K l E 3 s r J L I g c 1 J s s 7 v 1 + 6 B 9 r U R K / X + E K s H f v s Z r N D i p E u l S q Y j / x p W L y r b e H j R G b Z Q 8 x X u p E N w J R u a f N + s Y F H 3 t D g u O p t o 6 F 0 y 9 V M 3 Y r x v m R g j D n 3 w B 3 T m c o V 9 k t u P q g c j V J 1 B L A Q I t A B Q A A g A I A B M M 2 l j e D o N g p A A A A P Y A A A A S A A A A A A A A A A A A A A A A A A A A A A B D b 2 5 m a W c v U G F j a 2 F n Z S 5 4 b W x Q S w E C L Q A U A A I A C A A T D N p Y D 8 r p q 6 Q A A A D p A A A A E w A A A A A A A A A A A A A A A A D w A A A A W 0 N v b n R l b n R f V H l w Z X N d L n h t b F B L A Q I t A B Q A A g A I A B M M 2 l h H G M c F x A E A A K s E A A A T A A A A A A A A A A A A A A A A A O E B A A B G b 3 J t d W x h c y 9 T Z W N 0 a W 9 u M S 5 t U E s F B g A A A A A D A A M A w g A A A P I 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Q W A A A A A A A A w h 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6 X 3 N 0 Y W Z 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N i 0 y N V Q x N j o 1 M j o 1 M S 4 4 N j U 1 M D g z W i I g L z 4 8 R W 5 0 c n k g V H l w Z T 0 i R m l s b F N 0 Y X R 1 c y I g V m F s d W U 9 I n N D b 2 1 w b G V 0 Z S I g L z 4 8 L 1 N 0 Y W J s Z U V u d H J p Z X M + P C 9 J d G V t P j x J d G V t P j x J d G V t T G 9 j Y X R p b 2 4 + P E l 0 Z W 1 U e X B l P k Z v c m 1 1 b G E 8 L 0 l 0 Z W 1 U e X B l P j x J d G V t U G F 0 a D 5 T Z W N 0 a W 9 u M S 9 u e l 9 z d G F m Z i 9 T b 3 V y Y 2 U 8 L 0 l 0 Z W 1 Q Y X R o P j w v S X R l b U x v Y 2 F 0 a W 9 u P j x T d G F i b G V F b n R y a W V z I C 8 + P C 9 J d G V t P j x J d G V t P j x J d G V t T G 9 j Y X R p b 2 4 + P E l 0 Z W 1 U e X B l P k Z v c m 1 1 b G E 8 L 0 l 0 Z W 1 U e X B l P j x J d G V t U G F 0 a D 5 T Z W N 0 a W 9 u M S 9 p b m R p Y V 9 z d G F m Z j 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Q t M D Y t M j V U M T Y 6 N T I 6 N T I u M z U x N T M 3 N 1 o i I C 8 + P E V u d H J 5 I F R 5 c G U 9 I k Z p b G x F c n J v c k N v Z G U i I F Z h b H V l P S J z V W 5 r b m 9 3 b i I g L z 4 8 R W 5 0 c n k g V H l w Z T 0 i Q W R k Z W R U b 0 R h d G F N b 2 R l b C 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w v U 3 R h Y m x l R W 5 0 c m l l c z 4 8 L 0 l 0 Z W 0 + P E l 0 Z W 0 + P E l 0 Z W 1 M b 2 N h d G l v b j 4 8 S X R l b V R 5 c G U + R m 9 y b X V s Y T w v S X R l b V R 5 c G U + P E l 0 Z W 1 Q Y X R o P l N l Y 3 R p b 2 4 x L 2 l u Z G l h X 3 N 0 Y W Z m L 1 N v d X J j Z T w v S X R l b V B h d G g + P C 9 J d G V t T G 9 j Y X R p b 2 4 + P F N 0 Y W J s Z U V u d H J p Z X M g L z 4 8 L 0 l 0 Z W 0 + P E l 0 Z W 0 + P E l 0 Z W 1 M b 2 N h d G l v b j 4 8 S X R l b V R 5 c G U + R m 9 y b X V s Y T w v S X R l b V R 5 c G U + P E l 0 Z W 1 Q Y X R o P l N l Y 3 R p b 2 4 x L 2 l u Z G l h X 3 N 0 Y W Z m L 0 N o Y W 5 n Z W Q l M j B U e X B l P C 9 J d G V t U G F 0 a D 4 8 L 0 l 0 Z W 1 M b 2 N h d G l v b j 4 8 U 3 R h Y m x l R W 5 0 c m l l c y A v P j w v S X R l b T 4 8 S X R l b T 4 8 S X R l b U x v Y 2 F 0 a W 9 u P j x J d G V t V H l w Z T 5 G b 3 J t d W x h P C 9 J d G V t V H l w Z T 4 8 S X R l b V B h d G g + U 2 V j d G l v b j E v b n p f c 3 R h Z m Y v Q W R k Z W Q l M j B D d X N 0 b 2 0 8 L 0 l 0 Z W 1 Q Y X R o P j w v S X R l b U x v Y 2 F 0 a W 9 u P j x T d G F i b G V F b n R y a W V z I C 8 + P C 9 J d G V t P j x J d G V t P j x J d G V t T G 9 j Y X R p b 2 4 + P E l 0 Z W 1 U e X B l P k Z v c m 1 1 b G E 8 L 0 l 0 Z W 1 U e X B l P j x J d G V t U G F 0 a D 5 T Z W N 0 a W 9 u M S 9 p b m R p Y V 9 z d G F m Z i 9 B Z G R l Z C U y M E N 1 c 3 R v b T w v S X R l b V B h d G g + P C 9 J d G V t T G 9 j Y X R p b 2 4 + P F N 0 Y W J s Z U V u d H J p Z X M g L z 4 8 L 0 l 0 Z W 0 + P E l 0 Z W 0 + P E l 0 Z W 1 M b 2 N h d G l v b j 4 8 S X R l b V R 5 c G U + R m 9 y b X V s Y T w v S X R l b V R 5 c G U + P E l 0 Z W 1 Q Y X R o P l N l Y 3 R p b 2 4 x L 2 l u Z G l h X 3 N 0 Y W Z m L 1 J l b m F t Z W Q l M j B D b 2 x 1 b W 5 z P C 9 J d G V t U G F 0 a D 4 8 L 0 l 0 Z W 1 M b 2 N h d G l v b j 4 8 U 3 R h Y m x l R W 5 0 c m l l c y A v P j w v S X R l b T 4 8 S X R l b T 4 8 S X R l b U x v Y 2 F 0 a W 9 u P j x J d G V t V H l w Z T 5 G b 3 J t d W x h P C 9 J d G V t V H l w Z T 4 8 S X R l b V B h d G g + U 2 V j d G l v b j E v c 3 R h Z m 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3 R h Z m Y i I C 8 + P E V u d H J 5 I F R 5 c G U 9 I k Z p b G x l Z E N v b X B s Z X R l U m V z d W x 0 V G 9 X b 3 J r c 2 h l Z X Q i I F Z h b H V l P S J s M S I g L z 4 8 R W 5 0 c n k g V H l w Z T 0 i U m V s Y X R p b 2 5 z a G l w S W 5 m b 0 N v b n R h a W 5 l c i I g V m F s d W U 9 I n N 7 J n F 1 b 3 Q 7 Y 2 9 s d W 1 u Q 2 9 1 b n Q m c X V v d D s 6 O C w m c X V v d D t r Z X l D b 2 x 1 b W 5 O Y W 1 l c y Z x d W 9 0 O z p b J n F 1 b 3 Q 7 T m F t Z S Z x d W 9 0 O 1 0 s J n F 1 b 3 Q 7 c X V l c n l S Z W x h d G l v b n N o a X B z J n F 1 b 3 Q 7 O l t d L C Z x d W 9 0 O 2 N v b H V t b k l k Z W 5 0 a X R p Z X M m c X V v d D s 6 W y Z x d W 9 0 O 1 N l Y 3 R p b 2 4 x L 3 N 0 Y W Z m L 1 N v d X J j Z S 5 7 T m F t Z S w w f S Z x d W 9 0 O y w m c X V v d D t T Z W N 0 a W 9 u M S 9 z d G F m Z i 9 S Z X B s Y W N l Z C B W Y W x 1 Z S 5 7 R 2 V u Z G V y L D F 9 J n F 1 b 3 Q 7 L C Z x d W 9 0 O 1 N l Y 3 R p b 2 4 x L 3 N 0 Y W Z m L 1 N v d X J j Z S 5 7 Q W d l L D J 9 J n F 1 b 3 Q 7 L C Z x d W 9 0 O 1 N l Y 3 R p b 2 4 x L 3 N 0 Y W Z m L 1 N v d X J j Z S 5 7 U m F 0 a W 5 n L D N 9 J n F 1 b 3 Q 7 L C Z x d W 9 0 O 1 N l Y 3 R p b 2 4 x L 3 N 0 Y W Z m L 0 N o Y W 5 n Z W Q g V H l w Z S 5 7 R G F 0 Z S B K b 2 l u Z W Q s N H 0 m c X V v d D s s J n F 1 b 3 Q 7 U 2 V j d G l v b j E v c 3 R h Z m Y v U 2 9 1 c m N l L n t E Z X B h c n R t Z W 5 0 L D V 9 J n F 1 b 3 Q 7 L C Z x d W 9 0 O 1 N l Y 3 R p b 2 4 x L 3 N 0 Y W Z m L 1 N v d X J j Z S 5 7 U 2 F s Y X J 5 L D Z 9 J n F 1 b 3 Q 7 L C Z x d W 9 0 O 1 N l Y 3 R p b 2 4 x L 3 N 0 Y W Z m L 1 N v d X J j Z S 5 7 Q 2 9 1 b n R y e S w 3 f S Z x d W 9 0 O 1 0 s J n F 1 b 3 Q 7 Q 2 9 s d W 1 u Q 2 9 1 b n Q m c X V v d D s 6 O C w m c X V v d D t L Z X l D b 2 x 1 b W 5 O Y W 1 l c y Z x d W 9 0 O z p b J n F 1 b 3 Q 7 T m F t Z S Z x d W 9 0 O 1 0 s J n F 1 b 3 Q 7 Q 2 9 s d W 1 u S W R l b n R p d G l l c y Z x d W 9 0 O z p b J n F 1 b 3 Q 7 U 2 V j d G l v b j E v c 3 R h Z m Y v U 2 9 1 c m N l L n t O Y W 1 l L D B 9 J n F 1 b 3 Q 7 L C Z x d W 9 0 O 1 N l Y 3 R p b 2 4 x L 3 N 0 Y W Z m L 1 J l c G x h Y 2 V k I F Z h b H V l L n t H Z W 5 k Z X I s M X 0 m c X V v d D s s J n F 1 b 3 Q 7 U 2 V j d G l v b j E v c 3 R h Z m Y v U 2 9 1 c m N l L n t B Z 2 U s M n 0 m c X V v d D s s J n F 1 b 3 Q 7 U 2 V j d G l v b j E v c 3 R h Z m Y v U 2 9 1 c m N l L n t S Y X R p b m c s M 3 0 m c X V v d D s s J n F 1 b 3 Q 7 U 2 V j d G l v b j E v c 3 R h Z m Y v Q 2 h h b m d l Z C B U e X B l L n t E Y X R l I E p v a W 5 l Z C w 0 f S Z x d W 9 0 O y w m c X V v d D t T Z W N 0 a W 9 u M S 9 z d G F m Z i 9 T b 3 V y Y 2 U u e 0 R l c G F y d G 1 l b n Q s N X 0 m c X V v d D s s J n F 1 b 3 Q 7 U 2 V j d G l v b j E v c 3 R h Z m Y v U 2 9 1 c m N l L n t T Y W x h c n k s N n 0 m c X V v d D s s J n F 1 b 3 Q 7 U 2 V j d G l v b j E v c 3 R h Z m Y v U 2 9 1 c m N l L n t D b 3 V u d H J 5 L D d 9 J n F 1 b 3 Q 7 X S w m c X V v d D t S Z W x h d G l v b n N o a X B J b m Z v J n F 1 b 3 Q 7 O l t d f S I g L z 4 8 R W 5 0 c n k g V H l w Z T 0 i R m l s b F N 0 Y X R 1 c y I g V m F s d W U 9 I n N D b 2 1 w b G V 0 Z S I g L z 4 8 R W 5 0 c n k g V H l w Z T 0 i R m l s b E N v b H V t b k 5 h b W V z I i B W Y W x 1 Z T 0 i c 1 s m c X V v d D t O Y W 1 l J n F 1 b 3 Q 7 L C Z x d W 9 0 O 0 d l b m R l c i Z x d W 9 0 O y w m c X V v d D t B Z 2 U m c X V v d D s s J n F 1 b 3 Q 7 U m F 0 a W 5 n J n F 1 b 3 Q 7 L C Z x d W 9 0 O 0 R h d G U g S m 9 p b m V k J n F 1 b 3 Q 7 L C Z x d W 9 0 O 0 R l c G F y d G 1 l b n Q m c X V v d D s s J n F 1 b 3 Q 7 U 2 F s Y X J 5 J n F 1 b 3 Q 7 L C Z x d W 9 0 O 0 N v d W 5 0 c n k m c X V v d D t d I i A v P j x F b n R y e S B U e X B l P S J G a W x s Q 2 9 s d W 1 u V H l w Z X M i I F Z h b H V l P S J z Q U F B Q U F B a 0 F B Q U E 9 I i A v P j x F b n R y e S B U e X B l P S J G a W x s T G F z d F V w Z G F 0 Z W Q i I F Z h b H V l P S J k M j A y N C 0 w N i 0 y N V Q x N j o 1 M z o 0 M i 4 5 M T E 4 N D A z W i I g L z 4 8 R W 5 0 c n k g V H l w Z T 0 i R m l s b E V y c m 9 y Q 2 9 1 b n Q i I F Z h b H V l P S J s M C I g L z 4 8 R W 5 0 c n k g V H l w Z T 0 i R m l s b E V y c m 9 y Q 2 9 k Z S I g V m F s d W U 9 I n N V b m t u b 3 d u I i A v P j x F b n R y e S B U e X B l P S J G a W x s Q 2 9 1 b n Q i I F Z h b H V l P S J s M T g z I i A v P j x F b n R y e S B U e X B l P S J B Z G R l Z F R v R G F 0 Y U 1 v Z G V s I i B W Y W x 1 Z T 0 i b D A i I C 8 + P E V u d H J 5 I F R 5 c G U 9 I l J l Y 2 9 2 Z X J 5 V G F y Z 2 V 0 U m 9 3 I i B W Y W x 1 Z T 0 i b D E i I C 8 + P E V u d H J 5 I F R 5 c G U 9 I l J l Y 2 9 2 Z X J 5 V G F y Z 2 V 0 Q 2 9 s d W 1 u I i B W Y W x 1 Z T 0 i b D E i I C 8 + P E V u d H J 5 I F R 5 c G U 9 I l J l Y 2 9 2 Z X J 5 V G F y Z 2 V 0 U 2 h l Z X Q i I F Z h b H V l P S J z Q W x s I F N 0 Y W Z m I i A v P j w v U 3 R h Y m x l R W 5 0 c m l l c z 4 8 L 0 l 0 Z W 0 + P E l 0 Z W 0 + P E l 0 Z W 1 M b 2 N h d G l v b j 4 8 S X R l b V R 5 c G U + R m 9 y b X V s Y T w v S X R l b V R 5 c G U + P E l 0 Z W 1 Q Y X R o P l N l Y 3 R p b 2 4 x L 3 N 0 Y W Z m L 1 N v d X J j Z T w v S X R l b V B h d G g + P C 9 J d G V t T G 9 j Y X R p b 2 4 + P F N 0 Y W J s Z U V u d H J p Z X M g L z 4 8 L 0 l 0 Z W 0 + P E l 0 Z W 0 + P E l 0 Z W 1 M b 2 N h d G l v b j 4 8 S X R l b V R 5 c G U + R m 9 y b X V s Y T w v S X R l b V R 5 c G U + P E l 0 Z W 1 Q Y X R o P l N l Y 3 R p b 2 4 x L 3 N 0 Y W Z m L 1 J l b W 9 2 Z W Q l M j B E d X B s a W N h d G V z P C 9 J d G V t U G F 0 a D 4 8 L 0 l 0 Z W 1 M b 2 N h d G l v b j 4 8 U 3 R h Y m x l R W 5 0 c m l l c y A v P j w v S X R l b T 4 8 S X R l b T 4 8 S X R l b U x v Y 2 F 0 a W 9 u P j x J d G V t V H l w Z T 5 G b 3 J t d W x h P C 9 J d G V t V H l w Z T 4 8 S X R l b V B h d G g + U 2 V j d G l v b j E v c 3 R h Z m Y v U m V w b G F j Z W Q l M j B W Y W x 1 Z T w v S X R l b V B h d G g + P C 9 J d G V t T G 9 j Y X R p b 2 4 + P F N 0 Y W J s Z U V u d H J p Z X M g L z 4 8 L 0 l 0 Z W 0 + P E l 0 Z W 0 + P E l 0 Z W 1 M b 2 N h d G l v b j 4 8 S X R l b V R 5 c G U + R m 9 y b X V s Y T w v S X R l b V R 5 c G U + P E l 0 Z W 1 Q Y X R o P l N l Y 3 R p b 2 4 x L 3 N 0 Y W Z m L 0 Z p b H R l c m V k J T I w U m 9 3 c z w v S X R l b V B h d G g + P C 9 J d G V t T G 9 j Y X R p b 2 4 + P F N 0 Y W J s Z U V u d H J p Z X M g L z 4 8 L 0 l 0 Z W 0 + P E l 0 Z W 0 + P E l 0 Z W 1 M b 2 N h d G l v b j 4 8 S X R l b V R 5 c G U + R m 9 y b X V s Y T w v S X R l b V R 5 c G U + P E l 0 Z W 1 Q Y X R o P l N l Y 3 R p b 2 4 x L 3 N 0 Y W Z m L 0 N o Y W 5 n Z W Q l M j B U e X B l P C 9 J d G V t U G F 0 a D 4 8 L 0 l 0 Z W 1 M b 2 N h d G l v b j 4 8 U 3 R h Y m x l R W 5 0 c m l l c y A v P j w v S X R l b T 4 8 L 0 l 0 Z W 1 z P j w v T G 9 j Y W x Q Y W N r Y W d l T W V 0 Y W R h d G F G a W x l P h Y A A A B Q S w U G A A A A A A A A A A A A A A A A A A A A A A A A J g E A A A E A A A D Q j J 3 f A R X R E Y x 6 A M B P w p f r A Q A A A K E C m C W X + 8 x I n Y B + I 8 n j C 9 c A A A A A A g A A A A A A E G Y A A A A B A A A g A A A A G O g l 8 4 R B l x h G A C a m N p 7 5 V A o z s F K X r r D X T J W w t L m N 4 7 E A A A A A D o A A A A A C A A A g A A A A k O 0 G A H F 9 i E A L I F U P A t m g 4 r F / i l E E S P G B L J R X d p N y v m B Q A A A A 4 k X 1 D K 6 j d J w J 5 6 F s d B 2 Q Y X E G A 3 V 8 a C J P u 8 w G Z 7 P 2 A J 8 m B 6 o Z k H / s W o z I O c i x W m O g Y g y 9 q L B T 9 6 G C P Q 4 m 4 R Z x f o / S w v f 4 s J a c G D Q p R J X z / 5 x A A A A A W s + K B X 6 q a A Y j 5 1 L U T o O 1 d h x F J 7 k t i 2 1 3 E u B I b f / a r Z c 0 P u J j u a r R s Z j X x C g P e I N z 9 e O D Q E b g I 3 R 2 V E Q i A z A A b A = = < / D a t a M a s h u p > 
</file>

<file path=customXml/itemProps1.xml><?xml version="1.0" encoding="utf-8"?>
<ds:datastoreItem xmlns:ds="http://schemas.openxmlformats.org/officeDocument/2006/customXml" ds:itemID="{29C55837-3FE9-4783-8B38-031020DB11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India Staff</vt:lpstr>
      <vt:lpstr>All Staff</vt:lpstr>
      <vt:lpstr>T1.quick analysis</vt:lpstr>
      <vt:lpstr>T2.Information Finder</vt:lpstr>
      <vt:lpstr>T3.Information Finder </vt:lpstr>
      <vt:lpstr>T4.Male vs Female </vt:lpstr>
      <vt:lpstr>T5. Bonus calculation</vt:lpstr>
      <vt:lpstr>T6.Salary Spread</vt:lpstr>
      <vt:lpstr>T7.Salary vs Rating</vt:lpstr>
      <vt:lpstr>RATING QUANTIFIED</vt:lpstr>
      <vt:lpstr>T8. Company Growth</vt:lpstr>
      <vt:lpstr>T9.Regional Scorecard</vt:lpstr>
      <vt:lpstr>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10</cp:lastModifiedBy>
  <dcterms:created xsi:type="dcterms:W3CDTF">2021-03-14T20:21:32Z</dcterms:created>
  <dcterms:modified xsi:type="dcterms:W3CDTF">2024-06-27T15:41:37Z</dcterms:modified>
</cp:coreProperties>
</file>