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<sst xmlns="http://schemas.openxmlformats.org/spreadsheetml/2006/main" count="1295" uniqueCount="975">
  <si>
    <t>COUTAN</t>
  </si>
  <si>
    <t>Caroline Marie Véronique</t>
  </si>
  <si>
    <t>Féminin</t>
  </si>
  <si>
    <t>26 Juillet 1977</t>
  </si>
  <si>
    <t>85 allée du clos morin</t>
  </si>
  <si>
    <t>SEMOY</t>
  </si>
  <si>
    <t>cfcout@yahoo.fr</t>
  </si>
  <si>
    <t>06 62 35 24 66</t>
  </si>
  <si>
    <t>Soprano</t>
  </si>
  <si>
    <t>FM et Brevet départemental Piano</t>
  </si>
  <si>
    <t>2 ans de cours de chant + chorale depuis l'âge de 8 ans dans divers ensembles et choeurs
Avec LFO VDL  : Carmen + La flûte + Aïda + My Fair</t>
  </si>
  <si>
    <t>Avec LFO VDL  : Carmen + La flûte + Aïda + My Fair</t>
  </si>
  <si>
    <t>Par ce que la Fabrique Opéra c'est un concept génial, avec des gens un peu fous mais tellement géniaux et tous les ans un projet musical, artistique et humain extra-ordinaire. (Et aussi une grande parenthèse d'oxygène entre le boulot et les enfants !!)</t>
  </si>
  <si>
    <t>Je serai présente et assidue, disponible toute la semaine de production ! 
Je serai juste absente à la répétition du 7 octobre pour cause de mariage de mon beau-frère....</t>
  </si>
  <si>
    <t>Carmen
La Flûte enchantée
Aïda
My Fair Lady</t>
  </si>
  <si>
    <t>Dimanche 7 Octobre - 9h30 / 16h30</t>
  </si>
  <si>
    <t>Samedi 8 au matin</t>
  </si>
  <si>
    <t>176.133.151.199</t>
  </si>
  <si>
    <t>POUPA</t>
  </si>
  <si>
    <t>Jacques</t>
  </si>
  <si>
    <t>Masculin</t>
  </si>
  <si>
    <t>6 Août 1948</t>
  </si>
  <si>
    <t>3, rue Joseph-Souchet</t>
  </si>
  <si>
    <t>Fleury-les-Aubrais</t>
  </si>
  <si>
    <t>jacquespoupa@aol.com</t>
  </si>
  <si>
    <t>06 70 77 58 81</t>
  </si>
  <si>
    <t>02 38 73 08 23</t>
  </si>
  <si>
    <t>Basse</t>
  </si>
  <si>
    <t>etude piano et chant</t>
  </si>
  <si>
    <t>Chante en choeur depuis 50 ans</t>
  </si>
  <si>
    <t>Les opéras de la Fabrique + divers au conservatoire</t>
  </si>
  <si>
    <t>La Fabrique c'est tout</t>
  </si>
  <si>
    <t>Je suis absent d'Orléans du 1er au 15 septembre</t>
  </si>
  <si>
    <t>La Flûte enchantée
Aïda
My Fair Lady</t>
  </si>
  <si>
    <t>Mardi 11 Septembre - 19h30 / 22h30</t>
  </si>
  <si>
    <t>90.107.48.251</t>
  </si>
  <si>
    <t>papin</t>
  </si>
  <si>
    <t>sylvie</t>
  </si>
  <si>
    <t>15 juin 1984</t>
  </si>
  <si>
    <t>76 rue charles beauhaire</t>
  </si>
  <si>
    <t>saint jean de la ruelle</t>
  </si>
  <si>
    <t>papin.sylvie@gmail.com</t>
  </si>
  <si>
    <t>06 34 07 41 25</t>
  </si>
  <si>
    <t>Alto</t>
  </si>
  <si>
    <t>Fin de 3eme cycle en formation musicale au conservatoire de saint jean de la ruelle.Fin de 3eme cycle en guitare classique au conservatoire de saint jean de la ruelle.Actuellement, je prends des cours de guitare électrique à l'association musiciens coté cours.</t>
  </si>
  <si>
    <t>J'ai participé à la Classe de chanson d'aurelien aujame a st jean de la ruelle.J'ai participé au chœur de cléry saint andré en septembre 2017. Je Pratique le chant choral avec la musique de leonie, chœur de noel, chœur de Loire, chœur amateur et chœur opéra. J'ai participé au chœur opéra aida et au chœur my fair lady.</t>
  </si>
  <si>
    <t>J'ai pu avoir la chance de participer à deux projets musicaux avec mise en scène avec l'opéra aida de Verdi et la comédie musicale My Fair Lady.
J'ai pu, grâce à ces deux projets, approfondir la rigueur, la concentration, chanter, bouger, danser et les changements de costumes.</t>
  </si>
  <si>
    <t>Je souhaite participer à ce projet car cette œuvre que l'on nous propose cette année est magnifique. Pouvoir participer à un projet de la Fabrique opéra, et défendre ces belles valeurs avec des personnes brillantes est un honneur.</t>
  </si>
  <si>
    <t>Oui, je m'engage à être présente à toutes les répétitions ainsi que pour la semaine de production au zénith, être libre assez tôt dans la journée.</t>
  </si>
  <si>
    <t>Aïda
My Fair Lady</t>
  </si>
  <si>
    <t>62.193.34.146</t>
  </si>
  <si>
    <t>GRILLON</t>
  </si>
  <si>
    <t>Corinne</t>
  </si>
  <si>
    <t>7 Mai 1980</t>
  </si>
  <si>
    <t>corinne.grillon@gmail.com</t>
  </si>
  <si>
    <t>06 70 34 07 44</t>
  </si>
  <si>
    <t>Je prends des cours particulier de guitare classique et de formation musicale. Mon niveau en 2018 est 1er cycle 2eme année.
Je reste débutante mais j'apprends vite et je suis assidue dans mes cours.</t>
  </si>
  <si>
    <t>Je participe à certains projet de la musique de Léonie comme le chœur de Loire en septembre 2017 et le chœur amateur.</t>
  </si>
  <si>
    <t>J'ai pu avoir la chance de participer au chœur de Loire en septembre 2017, il n'y avait pas de mise en scène. Je participe cette année au chœur amateur avec la cuisine de Josquin et Léonie, vivre chaque mots, jouer, chanter avec les autres participants.</t>
  </si>
  <si>
    <t>Je souhaite participer cette année au chœur opéra. Le projet et les valeurs de la fabrique opéra sont époustouflantes. Faire participer des écoles, des élèves...cela me donne envie d'y participer de l'intérieur. Cela est un défi avec moi même et une grande fierté de pouvoir rejoindre une équipe comme celle ci. J'ai vécu My Fair Lady,des coulisses, lors de cocktail,  en étant un ami de la Fabrique, cette année, je souhaite tenter l'aventure en tant que choriste.</t>
  </si>
  <si>
    <t>oui je peux être présente à toutes les répétitions et me libérer en fin d'après midi et jusqu'à 23h pour la semaine de production.</t>
  </si>
  <si>
    <t>Non</t>
  </si>
  <si>
    <t>LALOGE</t>
  </si>
  <si>
    <t>Léo</t>
  </si>
  <si>
    <t>8 Août 2001</t>
  </si>
  <si>
    <t>22 rue fosse de meule</t>
  </si>
  <si>
    <t>Orléans</t>
  </si>
  <si>
    <t>leo.laloge@gmail.com</t>
  </si>
  <si>
    <t>07 89 89 46 04</t>
  </si>
  <si>
    <t>DEM violon conservatoire 
Cycle spécialisé formation musicale</t>
  </si>
  <si>
    <t>Colos Musique de Léonie ;) 
Chœurs Conservatoire 
Chœur Éphémère (Histoire de la Vie + Fauré)</t>
  </si>
  <si>
    <t>My Fair Lady
L’histoire De la vie (Q. Delépine)</t>
  </si>
  <si>
    <t>Ayant participé à My Fair Lady l’année dernière, j’aimerais beaucoup renouveler l’expérience cette année. L’œuvre choisie me plaît énormément, c’est pour cela que je souhaite participer à ce projet, dans les chœurs.</t>
  </si>
  <si>
    <t>Je m’y engage.</t>
  </si>
  <si>
    <t>My Fair Lady</t>
  </si>
  <si>
    <t>Dimanche 20 Janvier - 9h30 / 16h30</t>
  </si>
  <si>
    <t>Samedi Matin</t>
  </si>
  <si>
    <t>80.12.33.77</t>
  </si>
  <si>
    <t>VERROIT</t>
  </si>
  <si>
    <t>Danielle</t>
  </si>
  <si>
    <t>27 Février 1948</t>
  </si>
  <si>
    <t>4 RUE DES PERVENCHES</t>
  </si>
  <si>
    <t>FLEURY LES AUBRAIS</t>
  </si>
  <si>
    <t>danielle.verroit@gmail.com</t>
  </si>
  <si>
    <t>06 83 56 86 64</t>
  </si>
  <si>
    <t>J'ai appris le piano et le solfège au conservatoire de fleury les aubrais.
Musique de chambre ou en duo plusieurs années
 je continue à prendre des cours de piano en individuel et jouer à 4 mains</t>
  </si>
  <si>
    <t>Chorale diapason Fleury les aubrais 2 ans
Le choeur amateur de la Musique de Léonie</t>
  </si>
  <si>
    <t>2 années stage d'été piano chez Laurence Lebail , se terminant par la mise en scène d'un petit spectacle avec un groupe enfants
La Fabrique Opéra : Carmen, Aïda, My Fair Lady</t>
  </si>
  <si>
    <t>Avoir déjà vécu l'aventure de  La Fabrique Opéra c'est avoir envie de recommencer.  Participer à  nouveau à ce projet artistique au concept tellement humain et généreux. Aller  au rendez-vous de la qualité, de l’exigence qui fait se surpasser chacun d'entre nous. Rencontrer les jeunes, riches d'échanges, et socles de notre avenir. Et puis un grand plaisir à chanter, danser et donner aux spectateurs une bulle de joie et d'évasion</t>
  </si>
  <si>
    <t>OUI</t>
  </si>
  <si>
    <t>Carmen
Aïda
My Fair Lady</t>
  </si>
  <si>
    <t>92.160.206.86</t>
  </si>
  <si>
    <t>Beaumont</t>
  </si>
  <si>
    <t>Sacha</t>
  </si>
  <si>
    <t>7 Août 1998</t>
  </si>
  <si>
    <t>17 Rue Léon Boyer</t>
  </si>
  <si>
    <t>TOURS</t>
  </si>
  <si>
    <t>France</t>
  </si>
  <si>
    <t>sacha.beaumont.41@gmail.com</t>
  </si>
  <si>
    <t>07 50 48 59 84</t>
  </si>
  <si>
    <t>CEM en solfège, 9 ans de violon et 7 de piano en conservatoire (Blois), je pratique le chant lyrique depuis 2 ans.</t>
  </si>
  <si>
    <t>J'ai commencé à chanter en chorale au conservatoire de Blois, puis j'ai participé de mes 9 à 17 ans aux stages d'été de la Musique de Léonie. En 2015 j'ai fait partie du choeur Ossia au conservatoire de Blois. Depuis la rentrée 2016 je chante dans l'ensemble Vocal Lumen Laulu (basé sur Tours, direction Mathieu Bolcato) et je prends des cours de chant lyrique avec Marine Delagarde.</t>
  </si>
  <si>
    <t>Je fais du théâtre depuis mes 6 ans et il ne passe pas une année sans que je pratique (c'était ma spécialité au bac etc ...). J'ai participé à Carmen et My fair Lady de la Fabrique Opéra Val de Loire.</t>
  </si>
  <si>
    <t>Car il fédère des gens de toutes horizons dans un but unique : créer des opéras formidables et de grande qualité artistique !</t>
  </si>
  <si>
    <t>Oui, je m'engage !</t>
  </si>
  <si>
    <t>Carmen
My Fair Lady</t>
  </si>
  <si>
    <t>77.199.160.165</t>
  </si>
  <si>
    <t>Sophie</t>
  </si>
  <si>
    <t>Picard</t>
  </si>
  <si>
    <t>3 juin 1982</t>
  </si>
  <si>
    <t>11 rue Coursimault</t>
  </si>
  <si>
    <t>ORLEANS</t>
  </si>
  <si>
    <t>sofijo33@gmail.com</t>
  </si>
  <si>
    <t>06 89 38 54 97</t>
  </si>
  <si>
    <t>Depuis 2 ans que je suis sous la direction de Corinne Barrère j'apprends à mieux poser ma voix et je m'aperçois mon niveau s'améliore, bien que restant encore amateur. Mon amplitude vocale semble être assez large puisque je me sens à l'aise aussi bien avec les notes très grave que aiguës.
J'apprends également à lire les partitions (je déchiffre les notes mais ne lit pas bien le tempo).</t>
  </si>
  <si>
    <t>J'ai fait 4 ans de chorale au collège avec des spectacles de fin d'année en public. Depuis 2 ans je chante avec le chœur amateur de la Musique de Léonie. En parallèle je fais également partie de la chorale de l'école primaire Maxime Perrard (depuis 2 ans également).</t>
  </si>
  <si>
    <t>Lors du spectacle des 3 Mousquetaires en 2017 (avec LMDL) j'ai été dirigée par Gaël Lépingle. Nous étions très nombreux sur scène et il était important de retenir chaque déplacement pour que tout s'harmonise. De même j'ai appris à "interpréter" ces mouvements en donnant des intentions aux gestes. 
Dans le cadre de la Chorale Maxime Perrard, les chansons sont chorégraphiées.
Je fais également partie d'un association de danse, sous la direction d'une chorégraphe, au cœur de laquelle j'apprends à utiliser mon corps, à me déplacer dans un espace scénique et respecter des consignes de mise en scène.</t>
  </si>
  <si>
    <t>Depuis que la Fabrique Opéra existe je n'ai raté aucune représentation. Je suis toujours impressionnée par la qualité exceptionnelle de l'ensemble (pas seulement les chanteurs mais également les costumes, les décors, la mise en scène). Ce sont ces spectacles qui m'ont motivée à rejoindre une chorale et, grâce à l'expérience acquise auprès de LMDL je me sens plus confiante pour enfin oser participer à cette aventure. Et puis je pense que je n'aurais pas souvent cette chance de faire partie d'une telle production dans ma ville natale.</t>
  </si>
  <si>
    <t>Bien sûr !</t>
  </si>
  <si>
    <t>78.234.48.29</t>
  </si>
  <si>
    <t>BLY-ANDRIVET</t>
  </si>
  <si>
    <t>Lisbeth</t>
  </si>
  <si>
    <t>15 Mai 1962</t>
  </si>
  <si>
    <t>56 rue d'Orentay</t>
  </si>
  <si>
    <t>La Chapelle Saint-Mesmin</t>
  </si>
  <si>
    <t>bethycat@orange.fr</t>
  </si>
  <si>
    <t>06 88 46 63 30</t>
  </si>
  <si>
    <t>02 38 72 24 47</t>
  </si>
  <si>
    <t>DEM</t>
  </si>
  <si>
    <t>Ancienne</t>
  </si>
  <si>
    <t>Participation à d'autres spectacles de LFOVDL.</t>
  </si>
  <si>
    <t>Fan d'opéras, de chant choral et de théâtre</t>
  </si>
  <si>
    <t>Bien évidemment</t>
  </si>
  <si>
    <t>Carmen
La Flûte enchantée
My Fair Lady</t>
  </si>
  <si>
    <t>109.209.122.222</t>
  </si>
  <si>
    <t>TAUZI</t>
  </si>
  <si>
    <t>Lalie</t>
  </si>
  <si>
    <t>23 Avril 2002</t>
  </si>
  <si>
    <t>242 rue verte</t>
  </si>
  <si>
    <t>Sandillon</t>
  </si>
  <si>
    <t>lalie.tauzi@gmail.com</t>
  </si>
  <si>
    <t>06 51 83 12 14</t>
  </si>
  <si>
    <t>02 38 41 14 62</t>
  </si>
  <si>
    <t>Je prend des cours de formation musicale au conservatoire au niveau brevet, et je fais du hautbois à l'école de musique de Sandillon au niveau brevet.</t>
  </si>
  <si>
    <t>J'ai fais le stage de printemps 2015 de la musique de Léonie, j'ai participé deux fois au concert de noël de la musique de Léonie, et j'ai participé au Choeur opéra de My Fair Lady</t>
  </si>
  <si>
    <t>J'ai participé au projet My Fair Lady avec le metteur en scène Franck JUBLOT. Ce fut une très bonne expérience, un souvenir très marquant :  cela m'a permis de renforcer ma confiance en moi, de m'ouvrir encore plus aux autres et d'être à l'écoute des gens qui m'entourent. Cela m'a également appris à être rigoureuse et encore plus motivée pour participer à ce projet. Je suis très fière d'avoir participé à ce spectacle de la fabrique Opéra.</t>
  </si>
  <si>
    <t>Je souhaite participer à ce projet car j'adore la musique et c'est une expérience artistique et humaine unique. C'est très valorisant de travailler aux coté de personnes différentes et pleine de talents, que ça soit les solistes, les choristes, les musiciens ou les chefs. Cela permet aussi de voir l'envers du décor, et de se rendre compte de tout le travaille qu'implique la réalisation d'un projet comme celui-ci.</t>
  </si>
  <si>
    <t>Oui</t>
  </si>
  <si>
    <t>Samedi 15 Décembre - 15h / 19h30</t>
  </si>
  <si>
    <t>92.160.246.96</t>
  </si>
  <si>
    <t>Montassier</t>
  </si>
  <si>
    <t>Aurelie</t>
  </si>
  <si>
    <t>9 Novembre 1980</t>
  </si>
  <si>
    <t>20 rue du clos de la herse</t>
  </si>
  <si>
    <t>Saint jean de braye</t>
  </si>
  <si>
    <t>montassieraurelie@gmail.com</t>
  </si>
  <si>
    <t>06 63 15 17 79</t>
  </si>
  <si>
    <t>J'ai fait du solfège étant jeune. Je sais suivre une partition mais je ne sais pas déchiffrer à vue.
J'ai fait du piano pendant 6 années environ.</t>
  </si>
  <si>
    <t>Chorale lorsque j'étais enfant à l'école de musique d'Ingré
Chœur amateur " les trois mousquetaires " : 2016-2017
Festival cœur de Loire : septembre 2017
My Fair Lady: chœur opéra (chorégraphique ) mars 2018</t>
  </si>
  <si>
    <t>Je chante depuis longtemps ( amateur)
Comédie musicale " En Somme" en 2002
Troupe musicale " Philentroupe" depuis 2000 avec des spectacles ou interventions musicales notamment pour le téléthon " soirée cabaret". 
Chœur amateur: " les trois mousquetaires " : 2016-2017
My Fair Lady : chœur opéra ( chorégraphique) mars 2018
En tant qu'enseignante: 
- 6 années de classe découverte au cirque Gruss avec un spectacle en fin de chaque projet ( 2 semaines).
- mise en scène de spectacle musicaux en fin d'année scolaire (13 années).</t>
  </si>
  <si>
    <t>Ayant participé à My Fair Lady, j'aimerai poursuivre l'aventure avec ce nouveau projet. Je ne connais pas bien l'Opéra et chanter dans Faust en tant que choriste me permettrait d'enrichir mon expérience tout en découvrant l'univers de l'OPÉRA.</t>
  </si>
  <si>
    <t>176.147.173.181</t>
  </si>
  <si>
    <t>champion</t>
  </si>
  <si>
    <t>béatrice</t>
  </si>
  <si>
    <t>12 Mai 1955</t>
  </si>
  <si>
    <t>6 rue du talus</t>
  </si>
  <si>
    <t>jargeau</t>
  </si>
  <si>
    <t>frisar@orange.fr</t>
  </si>
  <si>
    <t>06 68 55 97 10</t>
  </si>
  <si>
    <t>déchiffrage des partitions</t>
  </si>
  <si>
    <t>chant chorale depuis 1982, la rabolière 3 ans, le ludion 22 ans, actuellement crescendo depuis 5 ans.
Chœurs d'opéra de Méréville dont " Faust de Gounod" dirigé par Michel Plasson</t>
  </si>
  <si>
    <t>Carmen avec la Fabrique Opéra
Aïda avec la Fabrique Opéra</t>
  </si>
  <si>
    <t>J'ai pris un plaisir inouï à chanter cette œuvre, m'en imprégner et le partager de nouveau avec la Fabrique Opéra serait fabuleux</t>
  </si>
  <si>
    <t>Oui, comme j'ai pu le faire précédemment pour Carmen et Aïda.</t>
  </si>
  <si>
    <t>Carmen
Aïda</t>
  </si>
  <si>
    <t>86.221.156.186</t>
  </si>
  <si>
    <t>Quéro</t>
  </si>
  <si>
    <t>Noé</t>
  </si>
  <si>
    <t>24 Juillet 2000</t>
  </si>
  <si>
    <t>264 rue du bourgneuf</t>
  </si>
  <si>
    <t>Loury</t>
  </si>
  <si>
    <t>noe.quero@gmail.com</t>
  </si>
  <si>
    <t>06 02 38 62 95</t>
  </si>
  <si>
    <t>Je suis actuellement en 2ème cycle 1ère année au conservatoire d'Orléans en trompette et en FM et je prépare la CEM en FM cette année.</t>
  </si>
  <si>
    <t>J'ai participé à My Fair Lady en tant de choriste basse.</t>
  </si>
  <si>
    <t>Cela fait deux années de suite que je participe à la Fabrique Opéra, la première année avec Aïda en trompette dans la fanfare et la seconde avec My Fair Lady en tant que choriste.</t>
  </si>
  <si>
    <t>J'ai plongé dans le monde de la Fabrique Opéra il y deux ans et je suis tombé amoureux de cette association. De plus, participer à cet opéra est pour moi une occasion de me faire plaisir en chantant tout en appréciant la musique.</t>
  </si>
  <si>
    <t>Lors de cette semaine, je serais en âge de me gérer pour venir et repartir aux horaires voulues.</t>
  </si>
  <si>
    <t>77.136.43.140</t>
  </si>
  <si>
    <t>Plessis</t>
  </si>
  <si>
    <t>30 Avril 1967</t>
  </si>
  <si>
    <t>98 rue des allets</t>
  </si>
  <si>
    <t>CHAILLES</t>
  </si>
  <si>
    <t>co.plessis@free.fr</t>
  </si>
  <si>
    <t>06 87 44 63 91</t>
  </si>
  <si>
    <t>02 54 79 35 49</t>
  </si>
  <si>
    <t>Lecture musicale en clé de sol aisée</t>
  </si>
  <si>
    <t>Expérience en chœur, en ensemble vocal 1 par voix, en soliste
Classe de chant lyrique au conservatoire de Blois de 2010 à 2017</t>
  </si>
  <si>
    <t>Participation à "Aïda" en 2017</t>
  </si>
  <si>
    <t>Merveilleuse expérience avec "Aïda", je n'ai pas pu participer à "My Fair Lady" par manque de disponibilité. Je souhaite faire partie de l'aventure "Faust".</t>
  </si>
  <si>
    <t>oui</t>
  </si>
  <si>
    <t>Aïda</t>
  </si>
  <si>
    <t>78.209.236.8</t>
  </si>
  <si>
    <t>TAUGOURDEAU (ex JAN)</t>
  </si>
  <si>
    <t>Marie-Anne</t>
  </si>
  <si>
    <t>30 Octobre 1964</t>
  </si>
  <si>
    <t>8 rue Théophile Chollet</t>
  </si>
  <si>
    <t>ma.taugourdeau@yahoo.com</t>
  </si>
  <si>
    <t>06 84 57 19 83</t>
  </si>
  <si>
    <t>Lectrice
Apprentissage du piano dans l'enfance
Chant depuis 12 ans</t>
  </si>
  <si>
    <t>Ensembles vocaux:
Chorale La Rabolière (Jargeau)
Chœur de chambre Atout Voix (Fay aux Loges)
Chœur de femmes Musica Sine Nomine (Orléans)
Chœur Antara  (Paris)
Actuellement : Chœur symphonique (Orléans), Ensemble La Bonne chanson (Orléans)
Cours de chant:
1 an avec Christophe Lizère
2 ans avec Anne Lambrichs (Paris)
Depuis 09 mois avec Corinne Sertillange (Orléans)
Stages d'été
1 an avec le Cepravoi en jazz vocal
2 ans avec Régis Leroy en jazz latino
2 ans avec Anne Lambrichs en lyrique
été 2018 : Gospel
Projets ponctuels:
La cuisine de Josquin et Léonie
Concerts de Noël de la musique de Léonie (4 ans)
La fabrique opéra (4 ans!)
L'histoire de la vie (juin 2018)</t>
  </si>
  <si>
    <t>Un peu de mise en scène durant les stages d'été
La Fabrique opéra:
Carmen
La flûte enchantée
Aïda
My Fair Lady</t>
  </si>
  <si>
    <t>Pour toutes les raisons qui m'ont poussé à participer les autres années : projet incroyable de découvertes, échanges, relations humaines et musicales avec des gens formidables. Je me sens très fière et j'estime avoir beaucoup de chance d'avoir la possibilité en tant que chanteuse amateur de pouvoir vivre cette expérience. Mon investissement est total et ma confiance dans les porteurs de ce projet aussi.</t>
  </si>
  <si>
    <t>Absent le Samedi 8 septembre matin
Absent le Samedi 8 septembre après-midi</t>
  </si>
  <si>
    <t>82.244.253.199</t>
  </si>
  <si>
    <t>TOCHON</t>
  </si>
  <si>
    <t>Eric</t>
  </si>
  <si>
    <t>9 Mai 1963</t>
  </si>
  <si>
    <t>3 rue Duhamel du Monceau</t>
  </si>
  <si>
    <t>tochon.egc@gmail.com</t>
  </si>
  <si>
    <t>06 75 11 89 59</t>
  </si>
  <si>
    <t>Premier cycle d'études musicales au conservatoire d'Olivet
Cours de chant avec Julie Cavalcante au conservatoire d'Olivet</t>
  </si>
  <si>
    <t>Plusieurs années au Chœur symphonique du Conservatoire d'Orléans (ex : Boris Godounov de Moussorgsky, Jeanne au bûcher de Honneger, Le messie de Haendel, Alexander Fest de Haendel, ...) 
Plusieurs années au Chœur de l'Université d'Orléans (Requiem de Mozart,...) 
Plusieurs années au Chœur du Ludion (ex : Petite messe de Rossini, Requiem de Fauré, ...)</t>
  </si>
  <si>
    <t>Participation à Carmen avec la Fabrique Opéra
Théâtre de la Laurentia, plusieurs pièces d'auteur avec passages chantés</t>
  </si>
  <si>
    <t>Ma participation à Carmen m'a beaucoup plus et je souhaitais renouveler l'expérience. Mon éloignement d'Orléans pour les autres pièces de la Fabrique Opéra ne m'a pas permis de continuer sur ma lancée. Venant de démarrer un travail sur Paris, je peux être maintenant disponible.</t>
  </si>
  <si>
    <t>Je m'engage à être présent pour toutes les répétitions. En cas de répétition l'après-midi j'aurai la possibilité de prendre des congés sur 2019.</t>
  </si>
  <si>
    <t>Carmen</t>
  </si>
  <si>
    <t>Absent le Dimanche 9 septembre matin</t>
  </si>
  <si>
    <t>80.12.34.116</t>
  </si>
  <si>
    <t>BOUR</t>
  </si>
  <si>
    <t>Lucie</t>
  </si>
  <si>
    <t>19 Décembre 2001</t>
  </si>
  <si>
    <t>32 bis rue Pierre Brossolette</t>
  </si>
  <si>
    <t>Fleury les Aubrais</t>
  </si>
  <si>
    <t>christine7.bour@orange.fr</t>
  </si>
  <si>
    <t>06 11 15 98 69</t>
  </si>
  <si>
    <t>07 83 22 44 54</t>
  </si>
  <si>
    <t>7 ans de piano loisir</t>
  </si>
  <si>
    <t>chorale dans le cadre scolaire
colonie de vacances musicales 2016: chorale + danse
stage comédie musicale ado cours Florent: 2018</t>
  </si>
  <si>
    <t>idem+
12 ans de danse loisir
1 année de théâtre loisir 2016-2017</t>
  </si>
  <si>
    <t>aime chanter et intéressée par le domaine du spectacle.
membre de la famille ayant déjà participé à des spectacles de la Fabrique Opéra, j'ai particulièrement aimé My Fair Lady.</t>
  </si>
  <si>
    <t>90.107.172.37</t>
  </si>
  <si>
    <t>BAINIER</t>
  </si>
  <si>
    <t>Laurent</t>
  </si>
  <si>
    <t>1 Janvier 1971</t>
  </si>
  <si>
    <t>24, rue de l'Ecole Normale</t>
  </si>
  <si>
    <t>laurent.bainier@9online.fr</t>
  </si>
  <si>
    <t>06 18 02 48 11</t>
  </si>
  <si>
    <t>Ténor</t>
  </si>
  <si>
    <t>Pas de formation musicale académique, mais j'ai 3 enfants au conservatoire... 
Je ne déchiffre pas une partition à vue, mais je la comprends et la suit.</t>
  </si>
  <si>
    <t>Participation à plusieurs chorales A Choeur Joie dans différentes villes.
Choeur opéra de Aïda.
Choeur amateur de La musique de Léonie.</t>
  </si>
  <si>
    <t>C'est un chouette projet humain. Une coopération unique entre apprentis/étudiants, amateurs et professionnels, pour aboutir à un spectacle populaire. 
Y participer rend ses acteurs heureux et fiers du travail accompli.
C’est également un défi personnel, d’apprendre une partition, la retenir et l’interpréter sur scène. 
De plus, cela permet de faire de super rencontres.</t>
  </si>
  <si>
    <t>86.75.249.15</t>
  </si>
  <si>
    <t>zermati</t>
  </si>
  <si>
    <t>serge</t>
  </si>
  <si>
    <t>22 Janvier 1943</t>
  </si>
  <si>
    <t>22 clos de la brossette</t>
  </si>
  <si>
    <t>Chanteau</t>
  </si>
  <si>
    <t>serge.zermati@wanadoo.fr</t>
  </si>
  <si>
    <t>02 38 75 00 15</t>
  </si>
  <si>
    <t>06 83 47 31 91</t>
  </si>
  <si>
    <t>soliste dans 1 répertoire classique et contemporain (variétés)</t>
  </si>
  <si>
    <t>40 ans de chant chora
5 participations aux choralies de Vaison-la-Romaine et grand choral de la Chanson contemporaine à troyes (6 fois)</t>
  </si>
  <si>
    <t>4 spectacles avec la fabrique opéra et ancien comédien professionnel</t>
  </si>
  <si>
    <t>Démonstration a été faite de l'immense intérêt de ces projets</t>
  </si>
  <si>
    <t>je serai absent à 1 répétition le 7 octobre et probablement le dimanche de l'audition mais j'espère que vous serez compréhensif et que vous m'excuserez.</t>
  </si>
  <si>
    <t>Absent le Samedi 8 septembre matin
Absent le Samedi 8 septembre après-midi
Absent le Dimanche 9 septembre matin
Absent le Dimanche 9 septembre après-midi</t>
  </si>
  <si>
    <t>92.160.235.31</t>
  </si>
  <si>
    <t>PERDEREAU</t>
  </si>
  <si>
    <t>2 juin 1956</t>
  </si>
  <si>
    <t>487,rue du Bois des Prés</t>
  </si>
  <si>
    <t>Saint Denis en Val</t>
  </si>
  <si>
    <t>lperdereau@free.fr</t>
  </si>
  <si>
    <t>06 04 18 11 66</t>
  </si>
  <si>
    <t>88.167.157.66</t>
  </si>
  <si>
    <t>REYNAUD</t>
  </si>
  <si>
    <t>Olivier</t>
  </si>
  <si>
    <t>20 Novembre 1969</t>
  </si>
  <si>
    <t>754 rue du haut midi</t>
  </si>
  <si>
    <t>St hilaire st mesmin</t>
  </si>
  <si>
    <t>sreynau@gmail.com</t>
  </si>
  <si>
    <t>06 17 85 08 61</t>
  </si>
  <si>
    <t>06 11 12 70 14</t>
  </si>
  <si>
    <t>Mélomane averti, j’accompagne mes enfants et ma femme tous musiciens ( clarinette, cor, flûte) dans leur parcours musical.</t>
  </si>
  <si>
    <t>Je chante souvent mais jusqu’à maintenant seul chez moi.</t>
  </si>
  <si>
    <t>Comme vous pouvez le constater sur la photo. J’ai participé à un challenge où j’ai pu « jouer » au chef d’orchestre et en ressentir le plaisir et l’exaltation.</t>
  </si>
  <si>
    <t>Présent depuis le début aux représentations de la fabrique Opéra. Ma femme et ma fille ont participé à Aïda et les émotions de toute la famille m’ont donné envie de participer à une tel projet. Conscient de mon niveau de néophyte ultra motivé je pense que l’envie peut compenser mon inexpérience. Je m’engage à donner le meilleur de moi-même.</t>
  </si>
  <si>
    <t>Sans problème !</t>
  </si>
  <si>
    <t>95.157.215.152</t>
  </si>
  <si>
    <t>BARDON</t>
  </si>
  <si>
    <t>Emilie</t>
  </si>
  <si>
    <t>23 Décembre 2002</t>
  </si>
  <si>
    <t>108 bis rue des Varennes</t>
  </si>
  <si>
    <t>Saint Jean-le-Blanc</t>
  </si>
  <si>
    <t>emiliebardon45@gmail.com</t>
  </si>
  <si>
    <t>06 47 44 14 60</t>
  </si>
  <si>
    <t>09 67 76 75 11</t>
  </si>
  <si>
    <t>3ème cycle flûte et FM au CRD d'Orléans, classe de chant actuellement en atelier chant, se présente en 1er cycle pour la rentrée 2018-2019.</t>
  </si>
  <si>
    <t>Maitrise avec Elisabeth Renault au CRD d'Orléans pendant 5 ans, choeur de jeunes filles musique de Léonie pendant 2 ans.</t>
  </si>
  <si>
    <t>Avec la musique de Léonie : mademoiselle Louise, les mousquetaires etc....</t>
  </si>
  <si>
    <t>Par ce que j'aime l'opéra depuis que je suis toute petite, et les autres opéras m'ont plu et j'aimerais y participer à mon tour.</t>
  </si>
  <si>
    <t>90.20.121.176</t>
  </si>
  <si>
    <t>CAVELIER</t>
  </si>
  <si>
    <t>Françoise</t>
  </si>
  <si>
    <t>12 juin 1950</t>
  </si>
  <si>
    <t>65 grande rue du Port</t>
  </si>
  <si>
    <t>Châteauneuf sur Loire</t>
  </si>
  <si>
    <t>francoise.cavelier@orange.fr</t>
  </si>
  <si>
    <t>06 71 47 45 52</t>
  </si>
  <si>
    <t>02 38 46 06 31</t>
  </si>
  <si>
    <t>Chant sans partition - sans être lectrice, je sais lire une partition avec un travail personnel de déchiffrage des mélodies au piano - travail personnel efficace. 
actuellement élève d' Estelle Micheau</t>
  </si>
  <si>
    <t>Participe à de nombreux projets avec mise en scène au sein d'un groupe vocal " A fleur de Voix"
travail voix lyrique avec divers enseignants : Jasmin Martorel - Aurélie Carré - Catherine Boni - Estelle Micheau (actuellement)</t>
  </si>
  <si>
    <t>participe depuis 2009 à divers spectacles à multiples représentations
A fleur de femmes au cœur des hommes  
Festival du futur composé - Artiste/Autisme
2012 : Les amants de Séville théâtre Sylvia Monfort - Paris
2016 : Traviata - théâtres des variété - Paris
***  
2013-2014-2015 : les Opéras Minutes de Darius Milhaud (théâtre des Minuits - 45) 
Des Opéras Minutes 15 (Opéras minute Darius Miilhaud +  Cantate sur textes Max Jacob et musique Stéphane Leach )
2017-2018 "Sur l'île d'Alcina" d'après Haendel - création ce 10 juin 2018 - Neuville aux Bois (rôle de Bradamante)</t>
  </si>
  <si>
    <t>Depuis de nombreuses années, ma passion : les mots, les notes, la scène.
J'aime la scène
j'aime la préparation d'un spectacle et l'être ensemble
j'aime le bain des notes
j'aime le travail vocal
j'aime transmettre aux spectateurs cette émotion que je ressens lorsque je suis spectatrice. Donner sa voix -  Se donner.</t>
  </si>
  <si>
    <t>Absent le Dimanche 9 septembre matin
Absent le Dimanche 9 septembre après-midi</t>
  </si>
  <si>
    <t>90.63.5.187</t>
  </si>
  <si>
    <t>DELANGRE</t>
  </si>
  <si>
    <t>dominique</t>
  </si>
  <si>
    <t>3 Avril 1962</t>
  </si>
  <si>
    <t>433 ter rue du faubourg bannier</t>
  </si>
  <si>
    <t>orléans</t>
  </si>
  <si>
    <t>delangre.jm@free.fr</t>
  </si>
  <si>
    <t>06 19 71 09 57</t>
  </si>
  <si>
    <t>Prix CRR PARIS... il y a longtemps!</t>
  </si>
  <si>
    <t>Fabrique opéra: Carmen, Flûte enchantée, Aïda</t>
  </si>
  <si>
    <t>Fabrique Opéra Val de Loire</t>
  </si>
  <si>
    <t>Pour l'ambiance extraordinaire qui m'a manqué l'an dernier.... l'esprit de la Fabrique et la belle leçon d'espoir que donne ce projet!</t>
  </si>
  <si>
    <t>Carmen
La Flûte enchantée
Aïda</t>
  </si>
  <si>
    <t>86.196.91.49</t>
  </si>
  <si>
    <t>Berckmans</t>
  </si>
  <si>
    <t>Nadège</t>
  </si>
  <si>
    <t>5 Janvier 1986</t>
  </si>
  <si>
    <t>43 rue de st pryvé</t>
  </si>
  <si>
    <t>St Pryvé St Mesmin</t>
  </si>
  <si>
    <t>nadege.berckmans@gmail.com</t>
  </si>
  <si>
    <t>06 69 99 41 11</t>
  </si>
  <si>
    <t>Brevet de fin de 2ème cycle (conservatoire de Chalon sur Saône).
Pratique du saxophone jusqu'en 2 année de 3ème cycle (conservatoire de Chalon sur Saône).
En 2ème cycle en violoncelle (conservatoire d'Olivet).</t>
  </si>
  <si>
    <t>Je n'ai malheureusement pas pu participer l'année dernière pour indisponibilité professionnelle.
J'avais beaucoup aimé participer à l'opéra Aïda et aimerais vraiment pouvoir revivre ces moments de création, de musique et de partage.</t>
  </si>
  <si>
    <t>Oui.</t>
  </si>
  <si>
    <t>37.171.152.54</t>
  </si>
  <si>
    <t>HELAINE</t>
  </si>
  <si>
    <t>Evelyne</t>
  </si>
  <si>
    <t>17 Janvier 1970</t>
  </si>
  <si>
    <t>8 impasse de la Cholette</t>
  </si>
  <si>
    <t>SIGLOY</t>
  </si>
  <si>
    <t>evelyne.helaine@wanadoo.fr</t>
  </si>
  <si>
    <t>06 59 01 06 86</t>
  </si>
  <si>
    <t>02 38 57 29 39</t>
  </si>
  <si>
    <t>Connaissances du solfège. 
Je ne lis pas à vue, j'utilise musecore pour déchiffer les partitions. 
Je travaille beaucoup à l'oreille.</t>
  </si>
  <si>
    <t>Je suis et ai été très vite été attirée par les projets coopératifs de la Fabrique Opéra depuis Carmen. Je n'ai osé posé ma candidature que l'année dernière, j'ai été recrutée dans le choeur tutti et je me suis vraiment éclatée. J'aime l'ambiance, j'ai fait de belles rencontres et en suis vraiment ressorte enrichie Je souhaite donc poursuivre l'aventure avec vous.</t>
  </si>
  <si>
    <t>J'ai déjà regardé mon agenda et bloqué les dates. Je serai, comme l'an passé, présente à toutes les répétitions. J'ai survécu à la semaine de production de My fair lady. La fatigue s'est trouvée effacée par l'enthousiasme et le plaisir de faire partie d'un tel projet. J'ai donc pu vivre ma vie professionnelle, personnelle et ce projet sans problème ni obstacle. Je suis prête à réitérer.</t>
  </si>
  <si>
    <t>92.152.14.47</t>
  </si>
  <si>
    <t>SIX</t>
  </si>
  <si>
    <t>Christine</t>
  </si>
  <si>
    <t>30 Avril 1950</t>
  </si>
  <si>
    <t>37 rue du Bourg</t>
  </si>
  <si>
    <t>Saran</t>
  </si>
  <si>
    <t>sixchristine@aol.com</t>
  </si>
  <si>
    <t>06 82 30 93 62</t>
  </si>
  <si>
    <t>02 38 73 28 51</t>
  </si>
  <si>
    <t>bon niveau musical. Je peux déchiffrer une partition. Je suis choriste depuis de nombreuses années et je joue du piano</t>
  </si>
  <si>
    <t>j'ai toujours chanté en chorale. J'ai aussi fait de la direction de chœur pendant 10 ans</t>
  </si>
  <si>
    <t>des expériences anciennes + participation à 3 éditions du chœur opéra</t>
  </si>
  <si>
    <t>je suis engagée dans le projet depuis le début. L'an dernier pour des raisons familiales je n'ai pas pu participer dans les chœurs, mais c'est un projet auquel je crois . Je me suis donc plus investie dans la partie organisation. Cette année j'aimerais participer au chœur et à l'organisation.</t>
  </si>
  <si>
    <t>93.0.10.55</t>
  </si>
  <si>
    <t>CHERY</t>
  </si>
  <si>
    <t>LAURENCE</t>
  </si>
  <si>
    <t>15 Novembre 1962</t>
  </si>
  <si>
    <t>39 Rue Alexandre Dumas</t>
  </si>
  <si>
    <t>l.chery@brgm.fr</t>
  </si>
  <si>
    <t>06 48 37 76 51</t>
  </si>
  <si>
    <t>02 38 64 22 45</t>
  </si>
  <si>
    <t>solfège et guitare au conservatoire pendant 5 ans</t>
  </si>
  <si>
    <t>expérience au chœur amateur de la Musique de Léonie + chœur opéra</t>
  </si>
  <si>
    <t>Carmen, la flute, Aida, My fair lady
expériences de théâtre pendant les années lycée</t>
  </si>
  <si>
    <t>partager les valeurs de la Fabrique Opéra : solidarité, partage, aventure humaine, partage avec les jeunes, une aventure musicale et humaine</t>
  </si>
  <si>
    <t>193.56.4.244</t>
  </si>
  <si>
    <t>Micoulaut</t>
  </si>
  <si>
    <t>Benoît</t>
  </si>
  <si>
    <t>17 juin 1964</t>
  </si>
  <si>
    <t>44 rue des closiers</t>
  </si>
  <si>
    <t>benoit.micoulaut@ac-orleans-tours.fr</t>
  </si>
  <si>
    <t>06 51 74 68 54</t>
  </si>
  <si>
    <t>02 38 43 36 74</t>
  </si>
  <si>
    <t>Niveau musical confirmé : CNR Rueil même si cela date des années 80</t>
  </si>
  <si>
    <t>3 années de Fabrique Orléans, notamment.
Expériences de chant choral avec le choeur supplétif (amateur) de l'opéra de Magdebourg (RFA) dans les année s 90</t>
  </si>
  <si>
    <t>Un plaisir toujours recommencé que de participer aux projets de la Fabrique !</t>
  </si>
  <si>
    <t>90.19.42.3</t>
  </si>
  <si>
    <t>JIMENES</t>
  </si>
  <si>
    <t>Marguerite</t>
  </si>
  <si>
    <t>1 juin 1955</t>
  </si>
  <si>
    <t>12 allée des acacias</t>
  </si>
  <si>
    <t>Saint Jean de Braye45800</t>
  </si>
  <si>
    <t>marguerite.jimenes@orange.fr</t>
  </si>
  <si>
    <t>06 42 44 58 58</t>
  </si>
  <si>
    <t>Quelques années de piano et de chant choral… et pas mal d'écoute.
cours de chant individuels depuis 2 années</t>
  </si>
  <si>
    <t>Je participe  à la chorale Cantate de la Chapelle Saint Mesmin depuis 2010 (répertoire 19 et 20 ème siècle).</t>
  </si>
  <si>
    <t>Participation à Aida en 2016/17 (la fabrique opéra)</t>
  </si>
  <si>
    <t>J'ai beaucoup apprécié l'expérience d'Aida : travail scénique en plus du chant choral, autre manière de travailler le chant, dynamique du groupe assez exceptionnelle</t>
  </si>
  <si>
    <t>Absent le Dimanche 9 septembre après-midi</t>
  </si>
  <si>
    <t>86.220.221.125</t>
  </si>
  <si>
    <t>POITELON</t>
  </si>
  <si>
    <t>GILLES</t>
  </si>
  <si>
    <t>11 Novembre 1957</t>
  </si>
  <si>
    <t>64 rue Lazare CARNOT</t>
  </si>
  <si>
    <t>gilles.poitelon@gmail.com</t>
  </si>
  <si>
    <t>06 71 50 29 57</t>
  </si>
  <si>
    <t>Participation au Chœur amateur de la musique de Léonie
Les coulisses de Carmen
Le renard de roman
D'Artagnan
La cuisine de Léonie</t>
  </si>
  <si>
    <t>Pour passer à une étape supérieur du Choeur amateur</t>
  </si>
  <si>
    <t>90.63.3.37</t>
  </si>
  <si>
    <t>RABINEAU</t>
  </si>
  <si>
    <t>MARTINE</t>
  </si>
  <si>
    <t>15 Septembre 1966</t>
  </si>
  <si>
    <t>106 rue du faubourg Madeleine</t>
  </si>
  <si>
    <t>rabineau.martine@orange.fr</t>
  </si>
  <si>
    <t>06 86 32 10 80</t>
  </si>
  <si>
    <t>02 38 53 01 04</t>
  </si>
  <si>
    <t>Déchiffrage à vue, formation en conservatoire il y a très longtemps! pratique du piano</t>
  </si>
  <si>
    <t>pratique du chant choral depuis l'age de 10 ans dans des structures très différentes (paroisses, chœur de femmes Patrick Marié, chœurs éphémères fête de la musique ...)</t>
  </si>
  <si>
    <t>Fidèle à la Fabrique opéra depuis le début ...</t>
  </si>
  <si>
    <t>Un grand vide sinon ... Le besoin de retrouver ces sensations indescriptibles ressenties au Zénith,  pour rendre hommage à la musique et au chant . Pour faire à nouveau vibrer des milliers de spectateurs !!</t>
  </si>
  <si>
    <t>Oui je m'y engage !</t>
  </si>
  <si>
    <t>90.63.35.198</t>
  </si>
  <si>
    <t>BIGET</t>
  </si>
  <si>
    <t>Arlette</t>
  </si>
  <si>
    <t>27 Janvier 1948</t>
  </si>
  <si>
    <t>2 rue de la treille</t>
  </si>
  <si>
    <t>cerdon du loiret</t>
  </si>
  <si>
    <t>arlette.biget@gmail.com</t>
  </si>
  <si>
    <t>06 85 05 08 08</t>
  </si>
  <si>
    <t>niveau professionnel</t>
  </si>
  <si>
    <t>choeur SDC Orléans</t>
  </si>
  <si>
    <t>Choriste dans les trois derniers spectacles de la Fabrique Opéra</t>
  </si>
  <si>
    <t>Parce qu'il est génial...</t>
  </si>
  <si>
    <t>Je m'y engage</t>
  </si>
  <si>
    <t>90.107.189.233</t>
  </si>
  <si>
    <t>MONTARU</t>
  </si>
  <si>
    <t>Maryvonne</t>
  </si>
  <si>
    <t>16 Octobre 1947</t>
  </si>
  <si>
    <t>904 rue du Pressoir Aubry</t>
  </si>
  <si>
    <t>OLIVET</t>
  </si>
  <si>
    <t>mary.montaru@gmail.com</t>
  </si>
  <si>
    <t>06 28 18 70 43</t>
  </si>
  <si>
    <t>02 38 69 14 24</t>
  </si>
  <si>
    <t>J'ai une formation musicale amateur. Cours de solfège au Conservatoire pendant ma période lycéenne.
Stages de chant choral aux Choralies de Vaison la Romaine ainsi qu'à St Lo et aux Contamines.</t>
  </si>
  <si>
    <t>Je chante depuis l'année 2000 dans des chorales.
Je suis actuellement au Ludion à Olivet et à Cantate à la Chapelle St Mesmin.
J'ai chanté Dogora dans l'amphithéâtre de Vaison en 2010 et dans le Choeur de Noël de la Musique de Léonie en 2016.
Depuis sa création je participe au Grand Choeur de Cléry.</t>
  </si>
  <si>
    <t>J'ai chanté Mozart à Olivet en 2009 avec "Mozart Val de Loire"
J'ai chanté Aïda  en 2017 avec le choeur opéra de la musique de Léonie</t>
  </si>
  <si>
    <t>Je suis très intéressée par ce projet qui associe amateurs , professionnels et élèves et qui nous permet de nous exprimer par la voix et le corps.</t>
  </si>
  <si>
    <t>oui sauf le mardi 16 octobre 2018</t>
  </si>
  <si>
    <t>Mardi 16 Octobre - 19h30 / 22h30</t>
  </si>
  <si>
    <t>80.119.33.93</t>
  </si>
  <si>
    <t>MAURIN</t>
  </si>
  <si>
    <t>Jean</t>
  </si>
  <si>
    <t>1 Septembre 1956</t>
  </si>
  <si>
    <t>27 avenue du Stade</t>
  </si>
  <si>
    <t>Saint-Denis-de-l'Hôtel</t>
  </si>
  <si>
    <t>jean.maurin45@gmail.com</t>
  </si>
  <si>
    <t>07 69 82 97 20</t>
  </si>
  <si>
    <t>09 52 26 79 26</t>
  </si>
  <si>
    <t>bon niveau solfège</t>
  </si>
  <si>
    <t>45 ans de chant chorale dans plusieurs chœurs et chorales</t>
  </si>
  <si>
    <t>Participation au 4 premiers projets de la Fabrique Opéra Val de Loire</t>
  </si>
  <si>
    <t>Pour continuer une formidable aventure !</t>
  </si>
  <si>
    <t>Oui bien sur !</t>
  </si>
  <si>
    <t>78.227.21.10</t>
  </si>
  <si>
    <t>HAGLUND</t>
  </si>
  <si>
    <t>Jean-Christophe</t>
  </si>
  <si>
    <t>3 Octobre 1946</t>
  </si>
  <si>
    <t>55 allée des Cèdres</t>
  </si>
  <si>
    <t>allée des Cèdres</t>
  </si>
  <si>
    <t>Olivet</t>
  </si>
  <si>
    <t>jchaglund@wanadoo.Fr</t>
  </si>
  <si>
    <t>02 38 68 52 00</t>
  </si>
  <si>
    <t>06 86 68 03 56</t>
  </si>
  <si>
    <t>Je pianote... en improvisation (!)
Mais je peux aussi déchiffrer des partitions simples.</t>
  </si>
  <si>
    <t>Depuis 12 ans, je chante dans la chorale Oliphonia d'Olivet et dans des regroupements de chorale (Terpsichore..; Dogora...)</t>
  </si>
  <si>
    <t>Participation aux ateliers et représentations de l'option théâtre du lycée Jean Zay.
Participation à My fair lady en 2017-2018</t>
  </si>
  <si>
    <t>J'ai apprécié l'expérience qu'a constitué pour moi My Fair lady l'an passé.</t>
  </si>
  <si>
    <t>86.221.161.222</t>
  </si>
  <si>
    <t>CHARRIERE</t>
  </si>
  <si>
    <t>ALAIN</t>
  </si>
  <si>
    <t>17 Mai 1951</t>
  </si>
  <si>
    <t>21 Rue François Marchand</t>
  </si>
  <si>
    <t>algepicha@sfr.fr</t>
  </si>
  <si>
    <t>07 70 32 04 89</t>
  </si>
  <si>
    <t>02 38 76 21 85</t>
  </si>
  <si>
    <t>je lis les partitions
je chante dans une chorale Choeur Cantate depuis 1995
je chante en ténor 1 actuellement</t>
  </si>
  <si>
    <t>différents stages avec le Cépravoi.posture, harmonique,
stage Monéverdi 
concert Magnificat Vivaldi avec Confluence,
concerts avec Choeur Cantate 
grand choeur de Cléry  2 saisons 
My Fair Lady  choeur Tutti  Ténor 1</t>
  </si>
  <si>
    <t>expérience de placement,déplacement en chantant,improvisation,
écoute et bon sens maintenant  de l'espace scénique
bonne résistance au stress</t>
  </si>
  <si>
    <t>j 'ai pris goût au fait de bouger en chantant et de m 'imprégner du travail de répétition,de création, et l accompagnement par un orchestre est vraiment très porteur de sensations fortes.
je souhaite retrouver le groupe My Fair Lady et également mes amis de différents choeur de la Région Orléanaise</t>
  </si>
  <si>
    <t>oui.
 sauf le mardi 11 Septembre j 'ai réservé et payé un voyage  culturel de 5 jours  depuis 6 mois.</t>
  </si>
  <si>
    <t>90.107.54.121</t>
  </si>
  <si>
    <t>LIEVIN</t>
  </si>
  <si>
    <t>FRANCOIS</t>
  </si>
  <si>
    <t>19 Septembre 1953</t>
  </si>
  <si>
    <t>16 clos de la fromentee</t>
  </si>
  <si>
    <t>flievin@free.fr</t>
  </si>
  <si>
    <t>02 38 76 82 67</t>
  </si>
  <si>
    <t>06 51 25 19 62</t>
  </si>
  <si>
    <t>J'ai participé à Aïda et My Fair Lady en plus d'autres prestations type Dogora avec Opus45 , lumières de Cléry, divers concerts avec mes chorales, spectacles avec la musique de Léonie</t>
  </si>
  <si>
    <t>plus de 25 ans de chant choral</t>
  </si>
  <si>
    <t>J'ai participé à Aïda, My Fair Lady, Trois mousquetaires, divers spectacles de fin d'année avec l'école de chant de St Denis en Val avec mise en scène.</t>
  </si>
  <si>
    <t>Dans la continuité de Aïda et my Fair lady, accéder à un domaine musical qui me paraissait inatteignable, continuer à partager avec les choristes, jouer sur scène.</t>
  </si>
  <si>
    <t>Comme fait pour Aïda et my Fair Lady, pas de pb.</t>
  </si>
  <si>
    <t>88.167.156.23</t>
  </si>
  <si>
    <t>VIALE</t>
  </si>
  <si>
    <t>Marie-Noëlle</t>
  </si>
  <si>
    <t>8 mars 1947</t>
  </si>
  <si>
    <t>172, Allée des Alouettes</t>
  </si>
  <si>
    <t>mnv45@orange.fr</t>
  </si>
  <si>
    <t>06 89 37 87 76</t>
  </si>
  <si>
    <t>J'ai appris le solfège, je l'ai appliqué ensuite avec le chant choral et la pratique du piano.( Diplômes de Piano Degrés préparatoire et Elémentaire en 1959 et 1961 )</t>
  </si>
  <si>
    <t>Chant choral lorsque j'étais enfant à l'école puis adolescente (chorale paroissiale )Maintenant, chorale de l'UTL, du Grand chœur de Cléry et du chœur "CANTATE" à La Chapelle St Mesmin.</t>
  </si>
  <si>
    <t>Audition l'année dernière pour "My Fair Lady"</t>
  </si>
  <si>
    <t>Pour l'intérêt pédagogique, voire initiatique, et l'enthousiasme qu'il suscite auprès des jeunes et des moins jeunes... Mais aussi parce que je suis particulièrement attachée à cet opéra. Mon père m'a initié à l'Opéra grâce à Faust qui a été joué il y a fort longtemps à l'opéra de Nancy ( avec Xavier DEPRAZ dans le rôle de Méphisto )J'étais jeune et pensais plutôt me divertir avec la musique des années 60...Mais j'ai été vite enthousiasmée par ce qui se déroulait sous mes yeux,et les mélodies de ce qui est devenu mon opéra préféré ! C'est cet opéra qui m'a amené à poursuivre et assister  à l'écoute et la représentation d'autres œuvres,notamment à l'Opéra Garnier...</t>
  </si>
  <si>
    <t>90.19.113.90</t>
  </si>
  <si>
    <t>Lagarrigue</t>
  </si>
  <si>
    <t>Josiane</t>
  </si>
  <si>
    <t>7 Février 1950</t>
  </si>
  <si>
    <t>7 Boulevard Pierre Segelle</t>
  </si>
  <si>
    <t>Orleans</t>
  </si>
  <si>
    <t>jos.or@wanadoo.fr</t>
  </si>
  <si>
    <t>06 80 13 69 55</t>
  </si>
  <si>
    <t>Solfège et accordéon 4 années (scolaire) 
Solfège et Piano 6eme année (Adulte)
je suis des cours d'harmonie sur le net par Mr Fabre professeur Conservatoire Paris afin de mieux comprendre la construction musicale</t>
  </si>
  <si>
    <t>1 année à l'Utl puis 2 années Saint CyrPhonie  2 années Chants de la Renaissance, Participation au grand Choeur de Cléry St André (Stabat Mater en 2017) 
Participation à l'Opéra de Verdi Aida en 2017</t>
  </si>
  <si>
    <t>Projet Aida en tant que Choriste Alto, cette expérience fut et reste inoubliable, le travail intense, j'ai beaucoup appris tant au niveau Choral (merci Corinne pour ta maitrise et ton professionnalisme)  que sur la partie mise en Scène.</t>
  </si>
  <si>
    <t>Revivre à travers une nouvelle Oeuvre connue, ces moments si rares de collaboration à un projet d'envergure et participatif.</t>
  </si>
  <si>
    <t>oui   sur toute la durée du projet</t>
  </si>
  <si>
    <t>90.20.176.45</t>
  </si>
  <si>
    <t>SOHIER</t>
  </si>
  <si>
    <t>Jean Claude</t>
  </si>
  <si>
    <t>9 Novembre 1962</t>
  </si>
  <si>
    <t>21 place Drouot</t>
  </si>
  <si>
    <t>Saint Jean de la Ruelle</t>
  </si>
  <si>
    <t>jcige.sohier@cegetel.net</t>
  </si>
  <si>
    <t>06 46 68 67 60</t>
  </si>
  <si>
    <t>02 38 72 04 94</t>
  </si>
  <si>
    <t>Déchiffrage et chant par coeur</t>
  </si>
  <si>
    <t>Choral Francis Poulenc Orléans 10 ans
Choeur Opéra musique de Ironie
La route enchantée Aida My Fair Lady</t>
  </si>
  <si>
    <t>3 derniers spectacles avec le Choeur Opéra Orleans</t>
  </si>
  <si>
    <t>J aime le chant, le travail en groupe, la mise en scène et les représentations publiques</t>
  </si>
  <si>
    <t>80.214.115.29</t>
  </si>
  <si>
    <t>Alouini</t>
  </si>
  <si>
    <t>Sonia</t>
  </si>
  <si>
    <t>5 Juillet 2002</t>
  </si>
  <si>
    <t>16 rue porte dunoise</t>
  </si>
  <si>
    <t>soniarassaalouini@gmail.com</t>
  </si>
  <si>
    <t>07 87 62 62 21</t>
  </si>
  <si>
    <t>06 75 07 27 17</t>
  </si>
  <si>
    <t>2eme cycle 3eme année de piano et solfège au conservatoire d'Orléans.</t>
  </si>
  <si>
    <t>2 ans de chant coeur des enfants 
1 ans choeur des jeunes +chorale du collège</t>
  </si>
  <si>
    <t>Spectacle à la cathédrale  avec " Laurent Voulzy,  et nombreux autres concerts avec le choeur des enfants dont au théâtre d'Orléans avec"le voyage de seth".  Avec le choeur des jeunes Concours brin d'herbe accompagnateurs des pianistes en tant que chanteuse   spectacles pendant 4 jours +concert avec les  finalistes au théâtre des bouffes du Nord à Paris , Spectacle des années 60 "60's revolution" au Zénith.</t>
  </si>
  <si>
    <t>Je souhaite participer à ce projet car j'adore chanter et participer à des mises en scènes. Ayant fait pas mal de spectacles je trouve cette expérience très enrichissante.</t>
  </si>
  <si>
    <t>80.12.39.200</t>
  </si>
  <si>
    <t>Etiève -Flizet</t>
  </si>
  <si>
    <t>Véronique</t>
  </si>
  <si>
    <t>12 mars 1965</t>
  </si>
  <si>
    <t>6 Rue des Plesses</t>
  </si>
  <si>
    <t>Baule</t>
  </si>
  <si>
    <t>etievefamily@gmail.com</t>
  </si>
  <si>
    <t>06 66 57 47 45</t>
  </si>
  <si>
    <t>02 38 45 02 74</t>
  </si>
  <si>
    <t>Je suis inscrite depuis 6 ans à l'école de musique de Baule en formation musicale avec Julien Bernard, encours de chante avec Aurélie Carré, en instrument avec Emmanuel Quatrehomme. Je joue du Sousaphone dans la fanfare de l'école" les Kisombos" co-dirigée par Jérôme Germond et Julien Bernard.</t>
  </si>
  <si>
    <t>Je pratique le chante en chorale depuis plus de 10 ans. Dans la chorale " La Clé des Champs" de Messas dirigée par Aurélie Carré. Depuis  septembre 2017, j' ai intégré le choeur "Cantate" de la Chapelle Saint Mesmin sous la direction de Frederic Labadie. 
Depuis 4 ans, je chante dans le  "Grand Choeur de Clery Saint André" , dirigé par Corinne Barrère  puis depuis 2017 par Emilie Legroux.
Les 16- 17 juin de 2018 au théâtre d’Orléans , je vais chanter avec le Chœur Symphonique du Conservatoire d’Orléans et l’Orchestre Symphonique d’Orléans ,« Carmina Burana » de C.Orff ,sous la direction de Marius Stieghorst.</t>
  </si>
  <si>
    <t>Les 8-9-10 mars 2013 à Beaugency, j'ai chanté dans le chœur de "L'Opéra de Quat'Sous" de Brecht , direction de Maxime Alary pour la Société musicale de Beaugency et Christian Serne pour la mise en scène.
Les 17-18-19 mars 2017 au Zénith d’Orléans j'ai chanté dans le cœur de l’opéra « Aïda » de Verdi sous la direction de Clément Joubert,mise en scène par Wahid Lamara Je faisais du  groupe des esclaves qui notamment formé une pointe en fin de l’acte deux puis terminé au sol en implorant la pitié du roi.</t>
  </si>
  <si>
    <t>J’ai vu trois productions de La Fabrique à Opéra au Zénith d’Orléans et j’ai participé à un des Opéras. Tout le concept de La Fabrique à Opéra me touche, la découverte, le partage, la transmission, la culture……Chanter dans un grand cœur c’est tellement magnifique et humainement c’est une belle aventure dont on ne se lasse pas........</t>
  </si>
  <si>
    <t>Je m'engage à être presente à toutes les répétitions et sur les horaires de la semaine de production.</t>
  </si>
  <si>
    <t>87.236.104.35</t>
  </si>
  <si>
    <t>BOITIER</t>
  </si>
  <si>
    <t>PHILIPPE</t>
  </si>
  <si>
    <t>15 mars 1946</t>
  </si>
  <si>
    <t>96 RUE THÉOPHILE JOURDAN</t>
  </si>
  <si>
    <t>philippeboitier@hotmail.com</t>
  </si>
  <si>
    <t>02 38 64 25 65</t>
  </si>
  <si>
    <t>Bonne</t>
  </si>
  <si>
    <t>Ayant gardé un excellent souvenir de My fair Lady en 2018,je souhaite renouveler en 2019 avec FAUST.J'adore danser avec des caisses de fleurs... !</t>
  </si>
  <si>
    <t>voir réponse précedente</t>
  </si>
  <si>
    <t>Pas de problème.</t>
  </si>
  <si>
    <t>90.19.104.39</t>
  </si>
  <si>
    <t>marie- claude</t>
  </si>
  <si>
    <t>28 mars 1949</t>
  </si>
  <si>
    <t>06 70 35 33 81</t>
  </si>
  <si>
    <t>Bon</t>
  </si>
  <si>
    <t>Concerts de chant choral depuis  depuis 15 ans environ. D'abord choeur du Ludion à Olivet puis choeur Cantate à La Chapelle saint Mesmin.
En parallèle participation au grand Choeur notre Dame de Cléry.</t>
  </si>
  <si>
    <t>pas eu l'occasion</t>
  </si>
  <si>
    <t>Vivre l'expérience enthousiasmante d'amis choristes et de mon mari ayant déjà participé.
Apprendre un répertoire différent de ce que peut produire un chœur de 50 personnes ( que par ailleurs  j'aime beaucoup) et mêlant expression corporelle et chants.</t>
  </si>
  <si>
    <t>MERCHIE</t>
  </si>
  <si>
    <t>28 Février 1966</t>
  </si>
  <si>
    <t>48 rue des peupliers</t>
  </si>
  <si>
    <t>saint jean de braye</t>
  </si>
  <si>
    <t>laurent.merchie@laposte.net</t>
  </si>
  <si>
    <t>06 71 05 26 20</t>
  </si>
  <si>
    <t>02 38 21 66 48</t>
  </si>
  <si>
    <t>je sais lire une partition (chant et instrument clarinette)
formation musicale en ecole de musique (7 ans -16 ans) puis harmonie musicale jusqu'à 22 ans
musicien de l'armée de marine en 1988
orchestre harmonie a st jean de braye (2007-2009)
stage de chant en 2017 ( 1 jour avec estelle michau)</t>
  </si>
  <si>
    <t>stabat mater en 1988 (choeur interlycée)
groupe choral (10-15 personnes) chant europeen (2003-2005)
chant gospel et africain (10-15 personnes) 2004-2005
aida la fabrique opera vdl 2017</t>
  </si>
  <si>
    <t>aida la fabrique opera vdl 2017</t>
  </si>
  <si>
    <t>parce que les personnages sont complexes , l'histoire est sombre et reste contemporaine
pour faire decouvrir l'opéra au plus grand nombre
parce qu'en 2017 avec AIDA de la FOVDL j'ai aussi vecu de très grands moments (répétition et sur scène)
parce que j'aime l'esprit de groupe qui s'en dégage</t>
  </si>
  <si>
    <t>oui je serai présent</t>
  </si>
  <si>
    <t>82.231.245.72</t>
  </si>
  <si>
    <t>Dhoury</t>
  </si>
  <si>
    <t>Laurine</t>
  </si>
  <si>
    <t>25 Avril 1991</t>
  </si>
  <si>
    <t>741 rue de Monerjou</t>
  </si>
  <si>
    <t>Huisseau sur Mauves</t>
  </si>
  <si>
    <t>laurine.dhoury@yahoo.fr</t>
  </si>
  <si>
    <t>07 67 06 25 71</t>
  </si>
  <si>
    <t>J'ai commencé la musique il y a 20 ans. Depuis j'ai eu mon DEM de saxophone au CRD d'Orléans en 2012 (professeur Frédéric Juranville) puis j'ai obtenu mon brevet de gros tuba UCEM en 2016.
Lors de mon expérience à Montréal, j'ai pu intégrer le Griffon BrassBand sous la direction de Dave Martin.
Aujourd'hui, de retour en France, je joue dans le BrassBand Val de Loire (direction Jérôme Genza).</t>
  </si>
  <si>
    <t>Je pratique la musique et le chant choral depuis l'âge de 7 ans.
J'ai eu l'occasion de chanter sous la direction d'Elisabeth Renault (Requiem de Mozart) et actuellement dans la chorale Les Uns et Les Autres (direction Yveline Loulier).
J'ai également passé un peu moins d'un an au Canada et j'ai pu intégrer le Grand Choeur de Montréal pour une session (entre autre dans le programme, le Magnificat de Rutter).</t>
  </si>
  <si>
    <t>Je n'ai pas eu l'occasion de travailler sur des spectacles avec de la mise en scène pour le moment (même si nous préparons l'Histoire de la Vie en ce moment avec le BrassBand et une mise en scène de Quentin Delépine).</t>
  </si>
  <si>
    <t>Je souhaite participer à ce projet car j'aimerais travailler le chant avec de la mise en scène. 
J'ai toujours été très attirée par le côté théâtral du chant. 
L'année prochaine (année 2018/2019), j'ai pour projet de prendre des cours de chants pour aller plus loin dans le travail de ma voix. Depuis toujours, le chant me passionne et m'épanouit!
Je n'ai pas pu m'engager lors des opéras précédents car je n'étais pas disponible.
Mais j'ai pu assister aux 4 représentations et j'ai adoré!
Aujourd'hui j'aimerais beaucoup m'investir dans cette aventure avec vous et participer à ce projet qui me fait rêver tous les ans!</t>
  </si>
  <si>
    <t>Oui je m'y engage avec plaisir!</t>
  </si>
  <si>
    <t>78.245.203.13</t>
  </si>
  <si>
    <t>Bruneau</t>
  </si>
  <si>
    <t>Heloïse</t>
  </si>
  <si>
    <t>4 Novembre 2002</t>
  </si>
  <si>
    <t>12 rue Michel Adam</t>
  </si>
  <si>
    <t>hmbruneau@sfr.fr</t>
  </si>
  <si>
    <t>07 50 98 02 66</t>
  </si>
  <si>
    <t>06 41 48 11 48</t>
  </si>
  <si>
    <t>J'ai passer  mon examen de cycle 1. J'ai aussi fais 2ans du violon.</t>
  </si>
  <si>
    <t>J ai fais 4ans et demi de chant choral et aussi au collège  tous les ans j ai suivi les cours avec les profs et participé aux concerts</t>
  </si>
  <si>
    <t>Avec le coeur d Elisabeth Renault des enfants  une année j ai participé à Carmen et j'ai fais aussi le voyage de Seth de Pilippe Dulat</t>
  </si>
  <si>
    <t>Je souhaite  participer à ce projet  car je suis passionnée de chant et de musique  depuis toute petite.</t>
  </si>
  <si>
    <t>Oui je m'engage</t>
  </si>
  <si>
    <t>Dimanche 17 Mars - 13h / 19h30 (absence non permise)</t>
  </si>
  <si>
    <t>Absent le Samedi 8 septembre matin
Absent le Dimanche 9 septembre après-midi</t>
  </si>
  <si>
    <t>77.136.19.245</t>
  </si>
  <si>
    <t>Joubert</t>
  </si>
  <si>
    <t>Mélanie</t>
  </si>
  <si>
    <t>23 Février 1984</t>
  </si>
  <si>
    <t>51 venelle gambetta</t>
  </si>
  <si>
    <t>St Jean-de-la-Ruelle</t>
  </si>
  <si>
    <t>m.joubert.d@gmail.com</t>
  </si>
  <si>
    <t>06 46 37 17 66</t>
  </si>
  <si>
    <t>DEM en clarinette à Toulouse (2007). 
Cursus de solfège validé. 
Je termine ma 1ère année de 3ème cycle en classe de chant au Conservatoire d'Orléans.</t>
  </si>
  <si>
    <t>choeur symphonique durant 3 ans (vers 2012) 
+ 1 année choeur amateur 
+ ensemble vocal du conservatoire (2017) 
+ La Bonne chanson depuis 3 ans 
+ Choeur de Noël depuis 6 ans ...</t>
  </si>
  <si>
    <t>1ère expérience : stage de comédie musicale en 2015.
Puis au moins 4 expériences de chant lyrique + mise en scène au conservatoire
Participation à Aïda et My Fair Lady</t>
  </si>
  <si>
    <t>Projet magnifique qui en plus m'apporte énormément de plaisir sur scène (+ la bonne ambiance du choeur).</t>
  </si>
  <si>
    <t>Oui sauf que j'ai PEUT-ETRE un problème pour :
- samedi 9 mars, je devrais partir à 18h au lieu de 19h30
- dimanche 10 mars, je devrais partir à 14h30 au lieu de 16h30
Il s'agit de raccords de concert donc je ne peux pas trop y couper. Sauf que le problème serait pour l'une des 2 dates seulement.</t>
  </si>
  <si>
    <t>Samedi 9 Mars - 15h / 19h30
Dimanche 10 Mars - 9h30 / 16h30</t>
  </si>
  <si>
    <t>82.235.229.62</t>
  </si>
  <si>
    <t>NTITEBIRAGEZA</t>
  </si>
  <si>
    <t>Thérèse</t>
  </si>
  <si>
    <t>25 mars 1953</t>
  </si>
  <si>
    <t>15 rue Louise Labè</t>
  </si>
  <si>
    <t>ntite.therese@gmail.com</t>
  </si>
  <si>
    <t>06 64 62 47 90</t>
  </si>
  <si>
    <t>CAPES Éducation Musicale</t>
  </si>
  <si>
    <t>Depuis l'âge de 20 ans , j'ai toujours fait partie d'une chorale .</t>
  </si>
  <si>
    <t>J'ai participé à Aïda et My Fair Lady</t>
  </si>
  <si>
    <t>Tout d'abord, en tant qu'ancienne enseignante, j'adhère pleinement à  ce concept d'opéra participatif qui implique des jeunes en formation et qui leur permet, d'une façon très concrète,  une ouverture culturelle qu'ils n'auraient sans doute pas sans ce projet. (il faudrait décorer celui qui a eu cette idée !!!! ).
Enfin d'un point de vue plus personnel , je trouve très enrichissant de faire partie de cette aventure qui permet de rencontrer ces jeunes justement, mais aussi tous les autres participants,  qu'ils soient musiciens ou pas. Je souhaite donc retrouver encore une fois l'ambiance de convivialité et de qualité de travail pour ce nouvel opéra. .</t>
  </si>
  <si>
    <t>Oui .</t>
  </si>
  <si>
    <t>90.107.57.232</t>
  </si>
  <si>
    <t>PREVOST</t>
  </si>
  <si>
    <t>Margot</t>
  </si>
  <si>
    <t>19 Décembre 1999</t>
  </si>
  <si>
    <t>91 Boulevard Jean Rostand</t>
  </si>
  <si>
    <t>Saint Jean de Braye</t>
  </si>
  <si>
    <t>margotprevost@wanadoo.fr</t>
  </si>
  <si>
    <t>07 77 76 41 90</t>
  </si>
  <si>
    <t>J'ai commencé la pratique de la guitare à l'âge de 5 ans, puis dès 13 ans j'ai débuté le chant en tant que choriste dans un groupe de musique pop rock et à l'âge de 15 ans je suis devenue chanteuse leader. L'année scolaire 2015/2016 j'ai appris le chant lyrique et en 2017/2018 j'ai intégré une chorale classique en tant que soprano. Grâce à ces expériences, mon niveau musical s'est amélioré d'années en années jusqu'à atteindre un niveau confirmé.</t>
  </si>
  <si>
    <t>Etant donné que je pratique le chant choral depuis un an, je n'ai pas énormément de recul. Cependant, j'ai plaisir à retrouver ce chœur toutes les semaines et chanter en concert avec eux. A noter également que dans le groupe Pop Rock auquel je participe, je réalise  des harmonies vocales avec 2 autres chanteuses.</t>
  </si>
  <si>
    <t>En 2016/2017, j'ai joué dans une troupe de théâtre mêlant le jeu théâtral à l'improvisation. Je sors également avec mon groupe de musique 10 fois par an pour me produire lors de concerts dans le département où je dois "faire le show".</t>
  </si>
  <si>
    <t>Grâce à ce projet je pourrais mêler chant et théâtre. Cela me ferait également une nouvelle expérience dans le monde du spectacle et étant passionnée par le chant, j'aimerais beaucoup participer à ce projet.</t>
  </si>
  <si>
    <t>Oui je m'y engage.</t>
  </si>
  <si>
    <t>86.236.180.31</t>
  </si>
  <si>
    <t>DELSOL</t>
  </si>
  <si>
    <t>25 Mai 1982</t>
  </si>
  <si>
    <t>210 rue des Poilus</t>
  </si>
  <si>
    <t>laurent.delsol@live.fr</t>
  </si>
  <si>
    <t>06 65 00 65 05</t>
  </si>
  <si>
    <t>02 38 49 26 96</t>
  </si>
  <si>
    <t>J'ai pris des cours dans des écoles de musique du Lot (Souillac, Martel, puis Gourdon) : 
- FM (premières années) puis invité à prendre part au groupe instrumental pour compléter la formation
- pratique instrumentale: piano (~2 ans), clarinette (~8 ans), puis saxophone soprano (~4 ans). 
- pratique collective: groupe instrumental, groupe de Jazz, Harmonie d'Olivet 
Je prends depuis novembre dernier des cours de chant avec Christophe Lizere (conservatoire de Fleury Les Aubrais).</t>
  </si>
  <si>
    <t>Je chante au sein 
- de différents ensembles vocaux: La Bonne Chanson (depuis plus de cinq ans), La Sarabande (depuis 2 ans) 
- du choeur Gospel Orleans' Little Song (depuis plus de cinq ans)  
J'ai également eu la joie de prendre part 
- au choeur opéra (trois dernières saisons)
- à des projets avec Ephémères cette année (concert Fauré et Projet L'Histoire de La Vie) 
- au grand choeur de Cléry (l'an dernier)
- au choeur d'hommes constitué pour jouer le Concerto pour Piano de Busoni (à l'initiative du Choeur symphonique)</t>
  </si>
  <si>
    <t>J'ai eu la chance de prendre part aux trois derniers projets de LFOVL (La flûte enchantée, Aïda, et My Fair Lady - choeur chorégraphique) ainsi qu'à deux autres beaux projets avec mise en scène : Les trois mousquetaires (La musique de Léonie) et l'Histoire de La Vie (en cours, Ephémères et Brass Band Val de Loire).</t>
  </si>
  <si>
    <t>Difficile de résumer en quelques mots tout ce qu'un projet comme celui de la Fabrique Opéra apporte à celles et ceux qui y prennent part... Que de bonheur de travailler ensemble, de voir se concrétiser peu à peu nos efforts et ceux de l'équipe de production, de voir le spectacle prendre forme! Quelle joie de découvrir avec émerveillement le talent des lycéens impliqués dans le projet et de chanter avec un orchestre et des solistes aussi extraordinaires! Et, cerise sur le gâteau, de vivre tout cela sous la baguette d'une équipe artistique pleine de bienveillance, de dynamisme, de professionnalisme et de talent! Je n'ai rien vécu de tel ailleurs! 
Vous l'aurez sans doute compris, j'ai beaucoup apprécié de prendre part aux projets de La Fabrique Opéra ces dernières saisons. J'ai beaucoup appris au travers de ce travail mêlant chant choral et mise en scène qui me plaît énormément. Et je suis profondément convaincu de la pertinence et de l'originalité d'un tel projet.
J'ai donc bien envie de renouveler l'aventure cette année: que ce soit pour découvrir ce nouvel opus et la manière dont il sera mis en scène, pour avoir la chance de revivre cette joie de porter ensemble ce formidable projet artistique et humain, pour y vivre de grands et forts moments, pour apporter mon investissement au service de ce projet qui me tient à c(h)oeur...</t>
  </si>
  <si>
    <t>Oui, je m'engage à être présent (si ma candidature est retenue) à chacune de ces répétitions y compris sur des horaires dès la fin d'après-midi et jusqu'à 23h lors de la semaine de production. Mon travail me permet de m'organiser pour que cela ne pose pas de problème.</t>
  </si>
  <si>
    <t>Mardi 11 Septembre - 19h30 / 22h30
Mardi 25 Septembre - 19h30 / 22h30
Dimanche 7 Octobre - 9h30 / 16h30
Mardi 16 Octobre - 19h30 / 22h30
Mardi 6 Novembre - 19h30 / 22h30
Mardi 20 Novembre - 19h30 / 22h30
Mardi 4 Décembre - 19h30 / 22h30
Samedi 15 Décembre - 15h / 19h30
Dimanche 16 Décembre - 9h30 / 16h30
Mardi 18 Décembre - 19h30 / 22h30
Mardi 8 Janvier - 19h30 / 22h30
Samedi 19 Janvier - 15h / 19h30
Dimanche 20 Janvier - 9h30 / 16h30
Mardi 22 Janvier - 19h30 / 22h30
Mardi 5 Février - 19h30 / 22h30
Samedi 9 Février - 15h / 19h30
Dimanche 10 Février - 9h30 / 16h30
Mardi 26 Février - 19h30 / 22h30
Samedi 9 Mars - 15h / 19h30
Dimanche 10 Mars - 9h30 / 16h30
Vendredi 15 Mars - 20h / 23h
Dimanche 17 Mars - 13h / 19h30 (absence non permise)
Lundi 18 Mars - 19h30 / 23h (absence non permise)
Mardi 19 Mars - 19h30 / 23h (absence non permise)
Mercredi 20 Mars - 19h / 23h (absence non permise)
Jeudi 21 Mars - 18h30 / 23h (absence non permise)
Représentations les vendredi 22, Samedi 23 et Dimanche 24 Mars (absence non permise)</t>
  </si>
  <si>
    <t>193.49.83.103</t>
  </si>
  <si>
    <t>Rémy</t>
  </si>
  <si>
    <t>Christian</t>
  </si>
  <si>
    <t>14 Mai 1952</t>
  </si>
  <si>
    <t>du Vieux Puits</t>
  </si>
  <si>
    <t>christianremy719@gmail.com</t>
  </si>
  <si>
    <t>06 11 93 60 49</t>
  </si>
  <si>
    <t>02 38 76 87 29</t>
  </si>
  <si>
    <t>Je suis capable de me repérer dans  une partition après l'avoir entendue chantée ou jouée. J'ai fait du solfège adulte pour décoder des partitions de guitare classique.</t>
  </si>
  <si>
    <t>Participation à l'opéra Aida en 2017. Participation au concert de Noel 2017 de la musique de Léonie. Participation au grand choeur de Clèry 2017.  Stage d'hiver 2018 de la mdl. Quatre années de chorale avec " Arts of Voice" à Orléans. Chorale de la source; chorale de l'université d'Orléans.</t>
  </si>
  <si>
    <t>L'opéra Aida de la fabrique opéra.</t>
  </si>
  <si>
    <t>Désireux de participer à un projet  collectif et éducatif qui diffuse la culture de l'opéra</t>
  </si>
  <si>
    <t>88.167.157.43</t>
  </si>
  <si>
    <t>Chollier</t>
  </si>
  <si>
    <t>Annie</t>
  </si>
  <si>
    <t>8 Juillet 1955</t>
  </si>
  <si>
    <t>77 rue bourgogne</t>
  </si>
  <si>
    <t>annie.chollier@gmail.com</t>
  </si>
  <si>
    <t>06 60 76 17 72</t>
  </si>
  <si>
    <t>Décryptage de partitions</t>
  </si>
  <si>
    <t>Chorale crescendo depuis 20 ans
Musique de Leonie choeur de Noel 5  fois 
Choeur amateur 1 fois
Choeur opera Carmen</t>
  </si>
  <si>
    <t>Opera Carmen et theatre avec aselqo</t>
  </si>
  <si>
    <t>J.ai éprouvé beaucoup de plaisir a participer a la musique de Leonie Mon expérience Carmen m.a donne des étoiles dans les yeux Je n.ai pas pu m.inscrire ensuite causé problème maladiefamiliale</t>
  </si>
  <si>
    <t>J.ai deja l.experience et serai presente</t>
  </si>
  <si>
    <t>Mardi 20 Novembre - 19h30 / 22h30</t>
  </si>
  <si>
    <t>93.21.7.64</t>
  </si>
  <si>
    <t>MADELAGE</t>
  </si>
  <si>
    <t>Annabella</t>
  </si>
  <si>
    <t>29 Juillet 1973</t>
  </si>
  <si>
    <t>27 rue de Maison Rouge</t>
  </si>
  <si>
    <t>Vennecy</t>
  </si>
  <si>
    <t>madelage@yahoo.com</t>
  </si>
  <si>
    <t>06 63 89 06 13</t>
  </si>
  <si>
    <t>02 38 75 18 80</t>
  </si>
  <si>
    <t>pas d'expérience instrumentale</t>
  </si>
  <si>
    <t>Je suis choriste Soprane depuis deux ans.
J'ai commencé l'année dernière à l'école de Musique de Vennecy lors de l'opéra "Au fil du temps" de Julien Joubert avec Corinne barrère comme chef de Choeur. Cette année, je suis toujours dans la chorale de Vennecy mais également dans le Choeur Amateur de la Musique de Léonie. Nous préparons "La cuisine de Josquin et Léonie".</t>
  </si>
  <si>
    <t>Lors de la préparation de l'opéra "Au fil du temps", nous avons dû prévoir une mise en scène et des déplacements sous la direction de Julien Joubert.
J'ai également pratiqué de la danse Moderne Jazz pendant 15 ans, ce qui m'a permis d'être à l'aise sur scène et dans mes mouvements. Les spectacles annuels m'ont donné une certaine aisance scénographique.</t>
  </si>
  <si>
    <t>Je souhaite participer au projet car la chorale a été une révélation pour moi, sur moi-même et ma capacité insoupçonnée à pouvoir chanter en groupe et par voix. J'ai adoré mon expérience sur scène l'année dernière. J'ai également assisté à My Fair Lady cette année et j'ai été subjuguée par le spectacle incroyable et tout le travail de préparation en amont.</t>
  </si>
  <si>
    <t>Je suis quelqu'un de très motivée et sérieuse lorsque je m'engage sur un projet quel qu'il soit. Un planning même contraignant de m'effraie pas, bien au contraire je trouve cela excitant! Car cela se rapproche d'une préparation de professionnels!</t>
  </si>
  <si>
    <t>88.219.62.45</t>
  </si>
  <si>
    <t>HALLEGOUET</t>
  </si>
  <si>
    <t>Claire</t>
  </si>
  <si>
    <t>21 Février 1970</t>
  </si>
  <si>
    <t>38 rue de Clichy</t>
  </si>
  <si>
    <t>PARIS</t>
  </si>
  <si>
    <t>claire.hallegouet@gmail.com</t>
  </si>
  <si>
    <t>06 70 15 56 69</t>
  </si>
  <si>
    <t>__ __ __ __ __</t>
  </si>
  <si>
    <t>Je chante depuis plus de 15 ans.
Je suis d'un registre alto, mais j'ai eu l'occasion de chanter en pupitre soprane 2 dernièrement sur un projet particulier.
Bien que ne lisant pas à vue la musique, j'ai au travers de mes diverses expériences appris à apprivoiser les grilles de partitions. 
J'ai une bonne oreille et j'ai développé de mémoire auditive.</t>
  </si>
  <si>
    <t>Depuis, 15 ans, j'ai eu la chance de chanter dans divers type de formation : groupe vocal Jazz salsa bossa (Zazouira), chanteuse d'un groupe de musique afro-cubaine, chanteuse d'un trio de musique bossa, participation à une chorale de chanson française, cours particuliers d'opérette, percussions, percussions corporelles, et chorale de musique actuelle (Voix Music Zac : voixmusiczac.com)</t>
  </si>
  <si>
    <t>Depuis 3 ans je participe à une chorale (voixmusiczac.com) qui combine le chant et la mise en scène. Cette approche m'a donné l'opportunité de développer d'autres
Ayant participé au projet My Fair Lady, je me suis pleinement épanouie tant dans l'aspect vocal du projet que de l'aspect scénique.</t>
  </si>
  <si>
    <t>Les raisons de mon souhait de participation sont multiples, liste non exhaustive :-)
- participer au projet coopératif liant professionnels, amateurs et jeunes en formation
- s'impliquer dans un projet de grande envergure (en lien avec supra)
- la richesse des liens qui ont été créés lors de cette année 
-  j'ai eu l'occasion de voir, en tant que spectatrice les 3 autres projets, qui m'ont beaucoup plu
- participer au projet My Fair Lady me donne l'envie de poursuivre dans cette aventure collective et humaine</t>
  </si>
  <si>
    <t>Oui
Bien qu'habitant Paris, pour le projet (mardi soir, week-end et semaine de production), je suis hébergée à Orléans par Marie Anne Jan-Taugourdeau.</t>
  </si>
  <si>
    <t>109.7.251.208</t>
  </si>
  <si>
    <t>lespinasse</t>
  </si>
  <si>
    <t>catherine</t>
  </si>
  <si>
    <t>9 Avril 1952</t>
  </si>
  <si>
    <t>7 rue antigna</t>
  </si>
  <si>
    <t>porte c</t>
  </si>
  <si>
    <t>catherine.lespinasse@sfr.fr</t>
  </si>
  <si>
    <t>07 81 46 75 10</t>
  </si>
  <si>
    <t>dechiffrage  ok ; chant choral  et  choriste depuis .... mon enfance ;  
conservatoire paris 15e ( solfege , piano) 
plutot classique</t>
  </si>
  <si>
    <t>enfance  à Paris ( vepres à Notre dame et st sulpice ... ) 
adulte : Paris ; differents choeurs  : schola cantorum , ensemble polyphonique versailles ; molina ; Dominique ruis massy ;  H reiner ; amadeus (madeleine) etc 
à orléans depuis 2011 : choeur symphonique ,  poulenc ; actuellement choeur de l université Cecile André ; et musique de leonie ( choeurs de noel ; la flute enchantée aida)</t>
  </si>
  <si>
    <t>recemment et avec vous : la flute enchantée  ; et Aida ( pretresse)</t>
  </si>
  <si>
    <t>supers partages musicaux , intergenerationnels , dans l'energie , la musique , l'art scenique , etc</t>
  </si>
  <si>
    <t>voui</t>
  </si>
  <si>
    <t>La Flûte enchantée
Aïda</t>
  </si>
  <si>
    <t>109.12.198.239</t>
  </si>
  <si>
    <t>Rivière</t>
  </si>
  <si>
    <t>Joël</t>
  </si>
  <si>
    <t>18 Avril 1951</t>
  </si>
  <si>
    <t>24, impasse Victor Schoelcher</t>
  </si>
  <si>
    <t>Saint-Jean de Braye</t>
  </si>
  <si>
    <t>jomabe98@wanadoo.fr</t>
  </si>
  <si>
    <t>06 77 16 70 65</t>
  </si>
  <si>
    <t>amateur</t>
  </si>
  <si>
    <t>je chante  depuis quelques année  dans différentes "chorales".
début à la Cantarelle Saint-Jean de Braye, puis Hémiole à Orléans, le choeur amateur et opéra de La musique de Léonie, Notre Dames de Cléry.</t>
  </si>
  <si>
    <t>Première expérience avec la FOL puis le choeur opéra (Carmen, L flûte enchantée, Aïda et My Fair Lady..</t>
  </si>
  <si>
    <t>C'est une expérience chaque fois plus enrichissante et je suis partant pour poursuivre cette "aventure".</t>
  </si>
  <si>
    <t>90.19.49.103</t>
  </si>
  <si>
    <t>Zermati</t>
  </si>
  <si>
    <t>21 mars 1976</t>
  </si>
  <si>
    <t>6 Rue Bernard Million</t>
  </si>
  <si>
    <t>ST Jean de la Ruelle</t>
  </si>
  <si>
    <t>sonized@hotmail.com</t>
  </si>
  <si>
    <t>06 70 73 60 09</t>
  </si>
  <si>
    <t>Je sais lire la musique (les deux clés). 10 ans de piano classique et de solfège étant jeune.</t>
  </si>
  <si>
    <t>My Fair Lady en 2018, et participation à des groupes vocaux divers (notamment avec S. Ceccaldi, Guylaine Charmetant)</t>
  </si>
  <si>
    <t>Emma la voix du swing (G. Charmetant) et MFL l'année dernière.</t>
  </si>
  <si>
    <t>Je souhaite participer à ce projet car c'est toujours d'une immense force, d'une grande exigence musicale. C'est une aventure musicale et humaine inoubliable et qui nous enrichit à tous points de vue: humain, musical, théâtral, corporel, scénique. C'est une formation complète artistiquement.</t>
  </si>
  <si>
    <t>Oui sans problème.</t>
  </si>
  <si>
    <t>92.160.239.149</t>
  </si>
  <si>
    <t>Leclercq</t>
  </si>
  <si>
    <t>12 mars 1950</t>
  </si>
  <si>
    <t>9 rue Mesnard</t>
  </si>
  <si>
    <t>CIDEX 1142</t>
  </si>
  <si>
    <t>SALBRIS</t>
  </si>
  <si>
    <t>annie.leclercq-bobet@wanadoo.fr</t>
  </si>
  <si>
    <t>06 83 63 67 87</t>
  </si>
  <si>
    <t>02 54 97 38 89</t>
  </si>
  <si>
    <t>Conservatoire d'Orléans de 1973 à 1976 en classe de chant et en solfège. Je déchiffre assez bien. 
Ecole de musique de Saint Jean de La ruelle en classe de chant (8 ans).
Expérience de choriste, et de soliste.
Professeurs de chant (cours particuliers) : 
Au conservatoire d'Orléans (de 1973 à 1976)	
Marguerite Pifteau, une année scolaire avant qu'elle ne prenne sa retraite  puis Denise Dupleix.
Au conservatoire de Saint Jean de La Ruelle : 
Catherine Médioni 3 années scolaires, 
Anne Riou Lavandier 1 année scolaire, 
Catherine Rouet 3 années scolaires, 
Lucia di Carlo 1 année scolaire 2015-2016.
Christiane Sansonetti de 1996 à janvier 2017 (décédée en Juillet 2017) . Cours particuliers 1 / mois, et stages d'été avec récital, chants solo, duo, trio avec mise en scène.
Catherine Boni stage de Moissac "festival de la voix" en juillet 2008 et 2009 avec Paola d'Alba technique Alexander appliquée à la voix. Et représentations avec mise en scène.
Guillaume François (ténor) cours particuliers pendant les stages de choeur à Puycelsi.
Eric Raffard cours particuliers depuis décembre 2018 jusqu'à ce jour (une fois / mois)</t>
  </si>
  <si>
    <t>Chorale de filles et chorale mixte des Ecoles Normales d'Orléans (1965 – 1970)  C. Jérosme.
Chorale Francis Poulenc D'Orléans :  Cécile Toison Jérosme de 1970 à 1997 
Raphaël Liguori  de 1997 à 2017.  Des solos m'ont été confiés. 
 Eric Raffard depuis novembre 2017 
Chorale Arioso de Saint Jean de La Ruelle : chef de choeur 	-      Claude Couillard de 1997 à 2000 – Des solos m'ont été confiés  
Odile Dutroncy  jusqu'en 2010 / 2011. Des solos m'ont été confiés 
Choeur Orléans Val de Loire  avec Eric Raffard
_______________________________________ _
Chefs de choeur stages d'été  
Anzy Le Duc en 2010 montage du Magnificat, composition D'Emmanuel Robin, avec le chœur Alauda de Vonnas (chef Emmanuel Robin).
Festival de Puycelsi (Tarn). Durée  des  stages : 10  jours, avec 2  concerts à la clé,  
avec les chefs de choeur :  Françoise Legrand juillet 2011  
		- Eric Deltour juillet 2012 , 2013 , 2014  
Eric Beillevaire juillet 2015 , 2016 , 2017 sur des arrangements d'Olivier Kaspar.
Je suis inscrite et acceptée au stage de Puycelsi 2018 du 17 au 27 juillet.
http://festivalpuycelsi.com/
Je n'écris ici que le programme du Choeur festival de Puycelsi de cet été 2018 :
Henry PURCELL (1659-1695) | Welcome to all the pleasures Z.339
Solistes, Choeur et orchestre (dir. É. Beillevaire)
François GIROUST (1737-1799) | Hymne pour la Sainte Cécile
Solistes, Choeur et orchestre (dir. É. Beillevaire)
Charles GOUNOD (1818-1893) | Messe solennelle en l'honneur de Sainte Cécile
Kyrie, Gloria, Offertoire, Sanctus, Agnus Dei
Solistes, Choeur et orchestre (dir. O. Kaspar)
Ralph VAUGHAN WILLIAMS (1872-1958) | Serenade to music
Solistes, Choeur et orchestre (dir. O. Kaspar)</t>
  </si>
  <si>
    <t>Avec Mme Christiane Sansonetti de 1996 à janvier 2017 (décédée en luillet 2017) . Stages d'été avec récital, chants solo, duo, trio avec mise en scène.
J'ai pratiqué longtemps du modern'jazz avec représentations de fin d'années scolaire. Actuellement je continue la danse (folklorique, danse country)
Théâtre amateur durant 14 ans avec représentations publiques.
Au conservatoire de Saint Jean de La Ruelle : séquences d'opéras avec mise en scène ( Catherine Médioni professeur) pendant 3 années scolaires. 
Catherine Boni stage de Moissac "festival de la voix" en juillet 2008 et 2009 Participation à des représentations de fin de stage avec mise en scène (solo, duo, trio)</t>
  </si>
  <si>
    <t>J'aime l'opéra, chanter avec d'autres personnes, découvrir d'autres répertoires, j'aime la danse, le costume, et la mise en scène. Je me déplace très facilement, je jouis d'une très bonne santé et espère être longtemps animée de projets, étant quelqu'un qui bouge beaucoup (danse, gym, randonnées, natation en piscine)
J'ai ma vie associative et amicale à Orléans, je participe à des cours à l'Université du temps libre.</t>
  </si>
  <si>
    <t>90.19.192.106</t>
  </si>
  <si>
    <t>12 mars 1948</t>
  </si>
  <si>
    <t>Salbris</t>
  </si>
  <si>
    <t>Veuillez m'excuser, dans un précédent envoi de formulaire d'inscription j'ai coché toutes les cases des jours prévus pour les répétitions, pensant qu'il s'agissait des jours où je serai présente.
Je n'avais pas bien compris ,  (je ne voulais pas signifier bien entendu que je serai absente), mais je viens confirmer ici que je prévois d'être présente à toutes les répétions.</t>
  </si>
  <si>
    <t>Expériences en musique :
Conservatoire d'Orléans de 1973 à 1976 en classe de chant et en solfège. Je déchiffre assez bien. 
Ecole de musique de Saint Jean de La ruelle en classe de chant (8 ans).
Expérience de choriste, et de soliste.
Professeurs de chant (cours particuliers) : 
Au conservatoire d'Orléans (de 1973 à 1976)	
Marguerite Pifteau, une année scolaire avant qu'elle ne prenne sa retraite  puis Denise Dupleix.
Au conservatoire de Saint Jean de La Ruelle : 
Catherine Médioni 3 années scolaires, 
Anne Riou Lavandier 1 année scolaire, 
Catherine Rouet 3 années scolaires, 
Lucia di Carlo 1 année scolaire 2015-2016.
Christiane Sansonetti de 1996 à janvier 2017 (décédée en Juillet 2017) . Cours particuliers 1 / mois, et stages d'été avec récital, chants solo, duo, trio avec mise en scène.
Catherine Boni stage de Moissac "festival de la voix" en juillet 2008 et 2009 avec Paola d'Alba technique Alexander appliquée à la voix. Et représentations avec mise en scène.
Guillaume François (ténor) cours particuliers pendant les stages de choeur à Puycelsi.
Eric Raffard cours particuliers depuis décembre 2018 jusqu'à ce jour (une fois / mois)
 expérience du chant choral :
Chorale de filles et chorale mixte des Ecoles Normales d'Orléans (1965 – 1970)  C. Jérosme.
Chorale Francis Poulenc D'Orléans :  Cécile Toison Jérosme de 1970 à 1997 
Raphaël Liguori  de 1997 à 2017.  Des solos m'ont été confiés. 
 Eric Raffard depuis novembre 2017 
Chorale Arioso de Saint Jean de La Ruelle : chef de choeur 	-      Claude Couillard de 1997 à 2000 – Des solos m'ont été confiés  
Odile Dutroncy  jusqu'en 2010 / 2011. Des solos m'ont été confiés 
Choeur Orléans Val de Loire  avec Eric Raffard
_______________________________________ _
Chefs de choeur stages d'été  
Anzy Le Duc en 2010 montage du Magnificat, composition D'Emmanuel Robin, avec le chœur Alauda de Vonnas (chef Emmanuel Robin).
Festival de Puycelsi (Tarn). Durée  des  stages : 10  jours, avec 2  concerts à la clé,  
avec les chefs de choeur :  Françoise Legrand juillet 2011  
		- Eric Deltour juillet 2012 , 2013 , 2014  
Eric Beillevaire juillet 2015 , 2016 , 2017 sur des arrangements d'Olivier Kaspar.
Je suis inscrite et acceptée au stage de Puycelsi 2018 du 17 au 27 juillet.
http://festivalpuycelsi.com/
Je n'écris ici que le programme du Choeur festival de Puycelsi de cet été 2018 :
Henry PURCELL (1659-1695) | Welcome to all the pleasures Z.339
Solistes, Choeur et orchestre (dir. É. Beillevaire)
François GIROUST (1737-1799) | Hymne pour la Sainte Cécile
Solistes, Choeur et orchestre (dir. É. Beillevaire)
Charles GOUNOD (1818-1893) | Messe solennelle en l'honneur de Sainte Cécile
Kyrie, Gloria, Offertoire, Sanctus, Agnus Dei
Solistes, Choeur et orchestre (dir. O. Kaspar)
Ralph VAUGHAN WILLIAMS (1872-1958) | Serenade to music
Solistes, Choeur et orchestre (dir. O. Kaspar)</t>
  </si>
  <si>
    <t>J'aime l'opéra, chanter avec d'autres voix, d'autres tessitures, j'aime découvrir  des répertoires, participer à des projets, établir des contact avec d'autres personnes et travailler en partenariat, apprendre, travailler la mémoire et le corps, donner au public, servir la musique.
J'aime les costumes et la scène, j'aime bouger (danse, gym, piscine, randonnées, nombreuses activités associatives et amicales à Orléans et à l'Université du temps libre)
Je m'engage à être présente aux répétitions car je conduis avec aisance  ou bien  je peux loger chez des amis, l'éloignement n'est pas un problème en hiver, les trajets de mon domicile à Orléans me sont familiers (actuellement plusieurs fois par semaine)</t>
  </si>
  <si>
    <t>Oui.
(j'ai commis  l'erreur dans mon précédent envoi de cocher toutes les dates des répétitions. Or je voulais signifier que je serai présente à toutes les répétitions) Je vous remercie de tenir compte de la correction de mon erreur : ceci vaut pour l'acceptation de toutes les dates des répétitions.</t>
  </si>
  <si>
    <t>GUERRERO-BOTTON</t>
  </si>
  <si>
    <t>Florence</t>
  </si>
  <si>
    <t>10 Octobre 1954</t>
  </si>
  <si>
    <t>24 RUE DU BOURG</t>
  </si>
  <si>
    <t>VILLEREAU</t>
  </si>
  <si>
    <t>florence.guerrerobotton@gmail.com</t>
  </si>
  <si>
    <t>06 70 54 33 42</t>
  </si>
  <si>
    <t>10 ans de piano; cours adulte, professeur M.L. Fuenzalida à Semoy (45)</t>
  </si>
  <si>
    <t>2010- 2016: 6 ans au sein de Diapason, Neuville aux Bois (chant a cappella)
2016- 2018: 2 ans à Vennecy , avec Corinne Barrère et Sylvain Cardou
2017-2018: 1 an avec La Musique de Léonie</t>
  </si>
  <si>
    <t>2012: en tant qu'enseignante, projet monté en classe de 1ère L autour de West Side Story, avec l'aide de Laurent Bazin, metteur en scène (travail chant + déplacement)
2017: Au Fil du Temps (Julien Joubert) à Vennecy avec Corinne Barrère)</t>
  </si>
  <si>
    <t>86.236.247.66</t>
  </si>
  <si>
    <t>LEGOURD</t>
  </si>
  <si>
    <t>Anne-Joelle</t>
  </si>
  <si>
    <t>1 Septembre 1955</t>
  </si>
  <si>
    <t>La Chanterelle - 44 chemin des Moulins</t>
  </si>
  <si>
    <t>44 chemin des Moulins</t>
  </si>
  <si>
    <t>COMBREUX</t>
  </si>
  <si>
    <t>alegourd@gmail.com</t>
  </si>
  <si>
    <t>06 82 08 53 01</t>
  </si>
  <si>
    <t>Depuis plus de 10 ans je pratique le chant sur un repertoire de soliste via des cours et des stages de chant avec divers professeures (gout particulier pour le chant lyrique, les airs d'opera, les extraits de comedies musicales et musiques de film) et fait partie de plusieurs ensembles... 
Apres y avoir participe plusieurs annees, j'ai repris l'organisation d'un stage de chant lyrique estival axe sur la mise en scene des morceaux (solos, duos) depuis 3 ans dans le Loiret. Stage avec Chantal Cardozo (artiste lyrique, professeure au Conservatoire de Puteaux) et Thomas Guilment.</t>
  </si>
  <si>
    <t>En 2017-2018, j'ai partie des choeurs de La Princesse de Trebizonde d'Offenbach avec les Music-Halles. 
Avec LFO dans les choeurs de Carmen et d'Aida.
Je fais partie depuis une dizaine d'annees du Choeur des Loges Atoutvoix avec Frederic Murat (repertoire varie - Fay-aux-loges) et de l'ensemble dirige par Jeremy Reynolds dont le nom actuel est "Les Voix de Rivendell" (comedies musicales, musiques de films...). 
A l'occasion d'une periode dans le Vaucluse j'ai fait partie du choeur europeen de Vaison-la -Romaine et d'un ensemble de choristes au conservatoire de Carpentras.</t>
  </si>
  <si>
    <t>2018 - La Princesse de Trebizonde d'Offenbach
2017 - Aida LFO-VdL
2015 - Carmen LFO VdL
depuis plusieurs annees stages de mise en scene sur repertoire personnel en soliste et duos (extraits d'operas, operettes...)</t>
  </si>
  <si>
    <t>Aimant l'opera, j'ai ete seduite par le concept LFO des son lancement en orleanais. J'ai ete emballee par l'equipe avec Carmen et suis contente de voir la progression au fil des annees et de l'actualite. Quand je n'etais pas sur scene j'etais dans la salle et j'espere vous retrouver pour de nouvelles aventures musicales</t>
  </si>
  <si>
    <t>92.160.138.145</t>
  </si>
  <si>
    <t>GERIN</t>
  </si>
  <si>
    <t>Jeannie</t>
  </si>
  <si>
    <t>19 juin 1943</t>
  </si>
  <si>
    <t>3, rue aux Ligneaux</t>
  </si>
  <si>
    <t>gerinjb@gmail.com</t>
  </si>
  <si>
    <t>06 81 92 45 75</t>
  </si>
  <si>
    <t>02 38 54 29 40</t>
  </si>
  <si>
    <t>Cours de piano entre 8 et 15 ans
Niveau amateur</t>
  </si>
  <si>
    <t>Chorale de la communauté juive d'Orléans
Musique de Léonie : 4 derniers choeurs de Noël
Choeur Amateur : Atelier Nouveau Monde, Carmen, Renard de Roman, Mousquetaires
Choeur Opéra : My Fair Lady
Choeur inter-générationel</t>
  </si>
  <si>
    <t>Avec le choeur amateur, et le dernier choeur Opéra
Expérience de "la scène", au cours de mon activité d'enseignante</t>
  </si>
  <si>
    <t>Parce que j'ai vécu vécu une expérience enthousiasmante avec My Fair Lady, et parce que maintenant je souhaite m'investir dans un opéra de la grande tradition</t>
  </si>
  <si>
    <t>93.20.188.62</t>
  </si>
  <si>
    <t>Marietta</t>
  </si>
  <si>
    <t>Pirágine</t>
  </si>
  <si>
    <t>25 Septembre 1981</t>
  </si>
  <si>
    <t>Bernhard-Lichtenberg-Straße 14</t>
  </si>
  <si>
    <t>Prenzlauer Berg</t>
  </si>
  <si>
    <t>Berlin</t>
  </si>
  <si>
    <t>marypi@gmail.com</t>
  </si>
  <si>
    <t>15 16 36 00 75</t>
  </si>
  <si>
    <t>Je suis diplômé de l'école de musique de Sao Paulo et j'ai fait de nombreuses comédies musicales professionnelles au Brésil et opère et 3 d'entre eux en Allemagne.</t>
  </si>
  <si>
    <t>Je n'ai pas d'expériences chorales.</t>
  </si>
  <si>
    <t>Je suis diplômé en théâtre l'année dernière et j'ai gagné le prix de la meilleure actrice musicale au Brésil</t>
  </si>
  <si>
    <t>Je veux participer au projet parce que je l'ai tellement aimé que j'ai vu de votre projet</t>
  </si>
  <si>
    <t>77.64.145.80</t>
  </si>
  <si>
    <t>HURE</t>
  </si>
  <si>
    <t>19 mars 1967</t>
  </si>
  <si>
    <t>HAUTES GUIGNIERES</t>
  </si>
  <si>
    <t>TAVERS</t>
  </si>
  <si>
    <t>ghure@wanadoo.fr</t>
  </si>
  <si>
    <t>06 78 87 33 79</t>
  </si>
  <si>
    <t>Je suis des cours de percussions à l'école de musique de BEAUGENCY avec Rémi Bernard. 2 années de pratique.
Je suis des cours de chant à l'école de musique de Baule avec Aurélie Carré.</t>
  </si>
  <si>
    <t>J'ai chanté durant 7 ans dans la chorale SING avec Sarah Poulin (en anglais majoritairement).
J'ai chanté dans le Choeur amateur de La musique de Léonie un année, dirigée par Corinne Barrère.
Cette année je participe au Grand Choeur de Cléry dirigée par Emilie Legroud-Germond.</t>
  </si>
  <si>
    <t>Vous proposez un projet collectif et unique chaque année. Pour ma part, j'ai un grand plaisir à être sur scène à chanter, à partager avec les choristes, les musiciens et les solistes, l'histoire mise en scène et en musique. 
Je garde en mémoire un immense bonheur de mon expérience sur la pièce Les 3 mousquetaires. 
Faire partie du groupe de 120 choristes est une expérience enrichissante et j'aimerais m'investir, travailler le répertoire de l'Opéra FAUST à vos côtés.</t>
  </si>
  <si>
    <t>Je m'engage à être présente à toutes les répétitions y compris sur des horaires dès la fin d'après-midi et jusqu'à 23h lors de la semaine de production.</t>
  </si>
  <si>
    <t>86.196.80.72</t>
  </si>
  <si>
    <t>Je suis des cours de percussions à l'école de musique de Beaugency avec Rémi Bernard, depuis 3 ans.
Je prends des cours de chant à l'école de musique de Baule avec Aurélie Carré.</t>
  </si>
  <si>
    <t>J'ai chanté durant 7 ans dans la chorale Sing dirigée par Sarah Poulin.
J'ai chanté une année avec La musique de Léonie dans le choeur amateur.
Je participe cette année au Grand Choeur de Cléry dirigé par Emilie Legroux-Germond.</t>
  </si>
  <si>
    <t>Vous proposez un projet collectif et unique. J'ai un grand plaisir à chanter, être sur scène, à partager avec les choristes, musiciens, l'histoire mise en scène pour le public.
Je garde un immense bonheur de ma participation à la pièce Les 3 mousquetaires.
Faire partie du groupe de 120 choristes est une expérience enrichissante et j'aimerais m'investir, travailler le répertoire de l'opéra Faust à vos côtés.</t>
  </si>
  <si>
    <t>Je m'engage à être présent pour toutes les répétitions, y compris sur des horaires dès la fin d'après-midi et jusqu'à 23h lors de la semaine de production.</t>
  </si>
  <si>
    <t>PILLEBOUE</t>
  </si>
  <si>
    <t>1 Novembre 1950</t>
  </si>
  <si>
    <t>38 Boulevard Lamartine</t>
  </si>
  <si>
    <t>francoisepilleboue@hotmail.com</t>
  </si>
  <si>
    <t>02 38 86 36 52</t>
  </si>
  <si>
    <t>06 15 28 88 82</t>
  </si>
  <si>
    <t>pas de formation initiale.
Déchiffre des partitions simples.
Apprend facilement
Cours de chant avec Christophe Lizère</t>
  </si>
  <si>
    <t>Chœur du Ludion depuis 1983
Chœur Hémiole de 1989 à 2017
Dogora, choralies Vaison la Romaine 2010</t>
  </si>
  <si>
    <t>Livre vermeil de Monserrat,Céret, 1992
Carmina Burana, festival de Loches, 1994
Carmen, LFO VDL, 2015
Aïda, LFO VDL, 2017</t>
  </si>
  <si>
    <t>J'aime chanter, et j'aime l'esprit de la Fabrique Opéra, j'aime l'atmosphère du travail.</t>
  </si>
  <si>
    <t>86.221.247.75</t>
  </si>
  <si>
    <t>JOULIN</t>
  </si>
  <si>
    <t>ADELE</t>
  </si>
  <si>
    <t>13 Janvier 2002</t>
  </si>
  <si>
    <t>30 BVD DE CHATEAUDUN</t>
  </si>
  <si>
    <t>adele.joulin@sfr.fr</t>
  </si>
  <si>
    <t>06 95 44 33 12</t>
  </si>
  <si>
    <t>06 52 04 07 66</t>
  </si>
  <si>
    <t>piano Cycle 3 2è année
formation musicale cycle 3 1ère année</t>
  </si>
  <si>
    <t>musique de léonie/Chœur de jeunes filles 
pratique du chant choral au conservatoire</t>
  </si>
  <si>
    <t>ai participé à Carmen (chœur d'enfants) et aux spectacles de la MUSIQUE DE LEONIE + stages d'été</t>
  </si>
  <si>
    <t>INTERET POUR LA REALISATION SCENIQUE COLLECTIVE 
BEAUCOUP DE RELATIONS AMICALES PARMI LES FUTURS PARTICIPANTS / CANDIDATS
FIDELE DE LAMUSIQUE DE LEONIE</t>
  </si>
  <si>
    <t>OUI SAUF COURS /EXAMENS EVENTUELS AU LYCEE OU AU CONSERVATOIRE</t>
  </si>
  <si>
    <t>109.12.203.146</t>
  </si>
  <si>
    <t>CAPOT</t>
  </si>
  <si>
    <t>Alain</t>
  </si>
  <si>
    <t>27 Novembre 1946</t>
  </si>
  <si>
    <t>de l'Aumône</t>
  </si>
  <si>
    <t>alain.capot@orange.fr</t>
  </si>
  <si>
    <t>06 24 66 30 81</t>
  </si>
  <si>
    <t>Capable de lire une partition , plusieurs années de chant choral .</t>
  </si>
  <si>
    <t>Plusieurs concerts donnés en France , 1 en Allemagne . Choriste au LUDION à Olivet .
Choriste dans MY FAIR LADY en 2018 . 3 ème participation dans le Grand Choeur de Cléry .</t>
  </si>
  <si>
    <t>Retrouver l'ambiance des choristes que nous avons vécu avec MY FAIR LADY , Travailler dans le sérieux et la bonne humeur avec l'aide de tous. Découvrir un nouveau metteur en scène. Continuer de progresser dans le chant avec Corinne et sa rigueur ...</t>
  </si>
  <si>
    <t>C'est pour nous tous une superbe expérience et un partage des joies et des difficultés .</t>
  </si>
  <si>
    <t>Je serai présent à toutes les répétitions sauf imprévu . Ce que j'ai respecté dans MY FAIR LADY .</t>
  </si>
  <si>
    <t>90.19.151.117</t>
  </si>
  <si>
    <t>Morel Jessica Juliane</t>
  </si>
  <si>
    <t>Morel</t>
  </si>
  <si>
    <t>21 juin 1985</t>
  </si>
  <si>
    <t>Dernburgstrasse 51 ou Résidence du Mirgaudon</t>
  </si>
  <si>
    <t>Berlin ou Saint-Chéron</t>
  </si>
  <si>
    <t>14057 Berlin ou 91530 Saint-Chéron</t>
  </si>
  <si>
    <t>jessicajulianemorel.gleis@gmail.com</t>
  </si>
  <si>
    <t>06 30 29 20 29</t>
  </si>
  <si>
    <t>Soliste professionnelle</t>
  </si>
  <si>
    <t>Je suis dans un ensemble  qui s'appelle les Goldvögel. J'ai l'habitude de chanter en soliste et ne choeur.
Die 3 Goldvögel (Ensemble ; Jessica Morel/ Sopran 1)
Have yourself a very mery Christmas
https://youtu.be/NWOMxyApSXI
It’s beginning to look like a Christmas
https://youtu.be/z6ZHoniPmB8</t>
  </si>
  <si>
    <t>Expérience scénique avec l'ensemble Goldvögel et les rôles suivant chantés sur la scène :
de Liù dans Turandot de Puccini au théâtre de l’Acting International ;  de Mimi dans la Bohème de Puccini, de Manon dans Manon de Massenet, d’Annina dans Traviata de Verdi,  de Micaëla dans Carmen de G.Bizet au Vissi d’Arte et au Théâtre Bernier de Waterloo en Belgique,  de Belinda dans Didon et Enée de Purcell aux portes ouvertes de l’opéra de Massy,  d’Antonia dans Les contes d’Hoffman  d’Offenbach à Lyon,  de Suzanne dans les Noces de Figaro (Réunion) , de Norina dans Don Pasquale à Cervinara (Italie) et  les rôles de la deuxième dame, Papagena et Pamina dans la Flûte enchantée de Mozart.</t>
  </si>
  <si>
    <t>Pour acquérir toujours plus d'expérience et chanter constamment</t>
  </si>
  <si>
    <t>81.220.3.135</t>
  </si>
  <si>
    <t>SIGURE</t>
  </si>
  <si>
    <t>26 Avril 1958</t>
  </si>
  <si>
    <t>7 rue des Clos Points</t>
  </si>
  <si>
    <t>INGRE</t>
  </si>
  <si>
    <t>eric.sigure@gmail.com</t>
  </si>
  <si>
    <t>06 51 02 89 60</t>
  </si>
  <si>
    <t>cycle 2</t>
  </si>
  <si>
    <t>La Bonne Chanson
Choeur Symphonique
Ephémères</t>
  </si>
  <si>
    <t>La Flûte Enchantée, Aïda, My Fair Lady
L'Histoire de la Vie avec Brass band Val de Loire et Éphémères</t>
  </si>
  <si>
    <t>projet musical collaboratif, exigeant et enthousiaste, chargé d'émotions, de partage et de rencontres</t>
  </si>
  <si>
    <t>88.167.124.137</t>
  </si>
  <si>
    <t>FORMONT</t>
  </si>
  <si>
    <t>Emmanuelle</t>
  </si>
  <si>
    <t>30 Juillet 1961</t>
  </si>
  <si>
    <t>38 rue cotteron</t>
  </si>
  <si>
    <t>la chapelle st mesmin</t>
  </si>
  <si>
    <t>bruemm@wanadoo.fr</t>
  </si>
  <si>
    <t>06 30 91 04 47</t>
  </si>
  <si>
    <t>solfège et clarinette au conservatoire d'Orléans jusqu'au niveau M2
Je déchiffre une partition sans problème.</t>
  </si>
  <si>
    <t>J'ai chanté dans plusieurs chorales (conservatoire, saranade à Saran)
Je chante actuellement au grand choeur de Cléry.</t>
  </si>
  <si>
    <t>J'ai participé à Aïda et My fair Lady.</t>
  </si>
  <si>
    <t>Pour découvrir une oeuvre nouvelle et partager de beaux moments de complicité , d'émotions et de plaisir avec les autres participants. 
Vivre une très belle aventure musicale et humaine. Voir petit à petit le projet prendre forme jusqu'à l'apothéose au zénith. Ce sont des moments merveilleux, excitants et magiques...
J'aime chanter !!</t>
  </si>
  <si>
    <t>Oui sans aucune hésitation.</t>
  </si>
  <si>
    <t>92.160.89.29</t>
  </si>
  <si>
    <t>LOULIER</t>
  </si>
  <si>
    <t>YVELINE</t>
  </si>
  <si>
    <t>22 Janvier 1966</t>
  </si>
  <si>
    <t>26 Clos du Parc</t>
  </si>
  <si>
    <t>OUZOUER LE MARCHE Commune de Beauce la Romaine</t>
  </si>
  <si>
    <t>yveline.loulier@orange.fr</t>
  </si>
  <si>
    <t>06 31 56 32 69</t>
  </si>
  <si>
    <t>oui je m'y engage</t>
  </si>
  <si>
    <t>86.244.255.5</t>
  </si>
  <si>
    <t>regnier</t>
  </si>
  <si>
    <t>claire</t>
  </si>
  <si>
    <t>7 Novembre 1965</t>
  </si>
  <si>
    <t>269 rue du 11 novembre</t>
  </si>
  <si>
    <t>saint cyr en val</t>
  </si>
  <si>
    <t>regnier.claire@yahoo.fr</t>
  </si>
  <si>
    <t>06 76 03 51 25</t>
  </si>
  <si>
    <t>Pratique musicale depuis l'âge de 8 ans- lit la musique
chant choral- 30 ans
écoles de musique : piano 10 ans et clarinette 4 ans</t>
  </si>
  <si>
    <t>chant psychophonique  pendant 20 ans
chant choral 30 ans à Orléans - EVIVL puis Hémiole
la musique de Léonie- chœur de noel en 2015 et 2016
Opéra val de Loire: Aîda</t>
  </si>
  <si>
    <t>participation à Aïda.</t>
  </si>
  <si>
    <t>renouveller l'expérience vécue à l'occasion de Aida
soutenir  ce grand projet participatif 
faire découvrir des grandes œuvres à l'entourage proche et/ou plus lointain</t>
  </si>
  <si>
    <t>oui sans hésitation</t>
  </si>
  <si>
    <t>88.123.100.124</t>
  </si>
  <si>
    <t>Submission Date</t>
  </si>
  <si>
    <t>NOM</t>
  </si>
  <si>
    <t>Prénom</t>
  </si>
  <si>
    <t>Sexe</t>
  </si>
  <si>
    <t>Date de naissance</t>
  </si>
  <si>
    <t>Photo</t>
  </si>
  <si>
    <t>Rue</t>
  </si>
  <si>
    <t>Rue 2</t>
  </si>
  <si>
    <t>Ville</t>
  </si>
  <si>
    <t>Département</t>
  </si>
  <si>
    <t>Code postal</t>
  </si>
  <si>
    <t>Pays</t>
  </si>
  <si>
    <t>Adresse électronique</t>
  </si>
  <si>
    <t>Numéro de téléphone 1</t>
  </si>
  <si>
    <t>Numéro de téléphone 2</t>
  </si>
  <si>
    <t>Quelle est votre tessiture ?</t>
  </si>
  <si>
    <t>Décrivez votre niveau musical.</t>
  </si>
  <si>
    <t>Décrivez votre expérience du chant choral.</t>
  </si>
  <si>
    <t>Décrivez votre expérience de projet avec mise en scène.</t>
  </si>
  <si>
    <t>Pour quelles raisons souhaitez vous participer à ce projet ?</t>
  </si>
  <si>
    <t>Vous engagez vous à être présent pour toutes les répétitions, y compris sur des horaires dès la fin d'après-midi et jusqu'à 23h lors de la semaine de production ?</t>
  </si>
  <si>
    <t>Avez vous participé à un autre projet d'opéra avec La Fabrique Opéra Val de Loire ?</t>
  </si>
  <si>
    <t>Une seule absence sur l'ensemble du projet sera acceptée (hors semaine de production). Si certaines dates proposées vous posent problème, merci de le spécifier ici.</t>
  </si>
  <si>
    <t>En cas d'indisponibilité sur le week-end d'auditions, merci d’indiquer ci-dessous les demi-journées sur lesquelles vous ne pourriez PAS être présent :</t>
  </si>
  <si>
    <t>IP</t>
  </si>
  <si>
    <t>Submission ID</t>
  </si>
  <si>
    <t>Edit Link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</si>
</sst>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7">
    <font>
      <sz val="10.0"/>
      <color rgb="FF000000"/>
      <name val="Arial"/>
    </font>
    <font>
      <sz val="11.0"/>
      <name val="Calibri"/>
    </font>
    <font/>
    <font>
      <u/>
      <sz val="11.0"/>
      <color rgb="FF0000FF"/>
      <name val="Calibri"/>
    </font>
    <font>
      <u/>
      <sz val="11.0"/>
      <color rgb="FF0000FF"/>
      <name val="Calibri"/>
    </font>
    <font>
      <u/>
      <sz val="11.0"/>
      <color rgb="FF0000FF"/>
      <name val="Calibri"/>
    </font>
    <font>
      <b/>
      <sz val="11.0"/>
      <name val="Calibri"/>
    </font>
  </fonts>
  <fills count="5">
    <fill>
      <patternFill patternType="none"/>
    </fill>
    <fill>
      <patternFill patternType="lightGray"/>
    </fill>
    <fill>
      <patternFill patternType="solid">
        <fgColor rgb="FFFFFFFF"/>
        <bgColor rgb="FFFFFFFF"/>
      </patternFill>
    </fill>
    <fill>
      <patternFill patternType="solid">
        <fgColor rgb="FFE69138"/>
        <bgColor rgb="FFE69138"/>
      </patternFill>
    </fill>
    <fill>
      <patternFill patternType="solid">
        <fgColor rgb="FFCCFFCC"/>
        <bgColor rgb="FFCCFFCC"/>
      </patternFill>
    </fill>
  </fills>
  <borders count="2">
    <border/>
    <border>
      <right style="thin">
        <color rgb="FF000000"/>
      </right>
      <bottom style="medium">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2" fontId="1" numFmtId="164" xfId="0" applyAlignment="1" applyBorder="1" applyFill="1" applyFont="1" applyNumberFormat="1">
      <alignment readingOrder="0" shrinkToFit="0" vertical="center" wrapText="1"/>
    </xf>
    <xf borderId="1" fillId="0" fontId="2" numFmtId="0" xfId="0" applyAlignment="1" applyBorder="1" applyFont="1">
      <alignment readingOrder="0"/>
    </xf>
    <xf borderId="1" fillId="2" fontId="1" numFmtId="0" xfId="0" applyAlignment="1" applyBorder="1" applyFont="1">
      <alignment readingOrder="0" shrinkToFit="0" vertical="center" wrapText="1"/>
    </xf>
    <xf borderId="1" fillId="2" fontId="3" numFmtId="0" xfId="0" applyAlignment="1" applyBorder="1" applyFont="1">
      <alignment shrinkToFit="0" vertical="center" wrapText="1"/>
    </xf>
    <xf borderId="1" fillId="2" fontId="1" numFmtId="0" xfId="0" applyAlignment="1" applyBorder="1" applyFont="1">
      <alignment shrinkToFit="0" vertical="center" wrapText="1"/>
    </xf>
    <xf borderId="0" fillId="3" fontId="1" numFmtId="164" xfId="0" applyAlignment="1" applyFill="1" applyFont="1" applyNumberFormat="1">
      <alignment readingOrder="0" shrinkToFit="0" vertical="center" wrapText="1"/>
    </xf>
    <xf borderId="0" fillId="3" fontId="1" numFmtId="0" xfId="0" applyAlignment="1" applyFont="1">
      <alignment readingOrder="0" shrinkToFit="0" vertical="center" wrapText="1"/>
    </xf>
    <xf borderId="0" fillId="3" fontId="4" numFmtId="0" xfId="0" applyAlignment="1" applyFont="1">
      <alignment shrinkToFit="0" vertical="center" wrapText="1"/>
    </xf>
    <xf borderId="0" fillId="3" fontId="1" numFmtId="0" xfId="0" applyAlignment="1" applyFont="1">
      <alignment shrinkToFit="0" vertical="center" wrapText="1"/>
    </xf>
    <xf borderId="0" fillId="2" fontId="1" numFmtId="164" xfId="0" applyAlignment="1" applyFont="1" applyNumberFormat="1">
      <alignment readingOrder="0" shrinkToFit="0" vertical="center" wrapText="1"/>
    </xf>
    <xf borderId="0" fillId="2" fontId="1" numFmtId="0" xfId="0" applyAlignment="1" applyFont="1">
      <alignment readingOrder="0" shrinkToFit="0" vertical="center" wrapText="1"/>
    </xf>
    <xf borderId="0" fillId="2" fontId="5" numFmtId="0" xfId="0" applyAlignment="1" applyFont="1">
      <alignment shrinkToFit="0" vertical="center" wrapText="1"/>
    </xf>
    <xf borderId="0" fillId="2" fontId="1" numFmtId="0" xfId="0" applyAlignment="1" applyFont="1">
      <alignment shrinkToFit="0" vertical="center" wrapText="1"/>
    </xf>
    <xf borderId="0" fillId="4" fontId="6" numFmtId="0" xfId="0" applyAlignment="1" applyFill="1" applyFont="1">
      <alignment horizontal="center" readingOrder="0" shrinkToFit="0" vertical="center" wrapText="1"/>
    </xf>
    <xf borderId="0" fillId="0" fontId="2"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18.14"/>
    <col customWidth="1" min="2" max="2" width="20.86"/>
    <col customWidth="1" min="3" max="3" width="14.29"/>
    <col customWidth="1" min="4" max="4" width="8.43"/>
    <col customWidth="1" min="5" max="5" width="17.0"/>
    <col customWidth="1" min="6" max="6" width="42.86"/>
    <col customWidth="1" min="7" max="8" width="40.0"/>
    <col customWidth="1" min="9" max="9" width="38.86"/>
    <col customWidth="1" min="10" max="10" width="12.29"/>
    <col customWidth="1" min="11" max="11" width="30.43"/>
    <col customWidth="1" min="12" max="12" width="6.57"/>
    <col customWidth="1" min="13" max="13" width="31.86"/>
    <col customWidth="1" min="14" max="15" width="20.86"/>
    <col customWidth="1" min="16" max="16" width="23.43"/>
    <col customWidth="1" min="17" max="21" width="42.86"/>
    <col customWidth="1" min="22" max="22" width="42.57"/>
    <col customWidth="1" min="23" max="24" width="42.71"/>
    <col customWidth="1" min="25" max="25" width="14.86"/>
    <col customWidth="1" min="26" max="26" width="20.43"/>
    <col customWidth="1" min="27" max="27" width="13.86"/>
  </cols>
  <sheetData>
    <row r="1">
      <c r="A1" s="1">
        <v>43238.075590277775</v>
      </c>
      <c r="B1" s="2" t="s">
        <v>0</v>
      </c>
      <c r="C1" s="3" t="s">
        <v>1</v>
      </c>
      <c r="D1" s="3" t="s">
        <v>2</v>
      </c>
      <c r="E1" s="3" t="s">
        <v>3</v>
      </c>
      <c r="F1" s="4" t="str">
        <f>HYPERLINK("https://www.jotform.com/uploads/MelanieD/81331483384356/4024353309918304445/Caroline%20Coutan%20Les%20ChapO%20de%20CarO.jpg","https://www.jotform.com/uploads/MelanieD/81331483384356/4024353309918304445/Caroline Coutan Les ChapO de CarO.jpg")</f>
        <v>https://www.jotform.com/uploads/MelanieD/81331483384356/4024353309918304445/Caroline Coutan Les ChapO de CarO.jpg</v>
      </c>
      <c r="G1" s="3" t="s">
        <v>4</v>
      </c>
      <c r="H1" s="5"/>
      <c r="I1" s="3" t="s">
        <v>5</v>
      </c>
      <c r="J1" s="5"/>
      <c r="K1" s="3">
        <v>45400.0</v>
      </c>
      <c r="L1" s="5"/>
      <c r="M1" s="3" t="s">
        <v>6</v>
      </c>
      <c r="N1" s="3" t="s">
        <v>7</v>
      </c>
      <c r="O1" s="5"/>
      <c r="P1" s="3" t="s">
        <v>8</v>
      </c>
      <c r="Q1" s="3" t="s">
        <v>9</v>
      </c>
      <c r="R1" s="3" t="s">
        <v>10</v>
      </c>
      <c r="S1" s="3" t="s">
        <v>11</v>
      </c>
      <c r="T1" s="3" t="s">
        <v>12</v>
      </c>
      <c r="U1" s="3" t="s">
        <v>13</v>
      </c>
      <c r="V1" s="3" t="s">
        <v>14</v>
      </c>
      <c r="W1" s="3" t="s">
        <v>15</v>
      </c>
      <c r="X1" s="3" t="s">
        <v>16</v>
      </c>
      <c r="Y1" s="3" t="s">
        <v>17</v>
      </c>
      <c r="Z1" s="5" t="str">
        <f>TEXT("4024353309918304445","0")</f>
        <v>4024353309918304445</v>
      </c>
      <c r="AA1" s="4" t="str">
        <f>HYPERLINK("https://www.jotform.com/edit/4024353309918304445","Edit Submission")</f>
        <v>Edit Submission</v>
      </c>
    </row>
    <row r="2">
      <c r="A2" s="6">
        <v>43238.07630787037</v>
      </c>
      <c r="B2" s="7" t="s">
        <v>18</v>
      </c>
      <c r="C2" s="7" t="s">
        <v>19</v>
      </c>
      <c r="D2" s="7" t="s">
        <v>20</v>
      </c>
      <c r="E2" s="7" t="s">
        <v>21</v>
      </c>
      <c r="F2" s="8" t="str">
        <f>HYPERLINK("https://www.jotform.com/uploads/MelanieD/81331483384356/4024353921528063585/jacques.jpg","https://www.jotform.com/uploads/MelanieD/81331483384356/4024353921528063585/jacques.jpg")</f>
        <v>https://www.jotform.com/uploads/MelanieD/81331483384356/4024353921528063585/jacques.jpg</v>
      </c>
      <c r="G2" s="7" t="s">
        <v>22</v>
      </c>
      <c r="H2" s="7" t="s">
        <v>22</v>
      </c>
      <c r="I2" s="7" t="s">
        <v>23</v>
      </c>
      <c r="J2" s="9"/>
      <c r="K2" s="7">
        <v>45400.0</v>
      </c>
      <c r="L2" s="9"/>
      <c r="M2" s="7" t="s">
        <v>24</v>
      </c>
      <c r="N2" s="7" t="s">
        <v>25</v>
      </c>
      <c r="O2" s="7" t="s">
        <v>26</v>
      </c>
      <c r="P2" s="7" t="s">
        <v>27</v>
      </c>
      <c r="Q2" s="7" t="s">
        <v>28</v>
      </c>
      <c r="R2" s="7" t="s">
        <v>29</v>
      </c>
      <c r="S2" s="7" t="s">
        <v>30</v>
      </c>
      <c r="T2" s="7" t="s">
        <v>31</v>
      </c>
      <c r="U2" s="7" t="s">
        <v>32</v>
      </c>
      <c r="V2" s="7" t="s">
        <v>33</v>
      </c>
      <c r="W2" s="7" t="s">
        <v>34</v>
      </c>
      <c r="X2" s="9"/>
      <c r="Y2" s="7" t="s">
        <v>35</v>
      </c>
      <c r="Z2" s="9" t="str">
        <f>TEXT("4024353921528063585","0")</f>
        <v>4024353921528063585</v>
      </c>
      <c r="AA2" s="8" t="str">
        <f>HYPERLINK("https://www.jotform.com/edit/4024353921528063585","Edit Submission")</f>
        <v>Edit Submission</v>
      </c>
    </row>
    <row r="3">
      <c r="A3" s="10">
        <v>43238.12248842593</v>
      </c>
      <c r="B3" s="11" t="s">
        <v>36</v>
      </c>
      <c r="C3" s="11" t="s">
        <v>37</v>
      </c>
      <c r="D3" s="11" t="s">
        <v>2</v>
      </c>
      <c r="E3" s="11" t="s">
        <v>38</v>
      </c>
      <c r="F3" s="12" t="str">
        <f>HYPERLINK("https://www.jotform.com/uploads/MelanieD/81331483384356/4024393816415871872/IMG_20180518_084711.jpg","https://www.jotform.com/uploads/MelanieD/81331483384356/4024393816415871872/IMG_20180518_084711.jpg")</f>
        <v>https://www.jotform.com/uploads/MelanieD/81331483384356/4024393816415871872/IMG_20180518_084711.jpg</v>
      </c>
      <c r="G3" s="11" t="s">
        <v>39</v>
      </c>
      <c r="H3" s="13"/>
      <c r="I3" s="11" t="s">
        <v>40</v>
      </c>
      <c r="J3" s="13"/>
      <c r="K3" s="11">
        <v>45140.0</v>
      </c>
      <c r="L3" s="13"/>
      <c r="M3" s="11" t="s">
        <v>41</v>
      </c>
      <c r="N3" s="11" t="s">
        <v>42</v>
      </c>
      <c r="O3" s="13"/>
      <c r="P3" s="11" t="s">
        <v>43</v>
      </c>
      <c r="Q3" s="11" t="s">
        <v>44</v>
      </c>
      <c r="R3" s="11" t="s">
        <v>45</v>
      </c>
      <c r="S3" s="11" t="s">
        <v>46</v>
      </c>
      <c r="T3" s="11" t="s">
        <v>47</v>
      </c>
      <c r="U3" s="11" t="s">
        <v>48</v>
      </c>
      <c r="V3" s="11" t="s">
        <v>49</v>
      </c>
      <c r="W3" s="13"/>
      <c r="X3" s="13"/>
      <c r="Y3" s="11" t="s">
        <v>50</v>
      </c>
      <c r="Z3" s="13" t="str">
        <f>TEXT("4024393816415871872","0")</f>
        <v>4024393816415871872</v>
      </c>
      <c r="AA3" s="12" t="str">
        <f>HYPERLINK("https://www.jotform.com/edit/4024393816415871872","Edit Submission")</f>
        <v>Edit Submission</v>
      </c>
    </row>
    <row r="4">
      <c r="A4" s="10">
        <v>43238.137650462966</v>
      </c>
      <c r="B4" s="11" t="s">
        <v>51</v>
      </c>
      <c r="C4" s="11" t="s">
        <v>52</v>
      </c>
      <c r="D4" s="11" t="s">
        <v>2</v>
      </c>
      <c r="E4" s="11" t="s">
        <v>53</v>
      </c>
      <c r="F4" s="12" t="str">
        <f>HYPERLINK("https://www.jotform.com/uploads/MelanieD/81331483384356/4024406926412802556/corinne%20grillon.jpg","https://www.jotform.com/uploads/MelanieD/81331483384356/4024406926412802556/corinne grillon.jpg")</f>
        <v>https://www.jotform.com/uploads/MelanieD/81331483384356/4024406926412802556/corinne grillon.jpg</v>
      </c>
      <c r="G4" s="11" t="s">
        <v>39</v>
      </c>
      <c r="H4" s="13"/>
      <c r="I4" s="11" t="s">
        <v>40</v>
      </c>
      <c r="J4" s="13"/>
      <c r="K4" s="11">
        <v>45140.0</v>
      </c>
      <c r="L4" s="13"/>
      <c r="M4" s="11" t="s">
        <v>54</v>
      </c>
      <c r="N4" s="11" t="s">
        <v>55</v>
      </c>
      <c r="O4" s="13"/>
      <c r="P4" s="11" t="s">
        <v>43</v>
      </c>
      <c r="Q4" s="11" t="s">
        <v>56</v>
      </c>
      <c r="R4" s="11" t="s">
        <v>57</v>
      </c>
      <c r="S4" s="11" t="s">
        <v>58</v>
      </c>
      <c r="T4" s="11" t="s">
        <v>59</v>
      </c>
      <c r="U4" s="11" t="s">
        <v>60</v>
      </c>
      <c r="V4" s="11" t="s">
        <v>61</v>
      </c>
      <c r="W4" s="13"/>
      <c r="X4" s="13"/>
      <c r="Y4" s="11" t="s">
        <v>50</v>
      </c>
      <c r="Z4" s="13" t="str">
        <f>TEXT("4024406926412802556","0")</f>
        <v>4024406926412802556</v>
      </c>
      <c r="AA4" s="12" t="str">
        <f>HYPERLINK("https://www.jotform.com/edit/4024406926412802556","Edit Submission")</f>
        <v>Edit Submission</v>
      </c>
    </row>
    <row r="5">
      <c r="A5" s="10">
        <v>43238.19493055555</v>
      </c>
      <c r="B5" s="11" t="s">
        <v>62</v>
      </c>
      <c r="C5" s="11" t="s">
        <v>63</v>
      </c>
      <c r="D5" s="11" t="s">
        <v>20</v>
      </c>
      <c r="E5" s="11" t="s">
        <v>64</v>
      </c>
      <c r="F5" s="12" t="str">
        <f>HYPERLINK("https://www.jotform.com/uploads/MelanieD/81331483384356/4024456417738636120/05EAA19A-20EC-443D-A268-E8BC2D8FBCE2.jpeg","https://www.jotform.com/uploads/MelanieD/81331483384356/4024456417738636120/05EAA19A-20EC-443D-A268-E8BC2D8FBCE2.jpeg")</f>
        <v>https://www.jotform.com/uploads/MelanieD/81331483384356/4024456417738636120/05EAA19A-20EC-443D-A268-E8BC2D8FBCE2.jpeg</v>
      </c>
      <c r="G5" s="11" t="s">
        <v>65</v>
      </c>
      <c r="H5" s="13"/>
      <c r="I5" s="11" t="s">
        <v>66</v>
      </c>
      <c r="J5" s="13"/>
      <c r="K5" s="11">
        <v>45100.0</v>
      </c>
      <c r="L5" s="13"/>
      <c r="M5" s="11" t="s">
        <v>67</v>
      </c>
      <c r="N5" s="11" t="s">
        <v>68</v>
      </c>
      <c r="O5" s="13"/>
      <c r="P5" s="11" t="s">
        <v>27</v>
      </c>
      <c r="Q5" s="11" t="s">
        <v>69</v>
      </c>
      <c r="R5" s="11" t="s">
        <v>70</v>
      </c>
      <c r="S5" s="11" t="s">
        <v>71</v>
      </c>
      <c r="T5" s="11" t="s">
        <v>72</v>
      </c>
      <c r="U5" s="11" t="s">
        <v>73</v>
      </c>
      <c r="V5" s="11" t="s">
        <v>74</v>
      </c>
      <c r="W5" s="11" t="s">
        <v>75</v>
      </c>
      <c r="X5" s="11" t="s">
        <v>76</v>
      </c>
      <c r="Y5" s="11" t="s">
        <v>77</v>
      </c>
      <c r="Z5" s="13" t="str">
        <f>TEXT("4024456417738636120","0")</f>
        <v>4024456417738636120</v>
      </c>
      <c r="AA5" s="12" t="str">
        <f>HYPERLINK("https://www.jotform.com/edit/4024456417738636120","Edit Submission")</f>
        <v>Edit Submission</v>
      </c>
    </row>
    <row r="6">
      <c r="A6" s="10">
        <v>43238.37443287037</v>
      </c>
      <c r="B6" s="11" t="s">
        <v>78</v>
      </c>
      <c r="C6" s="11" t="s">
        <v>79</v>
      </c>
      <c r="D6" s="11" t="s">
        <v>2</v>
      </c>
      <c r="E6" s="11" t="s">
        <v>80</v>
      </c>
      <c r="F6" s="12" t="str">
        <f>HYPERLINK("https://www.jotform.com/uploads/MelanieD/81331483384356/4024611516863648054/Danielle%20Verroit.jpg","https://www.jotform.com/uploads/MelanieD/81331483384356/4024611516863648054/Danielle Verroit.jpg")</f>
        <v>https://www.jotform.com/uploads/MelanieD/81331483384356/4024611516863648054/Danielle Verroit.jpg</v>
      </c>
      <c r="G6" s="11" t="s">
        <v>81</v>
      </c>
      <c r="H6" s="11" t="s">
        <v>81</v>
      </c>
      <c r="I6" s="11" t="s">
        <v>82</v>
      </c>
      <c r="J6" s="13"/>
      <c r="K6" s="11">
        <v>45400.0</v>
      </c>
      <c r="L6" s="13"/>
      <c r="M6" s="11" t="s">
        <v>83</v>
      </c>
      <c r="N6" s="11" t="s">
        <v>84</v>
      </c>
      <c r="O6" s="13"/>
      <c r="P6" s="11" t="s">
        <v>8</v>
      </c>
      <c r="Q6" s="11" t="s">
        <v>85</v>
      </c>
      <c r="R6" s="11" t="s">
        <v>86</v>
      </c>
      <c r="S6" s="11" t="s">
        <v>87</v>
      </c>
      <c r="T6" s="11" t="s">
        <v>88</v>
      </c>
      <c r="U6" s="11" t="s">
        <v>89</v>
      </c>
      <c r="V6" s="11" t="s">
        <v>90</v>
      </c>
      <c r="W6" s="11"/>
      <c r="X6" s="13"/>
      <c r="Y6" s="11" t="s">
        <v>91</v>
      </c>
      <c r="Z6" s="13" t="str">
        <f>TEXT("4024611516863648054","0")</f>
        <v>4024611516863648054</v>
      </c>
      <c r="AA6" s="12" t="str">
        <f>HYPERLINK("https://www.jotform.com/edit/4024611516863648054","Edit Submission")</f>
        <v>Edit Submission</v>
      </c>
    </row>
    <row r="7">
      <c r="A7" s="10">
        <v>43238.400729166664</v>
      </c>
      <c r="B7" s="11" t="s">
        <v>92</v>
      </c>
      <c r="C7" s="11" t="s">
        <v>93</v>
      </c>
      <c r="D7" s="11" t="s">
        <v>2</v>
      </c>
      <c r="E7" s="11" t="s">
        <v>94</v>
      </c>
      <c r="F7" s="12" t="str">
        <f>HYPERLINK("https://www.jotform.com/uploads/MelanieD/81331483384356/4024634225615524321/26115641807_9223f26035_o.jpg","https://www.jotform.com/uploads/MelanieD/81331483384356/4024634225615524321/26115641807_9223f26035_o.jpg")</f>
        <v>https://www.jotform.com/uploads/MelanieD/81331483384356/4024634225615524321/26115641807_9223f26035_o.jpg</v>
      </c>
      <c r="G7" s="11" t="s">
        <v>95</v>
      </c>
      <c r="H7" s="11"/>
      <c r="I7" s="11" t="s">
        <v>96</v>
      </c>
      <c r="J7" s="13"/>
      <c r="K7" s="11">
        <v>37000.0</v>
      </c>
      <c r="L7" s="11" t="s">
        <v>97</v>
      </c>
      <c r="M7" s="11" t="s">
        <v>98</v>
      </c>
      <c r="N7" s="11" t="s">
        <v>99</v>
      </c>
      <c r="O7" s="13"/>
      <c r="P7" s="11" t="s">
        <v>43</v>
      </c>
      <c r="Q7" s="11" t="s">
        <v>100</v>
      </c>
      <c r="R7" s="11" t="s">
        <v>101</v>
      </c>
      <c r="S7" s="11" t="s">
        <v>102</v>
      </c>
      <c r="T7" s="11" t="s">
        <v>103</v>
      </c>
      <c r="U7" s="11" t="s">
        <v>104</v>
      </c>
      <c r="V7" s="11" t="s">
        <v>105</v>
      </c>
      <c r="W7" s="11"/>
      <c r="X7" s="13"/>
      <c r="Y7" s="11" t="s">
        <v>106</v>
      </c>
      <c r="Z7" s="13" t="str">
        <f>TEXT("4024634225615524321","0")</f>
        <v>4024634225615524321</v>
      </c>
      <c r="AA7" s="12" t="str">
        <f>HYPERLINK("https://www.jotform.com/edit/4024634225615524321","Edit Submission")</f>
        <v>Edit Submission</v>
      </c>
    </row>
    <row r="8">
      <c r="A8" s="10">
        <v>43238.41939814815</v>
      </c>
      <c r="B8" s="11" t="s">
        <v>107</v>
      </c>
      <c r="C8" s="11" t="s">
        <v>108</v>
      </c>
      <c r="D8" s="11" t="s">
        <v>2</v>
      </c>
      <c r="E8" s="11" t="s">
        <v>109</v>
      </c>
      <c r="F8" s="12" t="str">
        <f>HYPERLINK("https://www.jotform.com/uploads/MelanieD/81331483384356/4024650359281941942/Sophie-IMG_3722.jpg","https://www.jotform.com/uploads/MelanieD/81331483384356/4024650359281941942/Sophie-IMG_3722.jpg")</f>
        <v>https://www.jotform.com/uploads/MelanieD/81331483384356/4024650359281941942/Sophie-IMG_3722.jpg</v>
      </c>
      <c r="G8" s="11" t="s">
        <v>110</v>
      </c>
      <c r="H8" s="11"/>
      <c r="I8" s="11" t="s">
        <v>111</v>
      </c>
      <c r="J8" s="13"/>
      <c r="K8" s="11" t="s">
        <v>111</v>
      </c>
      <c r="L8" s="11"/>
      <c r="M8" s="11" t="s">
        <v>112</v>
      </c>
      <c r="N8" s="11" t="s">
        <v>113</v>
      </c>
      <c r="O8" s="13"/>
      <c r="P8" s="11" t="s">
        <v>8</v>
      </c>
      <c r="Q8" s="11" t="s">
        <v>114</v>
      </c>
      <c r="R8" s="11" t="s">
        <v>115</v>
      </c>
      <c r="S8" s="11" t="s">
        <v>116</v>
      </c>
      <c r="T8" s="11" t="s">
        <v>117</v>
      </c>
      <c r="U8" s="11" t="s">
        <v>118</v>
      </c>
      <c r="V8" s="11" t="s">
        <v>61</v>
      </c>
      <c r="W8" s="11"/>
      <c r="X8" s="13"/>
      <c r="Y8" s="11" t="s">
        <v>119</v>
      </c>
      <c r="Z8" s="13" t="str">
        <f>TEXT("4024650359281941942","0")</f>
        <v>4024650359281941942</v>
      </c>
      <c r="AA8" s="12" t="str">
        <f>HYPERLINK("https://www.jotform.com/edit/4024650359281941942","Edit Submission")</f>
        <v>Edit Submission</v>
      </c>
    </row>
    <row r="9">
      <c r="A9" s="10">
        <v>43238.42209490741</v>
      </c>
      <c r="B9" s="11" t="s">
        <v>120</v>
      </c>
      <c r="C9" s="11" t="s">
        <v>121</v>
      </c>
      <c r="D9" s="11" t="s">
        <v>2</v>
      </c>
      <c r="E9" s="11" t="s">
        <v>122</v>
      </c>
      <c r="F9" s="12" t="str">
        <f>HYPERLINK("https://www.jotform.com/uploads/MelanieD/81331483384356/4024652682227632049/IMG_7408.jpg","https://www.jotform.com/uploads/MelanieD/81331483384356/4024652682227632049/IMG_7408.jpg")</f>
        <v>https://www.jotform.com/uploads/MelanieD/81331483384356/4024652682227632049/IMG_7408.jpg</v>
      </c>
      <c r="G9" s="11" t="s">
        <v>123</v>
      </c>
      <c r="H9" s="11"/>
      <c r="I9" s="11" t="s">
        <v>124</v>
      </c>
      <c r="J9" s="13"/>
      <c r="K9" s="11">
        <v>45380.0</v>
      </c>
      <c r="L9" s="11"/>
      <c r="M9" s="11" t="s">
        <v>125</v>
      </c>
      <c r="N9" s="11" t="s">
        <v>126</v>
      </c>
      <c r="O9" s="11" t="s">
        <v>127</v>
      </c>
      <c r="P9" s="11" t="s">
        <v>43</v>
      </c>
      <c r="Q9" s="11" t="s">
        <v>128</v>
      </c>
      <c r="R9" s="11" t="s">
        <v>129</v>
      </c>
      <c r="S9" s="11" t="s">
        <v>130</v>
      </c>
      <c r="T9" s="11" t="s">
        <v>131</v>
      </c>
      <c r="U9" s="11" t="s">
        <v>132</v>
      </c>
      <c r="V9" s="11" t="s">
        <v>133</v>
      </c>
      <c r="W9" s="11"/>
      <c r="X9" s="13"/>
      <c r="Y9" s="11" t="s">
        <v>134</v>
      </c>
      <c r="Z9" s="13" t="str">
        <f>TEXT("4024652682227632049","0")</f>
        <v>4024652682227632049</v>
      </c>
      <c r="AA9" s="12" t="str">
        <f>HYPERLINK("https://www.jotform.com/edit/4024652682227632049","Edit Submission")</f>
        <v>Edit Submission</v>
      </c>
    </row>
    <row r="10">
      <c r="A10" s="10">
        <v>43238.52574074074</v>
      </c>
      <c r="B10" s="11" t="s">
        <v>135</v>
      </c>
      <c r="C10" s="11" t="s">
        <v>136</v>
      </c>
      <c r="D10" s="11" t="s">
        <v>2</v>
      </c>
      <c r="E10" s="11" t="s">
        <v>137</v>
      </c>
      <c r="F10" s="12" t="str">
        <f>HYPERLINK("https://www.jotform.com/uploads/MelanieD/81331483384356/4024742236961652317/FB_IMG_1522096142061.jpg","https://www.jotform.com/uploads/MelanieD/81331483384356/4024742236961652317/FB_IMG_1522096142061.jpg")</f>
        <v>https://www.jotform.com/uploads/MelanieD/81331483384356/4024742236961652317/FB_IMG_1522096142061.jpg</v>
      </c>
      <c r="G10" s="11" t="s">
        <v>138</v>
      </c>
      <c r="H10" s="11"/>
      <c r="I10" s="11" t="s">
        <v>139</v>
      </c>
      <c r="J10" s="13"/>
      <c r="K10" s="11">
        <v>45640.0</v>
      </c>
      <c r="L10" s="11"/>
      <c r="M10" s="11" t="s">
        <v>140</v>
      </c>
      <c r="N10" s="11" t="s">
        <v>141</v>
      </c>
      <c r="O10" s="11" t="s">
        <v>142</v>
      </c>
      <c r="P10" s="11" t="s">
        <v>8</v>
      </c>
      <c r="Q10" s="11" t="s">
        <v>143</v>
      </c>
      <c r="R10" s="11" t="s">
        <v>144</v>
      </c>
      <c r="S10" s="11" t="s">
        <v>145</v>
      </c>
      <c r="T10" s="11" t="s">
        <v>146</v>
      </c>
      <c r="U10" s="11" t="s">
        <v>147</v>
      </c>
      <c r="V10" s="11" t="s">
        <v>74</v>
      </c>
      <c r="W10" s="11" t="s">
        <v>148</v>
      </c>
      <c r="X10" s="13"/>
      <c r="Y10" s="11" t="s">
        <v>149</v>
      </c>
      <c r="Z10" s="13" t="str">
        <f>TEXT("4024742236961652317","0")</f>
        <v>4024742236961652317</v>
      </c>
      <c r="AA10" s="12" t="str">
        <f>HYPERLINK("https://www.jotform.com/edit/4024742236961652317","Edit Submission")</f>
        <v>Edit Submission</v>
      </c>
    </row>
    <row r="11">
      <c r="A11" s="10">
        <v>43238.57425925926</v>
      </c>
      <c r="B11" s="11" t="s">
        <v>150</v>
      </c>
      <c r="C11" s="11" t="s">
        <v>151</v>
      </c>
      <c r="D11" s="11" t="s">
        <v>2</v>
      </c>
      <c r="E11" s="11" t="s">
        <v>152</v>
      </c>
      <c r="F11" s="12" t="str">
        <f>HYPERLINK("https://www.jotform.com/uploads/MelanieD/81331483384356/4024784151814281272/IMG_0554.JPG","https://www.jotform.com/uploads/MelanieD/81331483384356/4024784151814281272/IMG_0554.JPG")</f>
        <v>https://www.jotform.com/uploads/MelanieD/81331483384356/4024784151814281272/IMG_0554.JPG</v>
      </c>
      <c r="G11" s="11" t="s">
        <v>153</v>
      </c>
      <c r="H11" s="11"/>
      <c r="I11" s="11" t="s">
        <v>154</v>
      </c>
      <c r="J11" s="13"/>
      <c r="K11" s="11">
        <v>45800.0</v>
      </c>
      <c r="L11" s="11"/>
      <c r="M11" s="11" t="s">
        <v>155</v>
      </c>
      <c r="N11" s="11" t="s">
        <v>156</v>
      </c>
      <c r="O11" s="11"/>
      <c r="P11" s="11" t="s">
        <v>8</v>
      </c>
      <c r="Q11" s="11" t="s">
        <v>157</v>
      </c>
      <c r="R11" s="11" t="s">
        <v>158</v>
      </c>
      <c r="S11" s="11" t="s">
        <v>159</v>
      </c>
      <c r="T11" s="11" t="s">
        <v>160</v>
      </c>
      <c r="U11" s="11" t="s">
        <v>147</v>
      </c>
      <c r="V11" s="11" t="s">
        <v>74</v>
      </c>
      <c r="W11" s="11"/>
      <c r="X11" s="13"/>
      <c r="Y11" s="11" t="s">
        <v>161</v>
      </c>
      <c r="Z11" s="13" t="str">
        <f>TEXT("4024784151814281272","0")</f>
        <v>4024784151814281272</v>
      </c>
      <c r="AA11" s="12" t="str">
        <f>HYPERLINK("https://www.jotform.com/edit/4024784151814281272","Edit Submission")</f>
        <v>Edit Submission</v>
      </c>
    </row>
    <row r="12">
      <c r="A12" s="10">
        <v>43238.737025462964</v>
      </c>
      <c r="B12" s="11" t="s">
        <v>162</v>
      </c>
      <c r="C12" s="11" t="s">
        <v>163</v>
      </c>
      <c r="D12" s="11" t="s">
        <v>2</v>
      </c>
      <c r="E12" s="11" t="s">
        <v>164</v>
      </c>
      <c r="F12" s="12" t="str">
        <f>HYPERLINK("https://www.jotform.com/uploads/MelanieD/81331483384356/4024924786817893349/B%C3%A9a002.pdf","https://www.jotform.com/uploads/MelanieD/81331483384356/4024924786817893349/Béa002.pdf")</f>
        <v>https://www.jotform.com/uploads/MelanieD/81331483384356/4024924786817893349/Béa002.pdf</v>
      </c>
      <c r="G12" s="11" t="s">
        <v>165</v>
      </c>
      <c r="H12" s="11"/>
      <c r="I12" s="11" t="s">
        <v>166</v>
      </c>
      <c r="J12" s="13"/>
      <c r="K12" s="11">
        <v>45150.0</v>
      </c>
      <c r="L12" s="11"/>
      <c r="M12" s="11" t="s">
        <v>167</v>
      </c>
      <c r="N12" s="11" t="s">
        <v>168</v>
      </c>
      <c r="O12" s="11"/>
      <c r="P12" s="11" t="s">
        <v>8</v>
      </c>
      <c r="Q12" s="11" t="s">
        <v>169</v>
      </c>
      <c r="R12" s="11" t="s">
        <v>170</v>
      </c>
      <c r="S12" s="11" t="s">
        <v>171</v>
      </c>
      <c r="T12" s="11" t="s">
        <v>172</v>
      </c>
      <c r="U12" s="11" t="s">
        <v>173</v>
      </c>
      <c r="V12" s="11" t="s">
        <v>174</v>
      </c>
      <c r="W12" s="11"/>
      <c r="X12" s="13"/>
      <c r="Y12" s="11" t="s">
        <v>175</v>
      </c>
      <c r="Z12" s="13" t="str">
        <f>TEXT("4024924786817893349","0")</f>
        <v>4024924786817893349</v>
      </c>
      <c r="AA12" s="12" t="str">
        <f>HYPERLINK("https://www.jotform.com/edit/4024924786817893349","Edit Submission")</f>
        <v>Edit Submission</v>
      </c>
    </row>
    <row r="13">
      <c r="A13" s="10">
        <v>43238.75971064815</v>
      </c>
      <c r="B13" s="11" t="s">
        <v>176</v>
      </c>
      <c r="C13" s="11" t="s">
        <v>177</v>
      </c>
      <c r="D13" s="11" t="s">
        <v>20</v>
      </c>
      <c r="E13" s="11" t="s">
        <v>178</v>
      </c>
      <c r="F13" s="12" t="str">
        <f>HYPERLINK("https://www.jotform.com/uploads/MelanieD/81331483384356/4024944370416628396/IMG_20170522_201407.jpg","https://www.jotform.com/uploads/MelanieD/81331483384356/4024944370416628396/IMG_20170522_201407.jpg")</f>
        <v>https://www.jotform.com/uploads/MelanieD/81331483384356/4024944370416628396/IMG_20170522_201407.jpg</v>
      </c>
      <c r="G13" s="11" t="s">
        <v>179</v>
      </c>
      <c r="H13" s="11" t="s">
        <v>179</v>
      </c>
      <c r="I13" s="11" t="s">
        <v>180</v>
      </c>
      <c r="J13" s="13"/>
      <c r="K13" s="11">
        <v>45470.0</v>
      </c>
      <c r="L13" s="11"/>
      <c r="M13" s="11" t="s">
        <v>181</v>
      </c>
      <c r="N13" s="11" t="s">
        <v>182</v>
      </c>
      <c r="O13" s="11"/>
      <c r="P13" s="11" t="s">
        <v>27</v>
      </c>
      <c r="Q13" s="11" t="s">
        <v>183</v>
      </c>
      <c r="R13" s="11" t="s">
        <v>184</v>
      </c>
      <c r="S13" s="11" t="s">
        <v>185</v>
      </c>
      <c r="T13" s="11" t="s">
        <v>186</v>
      </c>
      <c r="U13" s="11" t="s">
        <v>187</v>
      </c>
      <c r="V13" s="11" t="s">
        <v>49</v>
      </c>
      <c r="W13" s="11"/>
      <c r="X13" s="13"/>
      <c r="Y13" s="11" t="s">
        <v>188</v>
      </c>
      <c r="Z13" s="13" t="str">
        <f>TEXT("4024944370416628396","0")</f>
        <v>4024944370416628396</v>
      </c>
      <c r="AA13" s="12" t="str">
        <f>HYPERLINK("https://www.jotform.com/edit/4024944370416628396","Edit Submission")</f>
        <v>Edit Submission</v>
      </c>
    </row>
    <row r="14">
      <c r="A14" s="10">
        <v>43239.07398148148</v>
      </c>
      <c r="B14" s="11" t="s">
        <v>189</v>
      </c>
      <c r="C14" s="11" t="s">
        <v>52</v>
      </c>
      <c r="D14" s="11" t="s">
        <v>2</v>
      </c>
      <c r="E14" s="11" t="s">
        <v>190</v>
      </c>
      <c r="F14" s="12" t="str">
        <f>HYPERLINK("https://www.jotform.com/uploads/MelanieD/81331483384356/4025215908637306840/Corinne%202017.jpg","https://www.jotform.com/uploads/MelanieD/81331483384356/4025215908637306840/Corinne 2017.jpg")</f>
        <v>https://www.jotform.com/uploads/MelanieD/81331483384356/4025215908637306840/Corinne 2017.jpg</v>
      </c>
      <c r="G14" s="11" t="s">
        <v>191</v>
      </c>
      <c r="H14" s="11" t="s">
        <v>191</v>
      </c>
      <c r="I14" s="11" t="s">
        <v>192</v>
      </c>
      <c r="J14" s="13"/>
      <c r="K14" s="11">
        <v>41120.0</v>
      </c>
      <c r="L14" s="11"/>
      <c r="M14" s="11" t="s">
        <v>193</v>
      </c>
      <c r="N14" s="11" t="s">
        <v>194</v>
      </c>
      <c r="O14" s="11" t="s">
        <v>195</v>
      </c>
      <c r="P14" s="11" t="s">
        <v>8</v>
      </c>
      <c r="Q14" s="11" t="s">
        <v>196</v>
      </c>
      <c r="R14" s="11" t="s">
        <v>197</v>
      </c>
      <c r="S14" s="11" t="s">
        <v>198</v>
      </c>
      <c r="T14" s="11" t="s">
        <v>199</v>
      </c>
      <c r="U14" s="11" t="s">
        <v>200</v>
      </c>
      <c r="V14" s="11" t="s">
        <v>201</v>
      </c>
      <c r="W14" s="11"/>
      <c r="X14" s="13"/>
      <c r="Y14" s="11" t="s">
        <v>202</v>
      </c>
      <c r="Z14" s="13" t="str">
        <f>TEXT("4025215908637306840","0")</f>
        <v>4025215908637306840</v>
      </c>
      <c r="AA14" s="12" t="str">
        <f>HYPERLINK("https://www.jotform.com/edit/4025215908637306840","Edit Submission")</f>
        <v>Edit Submission</v>
      </c>
    </row>
    <row r="15">
      <c r="A15" s="10">
        <v>43239.39877314815</v>
      </c>
      <c r="B15" s="11" t="s">
        <v>203</v>
      </c>
      <c r="C15" s="11" t="s">
        <v>204</v>
      </c>
      <c r="D15" s="11" t="s">
        <v>2</v>
      </c>
      <c r="E15" s="11" t="s">
        <v>205</v>
      </c>
      <c r="F15" s="12" t="str">
        <f>HYPERLINK("https://www.jotform.com/uploads/MelanieD/81331483384356/4025496539912367840/MA_Taugourdeau.jpg","https://www.jotform.com/uploads/MelanieD/81331483384356/4025496539912367840/MA_Taugourdeau.jpg")</f>
        <v>https://www.jotform.com/uploads/MelanieD/81331483384356/4025496539912367840/MA_Taugourdeau.jpg</v>
      </c>
      <c r="G15" s="11" t="s">
        <v>206</v>
      </c>
      <c r="H15" s="11"/>
      <c r="I15" s="11" t="s">
        <v>66</v>
      </c>
      <c r="J15" s="13"/>
      <c r="K15" s="11">
        <v>45000.0</v>
      </c>
      <c r="L15" s="11"/>
      <c r="M15" s="11" t="s">
        <v>207</v>
      </c>
      <c r="N15" s="11" t="s">
        <v>208</v>
      </c>
      <c r="O15" s="11"/>
      <c r="P15" s="11" t="s">
        <v>8</v>
      </c>
      <c r="Q15" s="11" t="s">
        <v>209</v>
      </c>
      <c r="R15" s="11" t="s">
        <v>210</v>
      </c>
      <c r="S15" s="11" t="s">
        <v>211</v>
      </c>
      <c r="T15" s="11" t="s">
        <v>212</v>
      </c>
      <c r="U15" s="11" t="s">
        <v>147</v>
      </c>
      <c r="V15" s="11" t="s">
        <v>14</v>
      </c>
      <c r="W15" s="11"/>
      <c r="X15" s="11" t="s">
        <v>213</v>
      </c>
      <c r="Y15" s="11" t="s">
        <v>214</v>
      </c>
      <c r="Z15" s="13" t="str">
        <f>TEXT("4025496539912367840","0")</f>
        <v>4025496539912367840</v>
      </c>
      <c r="AA15" s="12" t="str">
        <f>HYPERLINK("https://www.jotform.com/edit/4025496539912367840","Edit Submission")</f>
        <v>Edit Submission</v>
      </c>
    </row>
    <row r="16">
      <c r="A16" s="10">
        <v>43239.508310185185</v>
      </c>
      <c r="B16" s="11" t="s">
        <v>215</v>
      </c>
      <c r="C16" s="11" t="s">
        <v>216</v>
      </c>
      <c r="D16" s="11" t="s">
        <v>20</v>
      </c>
      <c r="E16" s="11" t="s">
        <v>217</v>
      </c>
      <c r="F16" s="12" t="str">
        <f>HYPERLINK("https://www.jotform.com/uploads/MelanieD/81331483384356/4025591186112965071/portrait.jpg","https://www.jotform.com/uploads/MelanieD/81331483384356/4025591186112965071/portrait.jpg")</f>
        <v>https://www.jotform.com/uploads/MelanieD/81331483384356/4025591186112965071/portrait.jpg</v>
      </c>
      <c r="G16" s="11" t="s">
        <v>218</v>
      </c>
      <c r="H16" s="11"/>
      <c r="I16" s="11" t="s">
        <v>66</v>
      </c>
      <c r="J16" s="13"/>
      <c r="K16" s="11">
        <v>45100.0</v>
      </c>
      <c r="L16" s="11"/>
      <c r="M16" s="11" t="s">
        <v>219</v>
      </c>
      <c r="N16" s="11" t="s">
        <v>220</v>
      </c>
      <c r="O16" s="11"/>
      <c r="P16" s="11" t="s">
        <v>27</v>
      </c>
      <c r="Q16" s="11" t="s">
        <v>221</v>
      </c>
      <c r="R16" s="11" t="s">
        <v>222</v>
      </c>
      <c r="S16" s="11" t="s">
        <v>223</v>
      </c>
      <c r="T16" s="11" t="s">
        <v>224</v>
      </c>
      <c r="U16" s="11" t="s">
        <v>225</v>
      </c>
      <c r="V16" s="11" t="s">
        <v>226</v>
      </c>
      <c r="W16" s="11"/>
      <c r="X16" s="11" t="s">
        <v>227</v>
      </c>
      <c r="Y16" s="11" t="s">
        <v>228</v>
      </c>
      <c r="Z16" s="13" t="str">
        <f>TEXT("4025591186112965071","0")</f>
        <v>4025591186112965071</v>
      </c>
      <c r="AA16" s="12" t="str">
        <f>HYPERLINK("https://www.jotform.com/edit/4025591186112965071","Edit Submission")</f>
        <v>Edit Submission</v>
      </c>
    </row>
    <row r="17">
      <c r="A17" s="10">
        <v>43239.54539351852</v>
      </c>
      <c r="B17" s="11" t="s">
        <v>229</v>
      </c>
      <c r="C17" s="11" t="s">
        <v>230</v>
      </c>
      <c r="D17" s="11" t="s">
        <v>2</v>
      </c>
      <c r="E17" s="11" t="s">
        <v>231</v>
      </c>
      <c r="F17" s="12" t="str">
        <f>HYPERLINK("https://www.jotform.com/uploads/MelanieD/81331483384356/4025623207323306623/20170123_170413%20%281%29.jpg","https://www.jotform.com/uploads/MelanieD/81331483384356/4025623207323306623/20170123_170413 (1).jpg")</f>
        <v>https://www.jotform.com/uploads/MelanieD/81331483384356/4025623207323306623/20170123_170413 (1).jpg</v>
      </c>
      <c r="G17" s="11" t="s">
        <v>232</v>
      </c>
      <c r="H17" s="11"/>
      <c r="I17" s="11" t="s">
        <v>233</v>
      </c>
      <c r="J17" s="13"/>
      <c r="K17" s="11">
        <v>45400.0</v>
      </c>
      <c r="L17" s="11"/>
      <c r="M17" s="11" t="s">
        <v>234</v>
      </c>
      <c r="N17" s="11" t="s">
        <v>235</v>
      </c>
      <c r="O17" s="11" t="s">
        <v>236</v>
      </c>
      <c r="P17" s="11" t="s">
        <v>43</v>
      </c>
      <c r="Q17" s="11" t="s">
        <v>237</v>
      </c>
      <c r="R17" s="11" t="s">
        <v>238</v>
      </c>
      <c r="S17" s="11" t="s">
        <v>239</v>
      </c>
      <c r="T17" s="11" t="s">
        <v>240</v>
      </c>
      <c r="U17" s="11" t="s">
        <v>147</v>
      </c>
      <c r="V17" s="11" t="s">
        <v>61</v>
      </c>
      <c r="W17" s="11"/>
      <c r="X17" s="11"/>
      <c r="Y17" s="11" t="s">
        <v>241</v>
      </c>
      <c r="Z17" s="13" t="str">
        <f>TEXT("4025623207323306623","0")</f>
        <v>4025623207323306623</v>
      </c>
      <c r="AA17" s="12" t="str">
        <f>HYPERLINK("https://www.jotform.com/edit/4025623207323306623","Edit Submission")</f>
        <v>Edit Submission</v>
      </c>
    </row>
    <row r="18">
      <c r="A18" s="10">
        <v>43239.71909722222</v>
      </c>
      <c r="B18" s="11" t="s">
        <v>242</v>
      </c>
      <c r="C18" s="11" t="s">
        <v>243</v>
      </c>
      <c r="D18" s="11" t="s">
        <v>20</v>
      </c>
      <c r="E18" s="11" t="s">
        <v>244</v>
      </c>
      <c r="F18" s="12" t="str">
        <f>HYPERLINK("https://www.jotform.com/uploads/MelanieD/81331483384356/4025773295199706854/Photo%20L.%20Bainier%20trombi%20Aida.jpg","https://www.jotform.com/uploads/MelanieD/81331483384356/4025773295199706854/Photo L. Bainier trombi Aida.jpg")</f>
        <v>https://www.jotform.com/uploads/MelanieD/81331483384356/4025773295199706854/Photo L. Bainier trombi Aida.jpg</v>
      </c>
      <c r="G18" s="11" t="s">
        <v>245</v>
      </c>
      <c r="H18" s="11"/>
      <c r="I18" s="11" t="s">
        <v>66</v>
      </c>
      <c r="J18" s="13"/>
      <c r="K18" s="11">
        <v>45000.0</v>
      </c>
      <c r="L18" s="11"/>
      <c r="M18" s="11" t="s">
        <v>246</v>
      </c>
      <c r="N18" s="11" t="s">
        <v>247</v>
      </c>
      <c r="O18" s="11"/>
      <c r="P18" s="11" t="s">
        <v>248</v>
      </c>
      <c r="Q18" s="11" t="s">
        <v>249</v>
      </c>
      <c r="R18" s="11" t="s">
        <v>250</v>
      </c>
      <c r="S18" s="11" t="s">
        <v>201</v>
      </c>
      <c r="T18" s="11" t="s">
        <v>251</v>
      </c>
      <c r="U18" s="11" t="s">
        <v>147</v>
      </c>
      <c r="V18" s="11" t="s">
        <v>201</v>
      </c>
      <c r="W18" s="11"/>
      <c r="X18" s="11"/>
      <c r="Y18" s="11" t="s">
        <v>252</v>
      </c>
      <c r="Z18" s="13" t="str">
        <f>TEXT("4025773295199706854","0")</f>
        <v>4025773295199706854</v>
      </c>
      <c r="AA18" s="12" t="str">
        <f>HYPERLINK("https://www.jotform.com/edit/4025773295199706854","Edit Submission")</f>
        <v>Edit Submission</v>
      </c>
    </row>
    <row r="19">
      <c r="A19" s="6">
        <v>43240.172268518516</v>
      </c>
      <c r="B19" s="7" t="s">
        <v>253</v>
      </c>
      <c r="C19" s="7" t="s">
        <v>254</v>
      </c>
      <c r="D19" s="7" t="s">
        <v>20</v>
      </c>
      <c r="E19" s="7" t="s">
        <v>255</v>
      </c>
      <c r="F19" s="8" t="str">
        <f>HYPERLINK("https://www.jotform.com/uploads/MelanieD/81331483384356/4026164831357134673/17052018_COMMANDE_C37E283199O8115920%281%29.pdf","https://www.jotform.com/uploads/MelanieD/81331483384356/4026164831357134673/17052018_COMMANDE_C37E283199O8115920(1).pdf")</f>
        <v>https://www.jotform.com/uploads/MelanieD/81331483384356/4026164831357134673/17052018_COMMANDE_C37E283199O8115920(1).pdf</v>
      </c>
      <c r="G19" s="7" t="s">
        <v>256</v>
      </c>
      <c r="H19" s="7"/>
      <c r="I19" s="7" t="s">
        <v>257</v>
      </c>
      <c r="J19" s="9"/>
      <c r="K19" s="7">
        <v>45400.0</v>
      </c>
      <c r="L19" s="7"/>
      <c r="M19" s="7" t="s">
        <v>258</v>
      </c>
      <c r="N19" s="7" t="s">
        <v>259</v>
      </c>
      <c r="O19" s="7" t="s">
        <v>260</v>
      </c>
      <c r="P19" s="7" t="s">
        <v>27</v>
      </c>
      <c r="Q19" s="7" t="s">
        <v>261</v>
      </c>
      <c r="R19" s="7" t="s">
        <v>262</v>
      </c>
      <c r="S19" s="7" t="s">
        <v>263</v>
      </c>
      <c r="T19" s="7" t="s">
        <v>264</v>
      </c>
      <c r="U19" s="7" t="s">
        <v>265</v>
      </c>
      <c r="V19" s="7" t="s">
        <v>14</v>
      </c>
      <c r="W19" s="7" t="s">
        <v>15</v>
      </c>
      <c r="X19" s="7" t="s">
        <v>266</v>
      </c>
      <c r="Y19" s="7" t="s">
        <v>267</v>
      </c>
      <c r="Z19" s="9" t="str">
        <f>TEXT("4026164831357134673","0")</f>
        <v>4026164831357134673</v>
      </c>
      <c r="AA19" s="8" t="str">
        <f>HYPERLINK("https://www.jotform.com/edit/4026164831357134673","Edit Submission")</f>
        <v>Edit Submission</v>
      </c>
    </row>
    <row r="20">
      <c r="A20" s="10">
        <v>43240.1841087963</v>
      </c>
      <c r="B20" s="11" t="s">
        <v>268</v>
      </c>
      <c r="C20" s="11" t="s">
        <v>243</v>
      </c>
      <c r="D20" s="11" t="s">
        <v>20</v>
      </c>
      <c r="E20" s="11" t="s">
        <v>269</v>
      </c>
      <c r="F20" s="12" t="str">
        <f>HYPERLINK("https://www.jotform.com/uploads/MelanieD/81331483384356/4026175056675351533/Laurent2.jpg","https://www.jotform.com/uploads/MelanieD/81331483384356/4026175056675351533/Laurent2.jpg")</f>
        <v>https://www.jotform.com/uploads/MelanieD/81331483384356/4026175056675351533/Laurent2.jpg</v>
      </c>
      <c r="G20" s="11" t="s">
        <v>270</v>
      </c>
      <c r="H20" s="11"/>
      <c r="I20" s="11" t="s">
        <v>271</v>
      </c>
      <c r="J20" s="13"/>
      <c r="K20" s="11">
        <v>45560.0</v>
      </c>
      <c r="L20" s="11"/>
      <c r="M20" s="11" t="s">
        <v>272</v>
      </c>
      <c r="N20" s="11" t="s">
        <v>273</v>
      </c>
      <c r="O20" s="11"/>
      <c r="P20" s="11" t="s">
        <v>248</v>
      </c>
      <c r="Q20" s="11" t="str">
        <f>TEXT("-  2009-2012: 1er cycle de chant au Conservatoire de Fleury-les-Aubrais dans la classe de Jacky Ragot, puis celle de Christophe Lizère,
- 2 ans à l'ensemble "1,2,3 Lyrique", expérience de chant soliste, 
direction artistique: Corinne Sertillanges,
- Stage de chant lyrique (1 semaine) au Conservatoire d'Orléans
- 2016-2017: Cours de chant dans la classe de J.M Fumas à EM St Denis en Val";"0")</f>
        <v>#ERROR!</v>
      </c>
      <c r="R20" s="11" t="str">
        <f>TEXT("- 2004-2010: ensemble vocal Hémiole, direction Christian Eypper
- 2010-2016: choeur symphonique du Conservatoire d'Orléans, direction: Elisabeth Renault","0")</f>
        <v>- 2004-2010: ensemble vocal Hémiole, direction Christian Eypper
- 2010-2016: choeur symphonique du Conservatoire d'Orléans, direction: Elisabeth Renault</v>
      </c>
      <c r="S20" s="11" t="str">
        <f>TEXT("- Choriste pupitre ténor dans "Notre Flûte enchantée" d'après W.A Mozart,
 avec l'orchestre Confluence, direction Alexandre Bloch, petite mise en 
scène, joué en juin 2011 à l'église Jeanne d'Arc d'Orléans.
- Choriste pupitre ténor du Choeur Opéra de la Musique de Léonie dans les Opéras Carmen, La Flûte Enchantée, Aïda et My Fair Lady produits par la Fabrique Opéra Val de Loire";"0")</f>
        <v>#ERROR!</v>
      </c>
      <c r="T20" s="11" t="str">
        <f>TEXT("- J'adore l'Opéra et Faust de Gounod est un de mes favoris...
- Afin d'y vivre une grande émotion musicale et humaine avec mes collègues choristes","0")</f>
        <v>- J'adore l'Opéra et Faust de Gounod est un de mes favoris...
- Afin d'y vivre une grande émotion musicale et humaine avec mes collègues choristes</v>
      </c>
      <c r="U20" s="11" t="s">
        <v>89</v>
      </c>
      <c r="V20" s="11" t="s">
        <v>14</v>
      </c>
      <c r="W20" s="11"/>
      <c r="X20" s="11"/>
      <c r="Y20" s="11" t="s">
        <v>274</v>
      </c>
      <c r="Z20" s="13" t="str">
        <f>TEXT("4026175056675351533","0")</f>
        <v>4026175056675351533</v>
      </c>
      <c r="AA20" s="12" t="str">
        <f>HYPERLINK("https://www.jotform.com/edit/4026175056675351533","Edit Submission")</f>
        <v>Edit Submission</v>
      </c>
    </row>
    <row r="21">
      <c r="A21" s="10">
        <v>43240.41490740741</v>
      </c>
      <c r="B21" s="11" t="s">
        <v>275</v>
      </c>
      <c r="C21" s="11" t="s">
        <v>276</v>
      </c>
      <c r="D21" s="11" t="s">
        <v>20</v>
      </c>
      <c r="E21" s="11" t="s">
        <v>277</v>
      </c>
      <c r="F21" s="12" t="str">
        <f>HYPERLINK("https://www.jotform.com/uploads/MelanieD/81331483384356/4026374472513806445/7A9C8E80-168D-4949-9179-2598774FDDB2.jpeg","https://www.jotform.com/uploads/MelanieD/81331483384356/4026374472513806445/7A9C8E80-168D-4949-9179-2598774FDDB2.jpeg")</f>
        <v>https://www.jotform.com/uploads/MelanieD/81331483384356/4026374472513806445/7A9C8E80-168D-4949-9179-2598774FDDB2.jpeg</v>
      </c>
      <c r="G21" s="11" t="s">
        <v>278</v>
      </c>
      <c r="H21" s="11"/>
      <c r="I21" s="11" t="s">
        <v>279</v>
      </c>
      <c r="J21" s="13"/>
      <c r="K21" s="11">
        <v>45160.0</v>
      </c>
      <c r="L21" s="11"/>
      <c r="M21" s="11" t="s">
        <v>280</v>
      </c>
      <c r="N21" s="11" t="s">
        <v>281</v>
      </c>
      <c r="O21" s="11" t="s">
        <v>282</v>
      </c>
      <c r="P21" s="11" t="s">
        <v>248</v>
      </c>
      <c r="Q21" s="11" t="s">
        <v>283</v>
      </c>
      <c r="R21" s="11" t="s">
        <v>284</v>
      </c>
      <c r="S21" s="11" t="s">
        <v>285</v>
      </c>
      <c r="T21" s="11" t="s">
        <v>286</v>
      </c>
      <c r="U21" s="11" t="s">
        <v>287</v>
      </c>
      <c r="V21" s="11" t="s">
        <v>61</v>
      </c>
      <c r="W21" s="11"/>
      <c r="X21" s="11"/>
      <c r="Y21" s="11" t="s">
        <v>288</v>
      </c>
      <c r="Z21" s="13" t="str">
        <f>TEXT("4026374472513806445","0")</f>
        <v>4026374472513806445</v>
      </c>
      <c r="AA21" s="12" t="str">
        <f>HYPERLINK("https://www.jotform.com/edit/4026374472513806445","Edit Submission")</f>
        <v>Edit Submission</v>
      </c>
    </row>
    <row r="22">
      <c r="A22" s="10">
        <v>43240.53465277778</v>
      </c>
      <c r="B22" s="11" t="s">
        <v>289</v>
      </c>
      <c r="C22" s="11" t="s">
        <v>290</v>
      </c>
      <c r="D22" s="11" t="s">
        <v>2</v>
      </c>
      <c r="E22" s="11" t="s">
        <v>291</v>
      </c>
      <c r="F22" s="12" t="str">
        <f>HYPERLINK("https://www.jotform.com/uploads/MelanieD/81331483384356/4026477936719755719/Mimi.jpg","https://www.jotform.com/uploads/MelanieD/81331483384356/4026477936719755719/Mimi.jpg")</f>
        <v>https://www.jotform.com/uploads/MelanieD/81331483384356/4026477936719755719/Mimi.jpg</v>
      </c>
      <c r="G22" s="11" t="s">
        <v>292</v>
      </c>
      <c r="H22" s="11"/>
      <c r="I22" s="11" t="s">
        <v>293</v>
      </c>
      <c r="J22" s="13"/>
      <c r="K22" s="11">
        <v>45650.0</v>
      </c>
      <c r="L22" s="11"/>
      <c r="M22" s="11" t="s">
        <v>294</v>
      </c>
      <c r="N22" s="11" t="s">
        <v>295</v>
      </c>
      <c r="O22" s="11" t="s">
        <v>296</v>
      </c>
      <c r="P22" s="11" t="s">
        <v>8</v>
      </c>
      <c r="Q22" s="11" t="s">
        <v>297</v>
      </c>
      <c r="R22" s="11" t="s">
        <v>298</v>
      </c>
      <c r="S22" s="11" t="s">
        <v>299</v>
      </c>
      <c r="T22" s="11" t="s">
        <v>300</v>
      </c>
      <c r="U22" s="11" t="s">
        <v>89</v>
      </c>
      <c r="V22" s="11" t="s">
        <v>61</v>
      </c>
      <c r="W22" s="11"/>
      <c r="X22" s="11"/>
      <c r="Y22" s="11" t="s">
        <v>301</v>
      </c>
      <c r="Z22" s="13" t="str">
        <f>TEXT("4026477936719755719","0")</f>
        <v>4026477936719755719</v>
      </c>
      <c r="AA22" s="12" t="str">
        <f>HYPERLINK("https://www.jotform.com/edit/4026477936719755719","Edit Submission")</f>
        <v>Edit Submission</v>
      </c>
    </row>
    <row r="23">
      <c r="A23" s="10">
        <v>43241.08782407407</v>
      </c>
      <c r="B23" s="11" t="s">
        <v>302</v>
      </c>
      <c r="C23" s="11" t="s">
        <v>303</v>
      </c>
      <c r="D23" s="11" t="s">
        <v>2</v>
      </c>
      <c r="E23" s="11" t="s">
        <v>304</v>
      </c>
      <c r="F23" s="12" t="str">
        <f>HYPERLINK("https://www.jotform.com/uploads/MelanieD/81331483384356/4026955877811534318/20180213_141152.jpg","https://www.jotform.com/uploads/MelanieD/81331483384356/4026955877811534318/20180213_141152.jpg")</f>
        <v>https://www.jotform.com/uploads/MelanieD/81331483384356/4026955877811534318/20180213_141152.jpg</v>
      </c>
      <c r="G23" s="11" t="s">
        <v>305</v>
      </c>
      <c r="H23" s="11"/>
      <c r="I23" s="11">
        <v>45110.0</v>
      </c>
      <c r="J23" s="13"/>
      <c r="K23" s="11" t="s">
        <v>306</v>
      </c>
      <c r="L23" s="11"/>
      <c r="M23" s="11" t="s">
        <v>307</v>
      </c>
      <c r="N23" s="11" t="s">
        <v>308</v>
      </c>
      <c r="O23" s="11" t="s">
        <v>309</v>
      </c>
      <c r="P23" s="11" t="s">
        <v>8</v>
      </c>
      <c r="Q23" s="11" t="s">
        <v>310</v>
      </c>
      <c r="R23" s="11" t="s">
        <v>311</v>
      </c>
      <c r="S23" s="11" t="s">
        <v>312</v>
      </c>
      <c r="T23" s="11" t="s">
        <v>313</v>
      </c>
      <c r="U23" s="11" t="s">
        <v>89</v>
      </c>
      <c r="V23" s="11" t="s">
        <v>61</v>
      </c>
      <c r="W23" s="11"/>
      <c r="X23" s="11" t="s">
        <v>314</v>
      </c>
      <c r="Y23" s="11" t="s">
        <v>315</v>
      </c>
      <c r="Z23" s="13" t="str">
        <f>TEXT("4026955877811534318","0")</f>
        <v>4026955877811534318</v>
      </c>
      <c r="AA23" s="12" t="str">
        <f>HYPERLINK("https://www.jotform.com/edit/4026955877811534318","Edit Submission")</f>
        <v>Edit Submission</v>
      </c>
    </row>
    <row r="24">
      <c r="A24" s="10">
        <v>43241.239340277774</v>
      </c>
      <c r="B24" s="11" t="s">
        <v>316</v>
      </c>
      <c r="C24" s="11" t="s">
        <v>317</v>
      </c>
      <c r="D24" s="11" t="s">
        <v>2</v>
      </c>
      <c r="E24" s="11" t="s">
        <v>318</v>
      </c>
      <c r="F24" s="12" t="str">
        <f>HYPERLINK("https://www.jotform.com/uploads/MelanieD/81331483384356/4027086779412498510/photo%20dominique.JPG","https://www.jotform.com/uploads/MelanieD/81331483384356/4027086779412498510/photo dominique.JPG")</f>
        <v>https://www.jotform.com/uploads/MelanieD/81331483384356/4027086779412498510/photo dominique.JPG</v>
      </c>
      <c r="G24" s="11" t="s">
        <v>319</v>
      </c>
      <c r="H24" s="11"/>
      <c r="I24" s="11" t="s">
        <v>320</v>
      </c>
      <c r="J24" s="13"/>
      <c r="K24" s="11">
        <v>45000.0</v>
      </c>
      <c r="L24" s="11"/>
      <c r="M24" s="11" t="s">
        <v>321</v>
      </c>
      <c r="N24" s="11" t="s">
        <v>322</v>
      </c>
      <c r="O24" s="11"/>
      <c r="P24" s="11" t="s">
        <v>43</v>
      </c>
      <c r="Q24" s="11" t="s">
        <v>323</v>
      </c>
      <c r="R24" s="11" t="s">
        <v>324</v>
      </c>
      <c r="S24" s="11" t="s">
        <v>325</v>
      </c>
      <c r="T24" s="11" t="s">
        <v>326</v>
      </c>
      <c r="U24" s="11" t="s">
        <v>200</v>
      </c>
      <c r="V24" s="11" t="s">
        <v>327</v>
      </c>
      <c r="W24" s="11"/>
      <c r="X24" s="11"/>
      <c r="Y24" s="11" t="s">
        <v>328</v>
      </c>
      <c r="Z24" s="13" t="str">
        <f>TEXT("4027086779412498510","0")</f>
        <v>4027086779412498510</v>
      </c>
      <c r="AA24" s="12" t="str">
        <f>HYPERLINK("https://www.jotform.com/edit/4027086779412498510","Edit Submission")</f>
        <v>Edit Submission</v>
      </c>
    </row>
    <row r="25">
      <c r="A25" s="10">
        <v>43241.33913194444</v>
      </c>
      <c r="B25" s="11" t="s">
        <v>329</v>
      </c>
      <c r="C25" s="11" t="s">
        <v>330</v>
      </c>
      <c r="D25" s="11" t="s">
        <v>2</v>
      </c>
      <c r="E25" s="11" t="s">
        <v>331</v>
      </c>
      <c r="F25" s="12" t="str">
        <f>HYPERLINK("https://www.jotform.com/uploads/MelanieD/81331483384356/4027173004528076545/IMG_20180521_145751.jpg","https://www.jotform.com/uploads/MelanieD/81331483384356/4027173004528076545/IMG_20180521_145751.jpg")</f>
        <v>https://www.jotform.com/uploads/MelanieD/81331483384356/4027173004528076545/IMG_20180521_145751.jpg</v>
      </c>
      <c r="G25" s="11" t="s">
        <v>332</v>
      </c>
      <c r="H25" s="11" t="s">
        <v>332</v>
      </c>
      <c r="I25" s="11" t="s">
        <v>333</v>
      </c>
      <c r="J25" s="13"/>
      <c r="K25" s="11">
        <v>45750.0</v>
      </c>
      <c r="L25" s="11"/>
      <c r="M25" s="11" t="s">
        <v>334</v>
      </c>
      <c r="N25" s="11" t="s">
        <v>335</v>
      </c>
      <c r="O25" s="11"/>
      <c r="P25" s="11" t="s">
        <v>43</v>
      </c>
      <c r="Q25" s="11" t="s">
        <v>336</v>
      </c>
      <c r="R25" s="11" t="str">
        <f>TEXT("- Pratique très régulière pendant mon parcours initial en conservatoire, puis participation à divers choeurs pendant mes études en France et en Angleterre.
- j'ai fait partie pendant 10 ans d'une structure artistique qui s'appelle L'École du Spectateur ("&amp;"EdS, Le Creusot, 71) mêlant chant, théâtre et danse. La structure existe encore et monte plusieurs projets dont des opéras tous les ans.","0")</f>
        <v>- Pratique très régulière pendant mon parcours initial en conservatoire, puis participation à divers choeurs pendant mes études en France et en Angleterre.
- j'ai fait partie pendant 10 ans d'une structure artistique qui s'appelle L'École du Spectateur (EdS, Le Creusot, 71) mêlant chant, théâtre et danse. La structure existe encore et monte plusieurs projets dont des opéras tous les ans.</v>
      </c>
      <c r="S25" s="11" t="str">
        <f>TEXT("- mon expérience avec l'école du Spectateur pendant 10 ans.
- j'ai fait partie du choeur pour Aïda il y a 2 ans.","0")</f>
        <v>- mon expérience avec l'école du Spectateur pendant 10 ans.
- j'ai fait partie du choeur pour Aïda il y a 2 ans.</v>
      </c>
      <c r="T25" s="11" t="s">
        <v>337</v>
      </c>
      <c r="U25" s="11" t="s">
        <v>338</v>
      </c>
      <c r="V25" s="11" t="s">
        <v>201</v>
      </c>
      <c r="W25" s="11"/>
      <c r="X25" s="11"/>
      <c r="Y25" s="11" t="s">
        <v>339</v>
      </c>
      <c r="Z25" s="13" t="str">
        <f>TEXT("4027173004528076545","0")</f>
        <v>4027173004528076545</v>
      </c>
      <c r="AA25" s="12" t="str">
        <f>HYPERLINK("https://www.jotform.com/edit/4027173004528076545","Edit Submission")</f>
        <v>Edit Submission</v>
      </c>
    </row>
    <row r="26">
      <c r="A26" s="10">
        <v>43241.356770833336</v>
      </c>
      <c r="B26" s="11" t="s">
        <v>340</v>
      </c>
      <c r="C26" s="11" t="s">
        <v>341</v>
      </c>
      <c r="D26" s="11" t="s">
        <v>2</v>
      </c>
      <c r="E26" s="11" t="s">
        <v>342</v>
      </c>
      <c r="F26" s="12" t="str">
        <f>HYPERLINK("https://www.jotform.com/uploads/MelanieD/81331483384356/4027188247445376492/FB_IMG_1523995839511.jpg","https://www.jotform.com/uploads/MelanieD/81331483384356/4027188247445376492/FB_IMG_1523995839511.jpg")</f>
        <v>https://www.jotform.com/uploads/MelanieD/81331483384356/4027188247445376492/FB_IMG_1523995839511.jpg</v>
      </c>
      <c r="G26" s="11" t="s">
        <v>343</v>
      </c>
      <c r="H26" s="11" t="s">
        <v>343</v>
      </c>
      <c r="I26" s="11" t="s">
        <v>344</v>
      </c>
      <c r="J26" s="13"/>
      <c r="K26" s="11">
        <v>45110.0</v>
      </c>
      <c r="L26" s="11"/>
      <c r="M26" s="11" t="s">
        <v>345</v>
      </c>
      <c r="N26" s="11" t="s">
        <v>346</v>
      </c>
      <c r="O26" s="11" t="s">
        <v>347</v>
      </c>
      <c r="P26" s="11" t="s">
        <v>8</v>
      </c>
      <c r="Q26" s="11" t="s">
        <v>348</v>
      </c>
      <c r="R26" s="11" t="str">
        <f>TEXT("- choriste soprane à La Rabolière de Jargeau depuis sept. 2009 (prestations sans partition)
- choriste au sein de la "Motown jazz Academy" dirigée par Pierre Gérard verny (prestation chorégraphiée et sans partition).
- choriste soprane dans "My fair lady", en 2018 (prestation chorégraphiée et sans partition).
- divers stages de chant avec le CEPRVOI de Montlouis.
- Cours de chant individuels à l'école de musique de Ouzouer/Loire depuis sept 2017. Participation au projet "lecture et chant" et à mise en scène des chants présentés en fin d'année.";"0")</f>
        <v>#ERROR!</v>
      </c>
      <c r="S26" s="11" t="str">
        <f>TEXT("- Mise en mouvement de certains chants de notre chorale.
- Mise en mouvement des chants interprétés avec la "Jazz Motown Academy"
- Mise en scène (travail la professeure de théâtre de la communauté de communes de Sully) des chants interprétés en fin d'année de l'école de musique d'Ouzouer/Loire.
- Choeur tutti de "My fair lady".
- Pratique des claquettes avec plusieurs démonstrations sur scène par an (Association "Bouge ton corps" de St-Martin d'Abbat).
- Pratique régulière depuis mon enfance de la gym volontaire (j'ai animé des cours pendant 10 ans) et danse moderne avec prestation scénique de démonstration en fin d'année.";"0")</f>
        <v>#ERROR!</v>
      </c>
      <c r="T26" s="11" t="s">
        <v>349</v>
      </c>
      <c r="U26" s="11" t="s">
        <v>350</v>
      </c>
      <c r="V26" s="11" t="s">
        <v>74</v>
      </c>
      <c r="W26" s="11"/>
      <c r="X26" s="11"/>
      <c r="Y26" s="11" t="s">
        <v>351</v>
      </c>
      <c r="Z26" s="13" t="str">
        <f>TEXT("4027188247445376492","0")</f>
        <v>4027188247445376492</v>
      </c>
      <c r="AA26" s="12" t="str">
        <f>HYPERLINK("https://www.jotform.com/edit/4027188247445376492","Edit Submission")</f>
        <v>Edit Submission</v>
      </c>
    </row>
    <row r="27">
      <c r="A27" s="10">
        <v>43241.40350694444</v>
      </c>
      <c r="B27" s="11" t="s">
        <v>352</v>
      </c>
      <c r="C27" s="11" t="s">
        <v>353</v>
      </c>
      <c r="D27" s="11" t="s">
        <v>2</v>
      </c>
      <c r="E27" s="11" t="s">
        <v>354</v>
      </c>
      <c r="F27" s="12" t="str">
        <f>HYPERLINK("https://www.jotform.com/uploads/MelanieD/81331483384356/4027228615502314005/Christine%20Six.jpg","https://www.jotform.com/uploads/MelanieD/81331483384356/4027228615502314005/Christine Six.jpg")</f>
        <v>https://www.jotform.com/uploads/MelanieD/81331483384356/4027228615502314005/Christine Six.jpg</v>
      </c>
      <c r="G27" s="11" t="s">
        <v>355</v>
      </c>
      <c r="H27" s="11"/>
      <c r="I27" s="11" t="s">
        <v>356</v>
      </c>
      <c r="J27" s="13"/>
      <c r="K27" s="11">
        <v>45770.0</v>
      </c>
      <c r="L27" s="11"/>
      <c r="M27" s="11" t="s">
        <v>357</v>
      </c>
      <c r="N27" s="11" t="s">
        <v>358</v>
      </c>
      <c r="O27" s="11" t="s">
        <v>359</v>
      </c>
      <c r="P27" s="11" t="s">
        <v>43</v>
      </c>
      <c r="Q27" s="11" t="s">
        <v>360</v>
      </c>
      <c r="R27" s="11" t="s">
        <v>361</v>
      </c>
      <c r="S27" s="11" t="s">
        <v>362</v>
      </c>
      <c r="T27" s="11" t="s">
        <v>363</v>
      </c>
      <c r="U27" s="11" t="s">
        <v>200</v>
      </c>
      <c r="V27" s="11" t="s">
        <v>327</v>
      </c>
      <c r="W27" s="11"/>
      <c r="X27" s="11"/>
      <c r="Y27" s="11" t="s">
        <v>364</v>
      </c>
      <c r="Z27" s="13" t="str">
        <f>TEXT("4027228615502314005","0")</f>
        <v>4027228615502314005</v>
      </c>
      <c r="AA27" s="12" t="str">
        <f>HYPERLINK("https://www.jotform.com/edit/4027228615502314005","Edit Submission")</f>
        <v>Edit Submission</v>
      </c>
    </row>
    <row r="28">
      <c r="A28" s="10">
        <v>43241.44894675926</v>
      </c>
      <c r="B28" s="11" t="s">
        <v>365</v>
      </c>
      <c r="C28" s="11" t="s">
        <v>366</v>
      </c>
      <c r="D28" s="11" t="s">
        <v>2</v>
      </c>
      <c r="E28" s="11" t="s">
        <v>367</v>
      </c>
      <c r="F28" s="12" t="str">
        <f>HYPERLINK("https://www.jotform.com/uploads/MelanieD/81331483384356/4027267884427706868/lchery.JPG","https://www.jotform.com/uploads/MelanieD/81331483384356/4027267884427706868/lchery.JPG")</f>
        <v>https://www.jotform.com/uploads/MelanieD/81331483384356/4027267884427706868/lchery.JPG</v>
      </c>
      <c r="G28" s="11" t="s">
        <v>368</v>
      </c>
      <c r="H28" s="11"/>
      <c r="I28" s="11" t="s">
        <v>111</v>
      </c>
      <c r="J28" s="13"/>
      <c r="K28" s="11">
        <v>45100.0</v>
      </c>
      <c r="L28" s="11"/>
      <c r="M28" s="11" t="s">
        <v>369</v>
      </c>
      <c r="N28" s="11" t="s">
        <v>370</v>
      </c>
      <c r="O28" s="11" t="s">
        <v>371</v>
      </c>
      <c r="P28" s="11" t="s">
        <v>43</v>
      </c>
      <c r="Q28" s="11" t="s">
        <v>372</v>
      </c>
      <c r="R28" s="11" t="s">
        <v>373</v>
      </c>
      <c r="S28" s="11" t="s">
        <v>374</v>
      </c>
      <c r="T28" s="11" t="s">
        <v>375</v>
      </c>
      <c r="U28" s="11" t="s">
        <v>89</v>
      </c>
      <c r="V28" s="11" t="s">
        <v>14</v>
      </c>
      <c r="W28" s="11"/>
      <c r="X28" s="11"/>
      <c r="Y28" s="11" t="s">
        <v>376</v>
      </c>
      <c r="Z28" s="13" t="str">
        <f>TEXT("4027267884427706868","0")</f>
        <v>4027267884427706868</v>
      </c>
      <c r="AA28" s="12" t="str">
        <f>HYPERLINK("https://www.jotform.com/edit/4027267884427706868","Edit Submission")</f>
        <v>Edit Submission</v>
      </c>
    </row>
    <row r="29">
      <c r="A29" s="10">
        <v>43241.45113425926</v>
      </c>
      <c r="B29" s="11" t="s">
        <v>377</v>
      </c>
      <c r="C29" s="11" t="s">
        <v>378</v>
      </c>
      <c r="D29" s="11" t="s">
        <v>20</v>
      </c>
      <c r="E29" s="11" t="s">
        <v>379</v>
      </c>
      <c r="F29" s="12" t="str">
        <f>HYPERLINK("https://www.jotform.com/uploads/MelanieD/81331483384356/4027269783245514428/Photo%20%C3%A0%20suivre.pdf","https://www.jotform.com/uploads/MelanieD/81331483384356/4027269783245514428/Photo à suivre.pdf")</f>
        <v>https://www.jotform.com/uploads/MelanieD/81331483384356/4027269783245514428/Photo à suivre.pdf</v>
      </c>
      <c r="G29" s="11" t="s">
        <v>380</v>
      </c>
      <c r="H29" s="11" t="s">
        <v>380</v>
      </c>
      <c r="I29" s="11" t="s">
        <v>320</v>
      </c>
      <c r="J29" s="13"/>
      <c r="K29" s="11">
        <v>45000.0</v>
      </c>
      <c r="L29" s="11"/>
      <c r="M29" s="11" t="s">
        <v>381</v>
      </c>
      <c r="N29" s="11" t="s">
        <v>382</v>
      </c>
      <c r="O29" s="11" t="s">
        <v>383</v>
      </c>
      <c r="P29" s="11" t="s">
        <v>248</v>
      </c>
      <c r="Q29" s="11" t="s">
        <v>384</v>
      </c>
      <c r="R29" s="11" t="s">
        <v>385</v>
      </c>
      <c r="S29" s="11" t="s">
        <v>386</v>
      </c>
      <c r="T29" s="11" t="str">
        <f>TEXT("- Je suis intrigué par le parti pris par la mise en scène de ce nouveau projet.
- En tant que germaniste, j'ai une attirance quasi intrinsèque  pour cette oeuvre.
- De manière générale, tout nouveau projet de la Fabrique m'intéresse d'emblée.","0")</f>
        <v>- Je suis intrigué par le parti pris par la mise en scène de ce nouveau projet.
- En tant que germaniste, j'ai une attirance quasi intrinsèque  pour cette oeuvre.
- De manière générale, tout nouveau projet de la Fabrique m'intéresse d'emblée.</v>
      </c>
      <c r="U29" s="11" t="s">
        <v>200</v>
      </c>
      <c r="V29" s="11" t="s">
        <v>33</v>
      </c>
      <c r="W29" s="11"/>
      <c r="X29" s="11" t="s">
        <v>314</v>
      </c>
      <c r="Y29" s="11" t="s">
        <v>387</v>
      </c>
      <c r="Z29" s="13" t="str">
        <f>TEXT("4027269783245514428","0")</f>
        <v>4027269783245514428</v>
      </c>
      <c r="AA29" s="12" t="str">
        <f>HYPERLINK("https://www.jotform.com/edit/4027269783245514428","Edit Submission")</f>
        <v>Edit Submission</v>
      </c>
    </row>
    <row r="30">
      <c r="A30" s="10">
        <v>43241.55159722222</v>
      </c>
      <c r="B30" s="11" t="s">
        <v>388</v>
      </c>
      <c r="C30" s="11" t="s">
        <v>389</v>
      </c>
      <c r="D30" s="11" t="s">
        <v>2</v>
      </c>
      <c r="E30" s="11" t="s">
        <v>390</v>
      </c>
      <c r="F30" s="12" t="str">
        <f>HYPERLINK("https://www.jotform.com/uploads/MelanieD/81331483384356/4027356565218770431/Marguerite%20JIMENES.jpg","https://www.jotform.com/uploads/MelanieD/81331483384356/4027356565218770431/Marguerite JIMENES.jpg")</f>
        <v>https://www.jotform.com/uploads/MelanieD/81331483384356/4027356565218770431/Marguerite JIMENES.jpg</v>
      </c>
      <c r="G30" s="11" t="s">
        <v>391</v>
      </c>
      <c r="H30" s="11"/>
      <c r="I30" s="11" t="s">
        <v>392</v>
      </c>
      <c r="J30" s="13"/>
      <c r="K30" s="11">
        <v>45800.0</v>
      </c>
      <c r="L30" s="11"/>
      <c r="M30" s="11" t="s">
        <v>393</v>
      </c>
      <c r="N30" s="11" t="s">
        <v>394</v>
      </c>
      <c r="O30" s="11"/>
      <c r="P30" s="11" t="s">
        <v>43</v>
      </c>
      <c r="Q30" s="11" t="s">
        <v>395</v>
      </c>
      <c r="R30" s="11" t="s">
        <v>396</v>
      </c>
      <c r="S30" s="11" t="s">
        <v>397</v>
      </c>
      <c r="T30" s="11" t="s">
        <v>398</v>
      </c>
      <c r="U30" s="11" t="s">
        <v>147</v>
      </c>
      <c r="V30" s="11" t="s">
        <v>201</v>
      </c>
      <c r="W30" s="11"/>
      <c r="X30" s="11" t="s">
        <v>399</v>
      </c>
      <c r="Y30" s="11" t="s">
        <v>400</v>
      </c>
      <c r="Z30" s="13" t="str">
        <f>TEXT("4027356565218770431","0")</f>
        <v>4027356565218770431</v>
      </c>
      <c r="AA30" s="12" t="str">
        <f>HYPERLINK("https://www.jotform.com/edit/4027356565218770431","Edit Submission")</f>
        <v>Edit Submission</v>
      </c>
    </row>
    <row r="31">
      <c r="A31" s="10">
        <v>43241.570381944446</v>
      </c>
      <c r="B31" s="11" t="s">
        <v>401</v>
      </c>
      <c r="C31" s="11" t="s">
        <v>402</v>
      </c>
      <c r="D31" s="11" t="s">
        <v>20</v>
      </c>
      <c r="E31" s="11" t="s">
        <v>403</v>
      </c>
      <c r="F31" s="12" t="str">
        <f>HYPERLINK("https://www.jotform.com/uploads/MelanieD/81331483384356/4027372797337401660/IMG_0540.jpg","https://www.jotform.com/uploads/MelanieD/81331483384356/4027372797337401660/IMG_0540.jpg")</f>
        <v>https://www.jotform.com/uploads/MelanieD/81331483384356/4027372797337401660/IMG_0540.jpg</v>
      </c>
      <c r="G31" s="11" t="s">
        <v>404</v>
      </c>
      <c r="H31" s="11"/>
      <c r="I31" s="11" t="s">
        <v>233</v>
      </c>
      <c r="J31" s="13"/>
      <c r="K31" s="11">
        <v>45400.0</v>
      </c>
      <c r="L31" s="11"/>
      <c r="M31" s="11" t="s">
        <v>405</v>
      </c>
      <c r="N31" s="11" t="s">
        <v>406</v>
      </c>
      <c r="O31" s="11"/>
      <c r="P31" s="11" t="s">
        <v>27</v>
      </c>
      <c r="Q31" s="11" t="s">
        <v>407</v>
      </c>
      <c r="R31" s="11" t="s">
        <v>407</v>
      </c>
      <c r="S31" s="11" t="s">
        <v>407</v>
      </c>
      <c r="T31" s="11" t="s">
        <v>408</v>
      </c>
      <c r="U31" s="11" t="s">
        <v>147</v>
      </c>
      <c r="V31" s="11" t="s">
        <v>61</v>
      </c>
      <c r="W31" s="11" t="s">
        <v>15</v>
      </c>
      <c r="X31" s="11"/>
      <c r="Y31" s="11" t="s">
        <v>409</v>
      </c>
      <c r="Z31" s="13" t="str">
        <f>TEXT("4027372797337401660","0")</f>
        <v>4027372797337401660</v>
      </c>
      <c r="AA31" s="12" t="str">
        <f>HYPERLINK("https://www.jotform.com/edit/4027372797337401660","Edit Submission")</f>
        <v>Edit Submission</v>
      </c>
    </row>
    <row r="32">
      <c r="A32" s="10">
        <v>43241.60835648148</v>
      </c>
      <c r="B32" s="11" t="s">
        <v>410</v>
      </c>
      <c r="C32" s="11" t="s">
        <v>411</v>
      </c>
      <c r="D32" s="11" t="s">
        <v>2</v>
      </c>
      <c r="E32" s="11" t="s">
        <v>412</v>
      </c>
      <c r="F32" s="12" t="str">
        <f>HYPERLINK("https://www.jotform.com/uploads/MelanieD/81331483384356/4027405618916227273/IMG_1091.JPG","https://www.jotform.com/uploads/MelanieD/81331483384356/4027405618916227273/IMG_1091.JPG")</f>
        <v>https://www.jotform.com/uploads/MelanieD/81331483384356/4027405618916227273/IMG_1091.JPG</v>
      </c>
      <c r="G32" s="11" t="s">
        <v>413</v>
      </c>
      <c r="H32" s="11" t="s">
        <v>413</v>
      </c>
      <c r="I32" s="11" t="s">
        <v>66</v>
      </c>
      <c r="J32" s="13"/>
      <c r="K32" s="11">
        <v>45000.0</v>
      </c>
      <c r="L32" s="11"/>
      <c r="M32" s="11" t="s">
        <v>414</v>
      </c>
      <c r="N32" s="11" t="s">
        <v>415</v>
      </c>
      <c r="O32" s="11" t="s">
        <v>416</v>
      </c>
      <c r="P32" s="11" t="s">
        <v>43</v>
      </c>
      <c r="Q32" s="11" t="s">
        <v>417</v>
      </c>
      <c r="R32" s="11" t="s">
        <v>418</v>
      </c>
      <c r="S32" s="11" t="s">
        <v>419</v>
      </c>
      <c r="T32" s="11" t="s">
        <v>420</v>
      </c>
      <c r="U32" s="11" t="s">
        <v>421</v>
      </c>
      <c r="V32" s="11" t="s">
        <v>14</v>
      </c>
      <c r="W32" s="11"/>
      <c r="X32" s="11"/>
      <c r="Y32" s="11" t="s">
        <v>422</v>
      </c>
      <c r="Z32" s="13" t="str">
        <f>TEXT("4027405618916227273","0")</f>
        <v>4027405618916227273</v>
      </c>
      <c r="AA32" s="12" t="str">
        <f>HYPERLINK("https://www.jotform.com/edit/4027405618916227273","Edit Submission")</f>
        <v>Edit Submission</v>
      </c>
    </row>
    <row r="33">
      <c r="A33" s="10">
        <v>43241.678460648145</v>
      </c>
      <c r="B33" s="11" t="s">
        <v>423</v>
      </c>
      <c r="C33" s="11" t="s">
        <v>424</v>
      </c>
      <c r="D33" s="11" t="s">
        <v>2</v>
      </c>
      <c r="E33" s="11" t="s">
        <v>425</v>
      </c>
      <c r="F33" s="12" t="str">
        <f>HYPERLINK("https://www.jotform.com/uploads/MelanieD/81331483384356/4027466183328709605/IMG_1002.jpg","https://www.jotform.com/uploads/MelanieD/81331483384356/4027466183328709605/IMG_1002.jpg")</f>
        <v>https://www.jotform.com/uploads/MelanieD/81331483384356/4027466183328709605/IMG_1002.jpg</v>
      </c>
      <c r="G33" s="11" t="s">
        <v>426</v>
      </c>
      <c r="H33" s="11"/>
      <c r="I33" s="11" t="s">
        <v>427</v>
      </c>
      <c r="J33" s="13"/>
      <c r="K33" s="11">
        <v>45620.0</v>
      </c>
      <c r="L33" s="11"/>
      <c r="M33" s="11" t="s">
        <v>428</v>
      </c>
      <c r="N33" s="11" t="s">
        <v>429</v>
      </c>
      <c r="O33" s="11"/>
      <c r="P33" s="11" t="s">
        <v>43</v>
      </c>
      <c r="Q33" s="11" t="s">
        <v>430</v>
      </c>
      <c r="R33" s="11" t="s">
        <v>431</v>
      </c>
      <c r="S33" s="11" t="s">
        <v>432</v>
      </c>
      <c r="T33" s="11" t="s">
        <v>433</v>
      </c>
      <c r="U33" s="11" t="s">
        <v>434</v>
      </c>
      <c r="V33" s="11" t="s">
        <v>33</v>
      </c>
      <c r="W33" s="11"/>
      <c r="X33" s="11"/>
      <c r="Y33" s="11" t="s">
        <v>435</v>
      </c>
      <c r="Z33" s="13" t="str">
        <f>TEXT("4027466183328709605","0")</f>
        <v>4027466183328709605</v>
      </c>
      <c r="AA33" s="12" t="str">
        <f>HYPERLINK("https://www.jotform.com/edit/4027466183328709605","Edit Submission")</f>
        <v>Edit Submission</v>
      </c>
    </row>
    <row r="34">
      <c r="A34" s="10">
        <v>43241.734606481485</v>
      </c>
      <c r="B34" s="11" t="s">
        <v>436</v>
      </c>
      <c r="C34" s="11" t="s">
        <v>437</v>
      </c>
      <c r="D34" s="11" t="s">
        <v>2</v>
      </c>
      <c r="E34" s="11" t="s">
        <v>438</v>
      </c>
      <c r="F34" s="12" t="str">
        <f>HYPERLINK("https://www.jotform.com/uploads/MelanieD/81331483384356/4027514693937996500/00000Photo%20Mary.jpg","https://www.jotform.com/uploads/MelanieD/81331483384356/4027514693937996500/00000Photo Mary.jpg")</f>
        <v>https://www.jotform.com/uploads/MelanieD/81331483384356/4027514693937996500/00000Photo Mary.jpg</v>
      </c>
      <c r="G34" s="11" t="s">
        <v>439</v>
      </c>
      <c r="H34" s="11" t="s">
        <v>439</v>
      </c>
      <c r="I34" s="11" t="s">
        <v>440</v>
      </c>
      <c r="J34" s="13"/>
      <c r="K34" s="11">
        <v>45160.0</v>
      </c>
      <c r="L34" s="11"/>
      <c r="M34" s="11" t="s">
        <v>441</v>
      </c>
      <c r="N34" s="11" t="s">
        <v>442</v>
      </c>
      <c r="O34" s="11" t="s">
        <v>443</v>
      </c>
      <c r="P34" s="11" t="s">
        <v>43</v>
      </c>
      <c r="Q34" s="11" t="s">
        <v>444</v>
      </c>
      <c r="R34" s="11" t="s">
        <v>445</v>
      </c>
      <c r="S34" s="11" t="s">
        <v>446</v>
      </c>
      <c r="T34" s="11" t="s">
        <v>447</v>
      </c>
      <c r="U34" s="11" t="s">
        <v>448</v>
      </c>
      <c r="V34" s="11" t="s">
        <v>201</v>
      </c>
      <c r="W34" s="11" t="s">
        <v>449</v>
      </c>
      <c r="X34" s="11"/>
      <c r="Y34" s="11" t="s">
        <v>450</v>
      </c>
      <c r="Z34" s="13" t="str">
        <f>TEXT("4027514693937996500","0")</f>
        <v>4027514693937996500</v>
      </c>
      <c r="AA34" s="12" t="str">
        <f>HYPERLINK("https://www.jotform.com/edit/4027514693937996500","Edit Submission")</f>
        <v>Edit Submission</v>
      </c>
    </row>
    <row r="35">
      <c r="A35" s="10">
        <v>43241.778344907405</v>
      </c>
      <c r="B35" s="11" t="s">
        <v>451</v>
      </c>
      <c r="C35" s="11" t="s">
        <v>452</v>
      </c>
      <c r="D35" s="11" t="s">
        <v>20</v>
      </c>
      <c r="E35" s="11" t="s">
        <v>453</v>
      </c>
      <c r="F35" s="12" t="str">
        <f>HYPERLINK("https://www.jotform.com/uploads/MelanieD/81331483384356/4027552490111452920/Photo-Jean-MAURIN.jpg","https://www.jotform.com/uploads/MelanieD/81331483384356/4027552490111452920/Photo-Jean-MAURIN.jpg")</f>
        <v>https://www.jotform.com/uploads/MelanieD/81331483384356/4027552490111452920/Photo-Jean-MAURIN.jpg</v>
      </c>
      <c r="G35" s="11" t="s">
        <v>454</v>
      </c>
      <c r="H35" s="11"/>
      <c r="I35" s="11" t="s">
        <v>455</v>
      </c>
      <c r="J35" s="13"/>
      <c r="K35" s="11">
        <v>45550.0</v>
      </c>
      <c r="L35" s="11"/>
      <c r="M35" s="11" t="s">
        <v>456</v>
      </c>
      <c r="N35" s="11" t="s">
        <v>457</v>
      </c>
      <c r="O35" s="11" t="s">
        <v>458</v>
      </c>
      <c r="P35" s="11" t="s">
        <v>27</v>
      </c>
      <c r="Q35" s="11" t="s">
        <v>459</v>
      </c>
      <c r="R35" s="11" t="s">
        <v>460</v>
      </c>
      <c r="S35" s="11" t="s">
        <v>461</v>
      </c>
      <c r="T35" s="11" t="s">
        <v>462</v>
      </c>
      <c r="U35" s="11" t="s">
        <v>463</v>
      </c>
      <c r="V35" s="11" t="s">
        <v>14</v>
      </c>
      <c r="W35" s="11"/>
      <c r="X35" s="11"/>
      <c r="Y35" s="11" t="s">
        <v>464</v>
      </c>
      <c r="Z35" s="13" t="str">
        <f>TEXT("4027552490111452920","0")</f>
        <v>4027552490111452920</v>
      </c>
      <c r="AA35" s="12" t="str">
        <f>HYPERLINK("https://www.jotform.com/edit/4027552490111452920","Edit Submission")</f>
        <v>Edit Submission</v>
      </c>
    </row>
    <row r="36">
      <c r="A36" s="10">
        <v>43242.14618055556</v>
      </c>
      <c r="B36" s="11" t="s">
        <v>465</v>
      </c>
      <c r="C36" s="11" t="s">
        <v>466</v>
      </c>
      <c r="D36" s="11" t="s">
        <v>20</v>
      </c>
      <c r="E36" s="11" t="s">
        <v>467</v>
      </c>
      <c r="F36" s="12" t="str">
        <f>HYPERLINK("https://www.jotform.com/uploads/MelanieD/81331483384356/4027870282224909452/portrait%20JCH%20par%20voisin%21.JPG","https://www.jotform.com/uploads/MelanieD/81331483384356/4027870282224909452/portrait JCH par voisin!.JPG")</f>
        <v>https://www.jotform.com/uploads/MelanieD/81331483384356/4027870282224909452/portrait JCH par voisin!.JPG</v>
      </c>
      <c r="G36" s="11" t="s">
        <v>468</v>
      </c>
      <c r="H36" s="11" t="s">
        <v>469</v>
      </c>
      <c r="I36" s="11" t="s">
        <v>470</v>
      </c>
      <c r="J36" s="13"/>
      <c r="K36" s="11">
        <v>45160.0</v>
      </c>
      <c r="L36" s="11"/>
      <c r="M36" s="11" t="s">
        <v>471</v>
      </c>
      <c r="N36" s="11" t="s">
        <v>472</v>
      </c>
      <c r="O36" s="11" t="s">
        <v>473</v>
      </c>
      <c r="P36" s="11" t="s">
        <v>27</v>
      </c>
      <c r="Q36" s="11" t="s">
        <v>474</v>
      </c>
      <c r="R36" s="11" t="s">
        <v>475</v>
      </c>
      <c r="S36" s="11" t="s">
        <v>476</v>
      </c>
      <c r="T36" s="11" t="s">
        <v>477</v>
      </c>
      <c r="U36" s="11" t="s">
        <v>147</v>
      </c>
      <c r="V36" s="11" t="s">
        <v>74</v>
      </c>
      <c r="W36" s="11"/>
      <c r="X36" s="11"/>
      <c r="Y36" s="11" t="s">
        <v>478</v>
      </c>
      <c r="Z36" s="13" t="str">
        <f>TEXT("4027870282224909452","0")</f>
        <v>4027870282224909452</v>
      </c>
      <c r="AA36" s="12" t="str">
        <f>HYPERLINK("https://www.jotform.com/edit/4027870282224909452","Edit Submission")</f>
        <v>Edit Submission</v>
      </c>
    </row>
    <row r="37">
      <c r="A37" s="10">
        <v>43242.33013888889</v>
      </c>
      <c r="B37" s="11" t="s">
        <v>479</v>
      </c>
      <c r="C37" s="11" t="s">
        <v>480</v>
      </c>
      <c r="D37" s="11" t="s">
        <v>20</v>
      </c>
      <c r="E37" s="11" t="s">
        <v>481</v>
      </c>
      <c r="F37" s="12" t="str">
        <f>HYPERLINK("https://www.jotform.com/uploads/MelanieD/81331483384356/4028029231211807176/Alain%20Charri%C3%A8re%20T.JPG","https://www.jotform.com/uploads/MelanieD/81331483384356/4028029231211807176/Alain Charrière T.JPG")</f>
        <v>https://www.jotform.com/uploads/MelanieD/81331483384356/4028029231211807176/Alain Charrière T.JPG</v>
      </c>
      <c r="G37" s="11" t="s">
        <v>482</v>
      </c>
      <c r="H37" s="11"/>
      <c r="I37" s="11" t="s">
        <v>111</v>
      </c>
      <c r="J37" s="13"/>
      <c r="K37" s="11">
        <v>45100.0</v>
      </c>
      <c r="L37" s="11"/>
      <c r="M37" s="11" t="s">
        <v>483</v>
      </c>
      <c r="N37" s="11" t="s">
        <v>484</v>
      </c>
      <c r="O37" s="11" t="s">
        <v>485</v>
      </c>
      <c r="P37" s="11" t="s">
        <v>248</v>
      </c>
      <c r="Q37" s="11" t="s">
        <v>486</v>
      </c>
      <c r="R37" s="11" t="s">
        <v>487</v>
      </c>
      <c r="S37" s="11" t="s">
        <v>488</v>
      </c>
      <c r="T37" s="11" t="s">
        <v>489</v>
      </c>
      <c r="U37" s="11" t="s">
        <v>490</v>
      </c>
      <c r="V37" s="11" t="s">
        <v>74</v>
      </c>
      <c r="W37" s="11" t="s">
        <v>34</v>
      </c>
      <c r="X37" s="11"/>
      <c r="Y37" s="11" t="s">
        <v>491</v>
      </c>
      <c r="Z37" s="13" t="str">
        <f>TEXT("4028029231211807176","0")</f>
        <v>4028029231211807176</v>
      </c>
      <c r="AA37" s="12" t="str">
        <f>HYPERLINK("https://www.jotform.com/edit/4028029231211807176","Edit Submission")</f>
        <v>Edit Submission</v>
      </c>
    </row>
    <row r="38">
      <c r="A38" s="10">
        <v>43242.36534722222</v>
      </c>
      <c r="B38" s="11" t="s">
        <v>492</v>
      </c>
      <c r="C38" s="11" t="s">
        <v>493</v>
      </c>
      <c r="D38" s="11" t="s">
        <v>20</v>
      </c>
      <c r="E38" s="11" t="s">
        <v>494</v>
      </c>
      <c r="F38" s="12" t="str">
        <f>HYPERLINK("https://www.jotform.com/uploads/MelanieD/81331483384356/4028059643262572918/LIEVIN%20Francois%20tete.jpg","https://www.jotform.com/uploads/MelanieD/81331483384356/4028059643262572918/LIEVIN Francois tete.jpg")</f>
        <v>https://www.jotform.com/uploads/MelanieD/81331483384356/4028059643262572918/LIEVIN Francois tete.jpg</v>
      </c>
      <c r="G38" s="11" t="s">
        <v>495</v>
      </c>
      <c r="H38" s="11"/>
      <c r="I38" s="11" t="s">
        <v>271</v>
      </c>
      <c r="J38" s="13"/>
      <c r="K38" s="11">
        <v>45560.0</v>
      </c>
      <c r="L38" s="11"/>
      <c r="M38" s="11" t="s">
        <v>496</v>
      </c>
      <c r="N38" s="11" t="s">
        <v>497</v>
      </c>
      <c r="O38" s="11" t="s">
        <v>498</v>
      </c>
      <c r="P38" s="11" t="s">
        <v>27</v>
      </c>
      <c r="Q38" s="11" t="s">
        <v>499</v>
      </c>
      <c r="R38" s="11" t="s">
        <v>500</v>
      </c>
      <c r="S38" s="11" t="s">
        <v>501</v>
      </c>
      <c r="T38" s="11" t="s">
        <v>502</v>
      </c>
      <c r="U38" s="11" t="s">
        <v>503</v>
      </c>
      <c r="V38" s="11" t="s">
        <v>49</v>
      </c>
      <c r="W38" s="11"/>
      <c r="X38" s="11"/>
      <c r="Y38" s="11" t="s">
        <v>504</v>
      </c>
      <c r="Z38" s="13" t="str">
        <f>TEXT("4028059643262572918","0")</f>
        <v>4028059643262572918</v>
      </c>
      <c r="AA38" s="12" t="str">
        <f>HYPERLINK("https://www.jotform.com/edit/4028059643262572918","Edit Submission")</f>
        <v>Edit Submission</v>
      </c>
    </row>
    <row r="39">
      <c r="A39" s="10">
        <v>43242.40892361111</v>
      </c>
      <c r="B39" s="11" t="s">
        <v>505</v>
      </c>
      <c r="C39" s="11" t="s">
        <v>506</v>
      </c>
      <c r="D39" s="11" t="s">
        <v>2</v>
      </c>
      <c r="E39" s="11" t="s">
        <v>507</v>
      </c>
      <c r="F39" s="12" t="str">
        <f>HYPERLINK("https://www.jotform.com/uploads/MelanieD/81331483384356/4028097300934025652/Viale%20Marie%20Noelle.jpg","https://www.jotform.com/uploads/MelanieD/81331483384356/4028097300934025652/Viale Marie Noelle.jpg")</f>
        <v>https://www.jotform.com/uploads/MelanieD/81331483384356/4028097300934025652/Viale Marie Noelle.jpg</v>
      </c>
      <c r="G39" s="11" t="s">
        <v>508</v>
      </c>
      <c r="H39" s="11"/>
      <c r="I39" s="11" t="s">
        <v>440</v>
      </c>
      <c r="J39" s="13"/>
      <c r="K39" s="11">
        <v>45160.0</v>
      </c>
      <c r="L39" s="11"/>
      <c r="M39" s="11" t="s">
        <v>509</v>
      </c>
      <c r="N39" s="11" t="s">
        <v>510</v>
      </c>
      <c r="O39" s="11"/>
      <c r="P39" s="11" t="s">
        <v>8</v>
      </c>
      <c r="Q39" s="11" t="s">
        <v>511</v>
      </c>
      <c r="R39" s="11" t="s">
        <v>512</v>
      </c>
      <c r="S39" s="11" t="s">
        <v>513</v>
      </c>
      <c r="T39" s="11" t="s">
        <v>514</v>
      </c>
      <c r="U39" s="11" t="s">
        <v>147</v>
      </c>
      <c r="V39" s="11"/>
      <c r="W39" s="11"/>
      <c r="X39" s="11"/>
      <c r="Y39" s="11" t="s">
        <v>515</v>
      </c>
      <c r="Z39" s="13" t="str">
        <f>TEXT("4028097300934025652","0")</f>
        <v>4028097300934025652</v>
      </c>
      <c r="AA39" s="12" t="str">
        <f>HYPERLINK("https://www.jotform.com/edit/4028097300934025652","Edit Submission")</f>
        <v>Edit Submission</v>
      </c>
    </row>
    <row r="40">
      <c r="A40" s="10">
        <v>43242.48762731482</v>
      </c>
      <c r="B40" s="11" t="s">
        <v>516</v>
      </c>
      <c r="C40" s="11" t="s">
        <v>517</v>
      </c>
      <c r="D40" s="11" t="s">
        <v>2</v>
      </c>
      <c r="E40" s="11" t="s">
        <v>518</v>
      </c>
      <c r="F40" s="12" t="str">
        <f>HYPERLINK("https://www.jotform.com/uploads/MelanieD/81331483384356/4028165305466915956/Josiane%20Lagarrigue%20LFO.jpg","https://www.jotform.com/uploads/MelanieD/81331483384356/4028165305466915956/Josiane Lagarrigue LFO.jpg")</f>
        <v>https://www.jotform.com/uploads/MelanieD/81331483384356/4028165305466915956/Josiane Lagarrigue LFO.jpg</v>
      </c>
      <c r="G40" s="11" t="s">
        <v>519</v>
      </c>
      <c r="H40" s="11"/>
      <c r="I40" s="11" t="s">
        <v>520</v>
      </c>
      <c r="J40" s="13"/>
      <c r="K40" s="11">
        <v>45000.0</v>
      </c>
      <c r="L40" s="11"/>
      <c r="M40" s="11" t="s">
        <v>521</v>
      </c>
      <c r="N40" s="11" t="s">
        <v>522</v>
      </c>
      <c r="O40" s="11"/>
      <c r="P40" s="11" t="s">
        <v>43</v>
      </c>
      <c r="Q40" s="11" t="s">
        <v>523</v>
      </c>
      <c r="R40" s="11" t="s">
        <v>524</v>
      </c>
      <c r="S40" s="11" t="s">
        <v>525</v>
      </c>
      <c r="T40" s="11" t="s">
        <v>526</v>
      </c>
      <c r="U40" s="11" t="s">
        <v>527</v>
      </c>
      <c r="V40" s="11" t="s">
        <v>201</v>
      </c>
      <c r="W40" s="11"/>
      <c r="X40" s="11"/>
      <c r="Y40" s="11" t="s">
        <v>528</v>
      </c>
      <c r="Z40" s="13" t="str">
        <f>TEXT("4028165305466915956","0")</f>
        <v>4028165305466915956</v>
      </c>
      <c r="AA40" s="12" t="str">
        <f>HYPERLINK("https://www.jotform.com/edit/4028165305466915956","Edit Submission")</f>
        <v>Edit Submission</v>
      </c>
    </row>
    <row r="41">
      <c r="A41" s="10">
        <v>43242.588472222225</v>
      </c>
      <c r="B41" s="11" t="s">
        <v>529</v>
      </c>
      <c r="C41" s="11" t="s">
        <v>530</v>
      </c>
      <c r="D41" s="11" t="s">
        <v>20</v>
      </c>
      <c r="E41" s="11" t="s">
        <v>531</v>
      </c>
      <c r="F41" s="12" t="str">
        <f>HYPERLINK("https://www.jotform.com/uploads/MelanieD/81331483384356/4028252439253452127/IMG_20180522_2032481.jpg","https://www.jotform.com/uploads/MelanieD/81331483384356/4028252439253452127/IMG_20180522_2032481.jpg")</f>
        <v>https://www.jotform.com/uploads/MelanieD/81331483384356/4028252439253452127/IMG_20180522_2032481.jpg</v>
      </c>
      <c r="G41" s="11" t="s">
        <v>532</v>
      </c>
      <c r="H41" s="11"/>
      <c r="I41" s="11" t="s">
        <v>533</v>
      </c>
      <c r="J41" s="13"/>
      <c r="K41" s="11">
        <v>45140.0</v>
      </c>
      <c r="L41" s="11"/>
      <c r="M41" s="11" t="s">
        <v>534</v>
      </c>
      <c r="N41" s="11" t="s">
        <v>535</v>
      </c>
      <c r="O41" s="11" t="s">
        <v>536</v>
      </c>
      <c r="P41" s="11" t="s">
        <v>248</v>
      </c>
      <c r="Q41" s="11" t="s">
        <v>537</v>
      </c>
      <c r="R41" s="11" t="s">
        <v>538</v>
      </c>
      <c r="S41" s="11" t="s">
        <v>539</v>
      </c>
      <c r="T41" s="11" t="s">
        <v>540</v>
      </c>
      <c r="U41" s="11" t="s">
        <v>147</v>
      </c>
      <c r="V41" s="11" t="s">
        <v>33</v>
      </c>
      <c r="W41" s="11" t="s">
        <v>15</v>
      </c>
      <c r="X41" s="11"/>
      <c r="Y41" s="11" t="s">
        <v>541</v>
      </c>
      <c r="Z41" s="13" t="str">
        <f>TEXT("4028252439253452127","0")</f>
        <v>4028252439253452127</v>
      </c>
      <c r="AA41" s="12" t="str">
        <f>HYPERLINK("https://www.jotform.com/edit/4028252439253452127","Edit Submission")</f>
        <v>Edit Submission</v>
      </c>
    </row>
    <row r="42">
      <c r="A42" s="10">
        <v>43242.723541666666</v>
      </c>
      <c r="B42" s="11" t="s">
        <v>542</v>
      </c>
      <c r="C42" s="11" t="s">
        <v>543</v>
      </c>
      <c r="D42" s="11" t="s">
        <v>2</v>
      </c>
      <c r="E42" s="11" t="s">
        <v>544</v>
      </c>
      <c r="F42" s="12" t="str">
        <f>HYPERLINK("https://www.jotform.com/uploads/MelanieD/81331483384356/4028369140025302449/IMG_20180520_222445_507.jpg","https://www.jotform.com/uploads/MelanieD/81331483384356/4028369140025302449/IMG_20180520_222445_507.jpg")</f>
        <v>https://www.jotform.com/uploads/MelanieD/81331483384356/4028369140025302449/IMG_20180520_222445_507.jpg</v>
      </c>
      <c r="G42" s="11" t="s">
        <v>545</v>
      </c>
      <c r="H42" s="11"/>
      <c r="I42" s="11" t="s">
        <v>66</v>
      </c>
      <c r="J42" s="13"/>
      <c r="K42" s="11">
        <v>45000.0</v>
      </c>
      <c r="L42" s="11"/>
      <c r="M42" s="11" t="s">
        <v>546</v>
      </c>
      <c r="N42" s="11" t="s">
        <v>547</v>
      </c>
      <c r="O42" s="11" t="s">
        <v>548</v>
      </c>
      <c r="P42" s="11" t="s">
        <v>8</v>
      </c>
      <c r="Q42" s="11" t="s">
        <v>549</v>
      </c>
      <c r="R42" s="11" t="s">
        <v>550</v>
      </c>
      <c r="S42" s="11" t="s">
        <v>551</v>
      </c>
      <c r="T42" s="11" t="s">
        <v>552</v>
      </c>
      <c r="U42" s="11" t="s">
        <v>338</v>
      </c>
      <c r="V42" s="11" t="s">
        <v>61</v>
      </c>
      <c r="W42" s="11"/>
      <c r="X42" s="11"/>
      <c r="Y42" s="11" t="s">
        <v>553</v>
      </c>
      <c r="Z42" s="13" t="str">
        <f>TEXT("4028369140025302449","0")</f>
        <v>4028369140025302449</v>
      </c>
      <c r="AA42" s="12" t="str">
        <f>HYPERLINK("https://www.jotform.com/edit/4028369140025302449","Edit Submission")</f>
        <v>Edit Submission</v>
      </c>
    </row>
    <row r="43">
      <c r="A43" s="10">
        <v>43243.270636574074</v>
      </c>
      <c r="B43" s="11" t="s">
        <v>554</v>
      </c>
      <c r="C43" s="11" t="s">
        <v>555</v>
      </c>
      <c r="D43" s="11" t="s">
        <v>2</v>
      </c>
      <c r="E43" s="11" t="s">
        <v>556</v>
      </c>
      <c r="F43" s="12" t="str">
        <f>HYPERLINK("https://www.jotform.com/uploads/MelanieD/81331483384356/4028841815347269756/IMG_8094.JPG","https://www.jotform.com/uploads/MelanieD/81331483384356/4028841815347269756/IMG_8094.JPG")</f>
        <v>https://www.jotform.com/uploads/MelanieD/81331483384356/4028841815347269756/IMG_8094.JPG</v>
      </c>
      <c r="G43" s="11" t="s">
        <v>557</v>
      </c>
      <c r="H43" s="11"/>
      <c r="I43" s="11" t="s">
        <v>558</v>
      </c>
      <c r="J43" s="13"/>
      <c r="K43" s="11">
        <v>45130.0</v>
      </c>
      <c r="L43" s="11"/>
      <c r="M43" s="11" t="s">
        <v>559</v>
      </c>
      <c r="N43" s="11" t="s">
        <v>560</v>
      </c>
      <c r="O43" s="11" t="s">
        <v>561</v>
      </c>
      <c r="P43" s="11" t="s">
        <v>8</v>
      </c>
      <c r="Q43" s="11" t="s">
        <v>562</v>
      </c>
      <c r="R43" s="11" t="s">
        <v>563</v>
      </c>
      <c r="S43" s="11" t="s">
        <v>564</v>
      </c>
      <c r="T43" s="11" t="s">
        <v>565</v>
      </c>
      <c r="U43" s="11" t="s">
        <v>566</v>
      </c>
      <c r="V43" s="11" t="s">
        <v>201</v>
      </c>
      <c r="W43" s="11"/>
      <c r="X43" s="11"/>
      <c r="Y43" s="11" t="s">
        <v>567</v>
      </c>
      <c r="Z43" s="13" t="str">
        <f>TEXT("4028841815347269756","0")</f>
        <v>4028841815347269756</v>
      </c>
      <c r="AA43" s="12" t="str">
        <f>HYPERLINK("https://www.jotform.com/edit/4028841815347269756","Edit Submission")</f>
        <v>Edit Submission</v>
      </c>
    </row>
    <row r="44">
      <c r="A44" s="10">
        <v>43243.324907407405</v>
      </c>
      <c r="B44" s="11" t="s">
        <v>568</v>
      </c>
      <c r="C44" s="11" t="s">
        <v>569</v>
      </c>
      <c r="D44" s="11" t="s">
        <v>20</v>
      </c>
      <c r="E44" s="11" t="s">
        <v>570</v>
      </c>
      <c r="F44" s="12" t="str">
        <f>HYPERLINK("https://www.jotform.com/uploads/MelanieD/81331483384356/4028888729347908397/Photo%20id%20Ph001.jpg","https://www.jotform.com/uploads/MelanieD/81331483384356/4028888729347908397/Photo id Ph001.jpg")</f>
        <v>https://www.jotform.com/uploads/MelanieD/81331483384356/4028888729347908397/Photo id Ph001.jpg</v>
      </c>
      <c r="G44" s="11" t="s">
        <v>571</v>
      </c>
      <c r="H44" s="11"/>
      <c r="I44" s="11" t="s">
        <v>440</v>
      </c>
      <c r="J44" s="13"/>
      <c r="K44" s="11">
        <v>45160.0</v>
      </c>
      <c r="L44" s="11"/>
      <c r="M44" s="11" t="s">
        <v>572</v>
      </c>
      <c r="N44" s="11" t="s">
        <v>573</v>
      </c>
      <c r="O44" s="11"/>
      <c r="P44" s="11" t="s">
        <v>27</v>
      </c>
      <c r="Q44" s="11" t="str">
        <f>TEXT("-Participation à My Fair lady
-25 ans de chorales,Ludion puis CANTATE,Cléry...","0")</f>
        <v>-Participation à My Fair lady
-25 ans de chorales,Ludion puis CANTATE,Cléry...</v>
      </c>
      <c r="R44" s="11" t="s">
        <v>574</v>
      </c>
      <c r="S44" s="11" t="s">
        <v>575</v>
      </c>
      <c r="T44" s="11" t="s">
        <v>576</v>
      </c>
      <c r="U44" s="11" t="s">
        <v>577</v>
      </c>
      <c r="V44" s="11" t="s">
        <v>74</v>
      </c>
      <c r="W44" s="11"/>
      <c r="X44" s="11"/>
      <c r="Y44" s="11" t="s">
        <v>578</v>
      </c>
      <c r="Z44" s="13" t="str">
        <f>TEXT("4028888729347908397","0")</f>
        <v>4028888729347908397</v>
      </c>
      <c r="AA44" s="12" t="str">
        <f>HYPERLINK("https://www.jotform.com/edit/4028888729347908397","Edit Submission")</f>
        <v>Edit Submission</v>
      </c>
    </row>
    <row r="45">
      <c r="A45" s="10">
        <v>43243.35386574074</v>
      </c>
      <c r="B45" s="11" t="s">
        <v>568</v>
      </c>
      <c r="C45" s="11" t="s">
        <v>579</v>
      </c>
      <c r="D45" s="11" t="s">
        <v>2</v>
      </c>
      <c r="E45" s="11" t="s">
        <v>580</v>
      </c>
      <c r="F45" s="12" t="str">
        <f>HYPERLINK("https://www.jotform.com/uploads/MelanieD/81331483384356/4028913739348263239/photo%20identit%C3%A9%20M%20Cl.pdf","https://www.jotform.com/uploads/MelanieD/81331483384356/4028913739348263239/photo identité M Cl.pdf")</f>
        <v>https://www.jotform.com/uploads/MelanieD/81331483384356/4028913739348263239/photo identité M Cl.pdf</v>
      </c>
      <c r="G45" s="11" t="s">
        <v>571</v>
      </c>
      <c r="H45" s="11" t="s">
        <v>571</v>
      </c>
      <c r="I45" s="11" t="s">
        <v>440</v>
      </c>
      <c r="J45" s="13"/>
      <c r="K45" s="11">
        <v>45160.0</v>
      </c>
      <c r="L45" s="11"/>
      <c r="M45" s="11" t="s">
        <v>572</v>
      </c>
      <c r="N45" s="11" t="s">
        <v>573</v>
      </c>
      <c r="O45" s="11" t="s">
        <v>581</v>
      </c>
      <c r="P45" s="11" t="s">
        <v>43</v>
      </c>
      <c r="Q45" s="11" t="s">
        <v>582</v>
      </c>
      <c r="R45" s="11" t="s">
        <v>583</v>
      </c>
      <c r="S45" s="11" t="s">
        <v>584</v>
      </c>
      <c r="T45" s="11" t="s">
        <v>585</v>
      </c>
      <c r="U45" s="11" t="s">
        <v>147</v>
      </c>
      <c r="V45" s="11" t="s">
        <v>61</v>
      </c>
      <c r="W45" s="11"/>
      <c r="X45" s="11"/>
      <c r="Y45" s="11" t="s">
        <v>578</v>
      </c>
      <c r="Z45" s="13" t="str">
        <f>TEXT("4028913739348263239","0")</f>
        <v>4028913739348263239</v>
      </c>
      <c r="AA45" s="12" t="str">
        <f>HYPERLINK("https://www.jotform.com/edit/4028913739348263239","Edit Submission")</f>
        <v>Edit Submission</v>
      </c>
    </row>
    <row r="46">
      <c r="A46" s="10">
        <v>43243.543333333335</v>
      </c>
      <c r="B46" s="11" t="s">
        <v>586</v>
      </c>
      <c r="C46" s="11" t="s">
        <v>243</v>
      </c>
      <c r="D46" s="11" t="s">
        <v>20</v>
      </c>
      <c r="E46" s="11" t="s">
        <v>587</v>
      </c>
      <c r="F46" s="12" t="str">
        <f>HYPERLINK("https://www.jotform.com/uploads/MelanieD/81331483384356/4029077422755495533/Laurent%20Merchie.jpeg","https://www.jotform.com/uploads/MelanieD/81331483384356/4029077422755495533/Laurent Merchie.jpeg")</f>
        <v>https://www.jotform.com/uploads/MelanieD/81331483384356/4029077422755495533/Laurent Merchie.jpeg</v>
      </c>
      <c r="G46" s="11" t="s">
        <v>588</v>
      </c>
      <c r="H46" s="11"/>
      <c r="I46" s="11" t="s">
        <v>589</v>
      </c>
      <c r="J46" s="13"/>
      <c r="K46" s="11">
        <v>45800.0</v>
      </c>
      <c r="L46" s="11"/>
      <c r="M46" s="11" t="s">
        <v>590</v>
      </c>
      <c r="N46" s="11" t="s">
        <v>591</v>
      </c>
      <c r="O46" s="11" t="s">
        <v>592</v>
      </c>
      <c r="P46" s="11" t="s">
        <v>248</v>
      </c>
      <c r="Q46" s="11" t="s">
        <v>593</v>
      </c>
      <c r="R46" s="11" t="s">
        <v>594</v>
      </c>
      <c r="S46" s="11" t="s">
        <v>595</v>
      </c>
      <c r="T46" s="11" t="s">
        <v>596</v>
      </c>
      <c r="U46" s="11" t="s">
        <v>597</v>
      </c>
      <c r="V46" s="11" t="s">
        <v>201</v>
      </c>
      <c r="W46" s="11"/>
      <c r="X46" s="11"/>
      <c r="Y46" s="11" t="s">
        <v>598</v>
      </c>
      <c r="Z46" s="13" t="str">
        <f>TEXT("4029077422755495533","0")</f>
        <v>4029077422755495533</v>
      </c>
      <c r="AA46" s="12" t="str">
        <f>HYPERLINK("https://www.jotform.com/edit/4029077422755495533","Edit Submission")</f>
        <v>Edit Submission</v>
      </c>
    </row>
    <row r="47">
      <c r="A47" s="10">
        <v>43243.559270833335</v>
      </c>
      <c r="B47" s="11" t="s">
        <v>599</v>
      </c>
      <c r="C47" s="11" t="s">
        <v>600</v>
      </c>
      <c r="D47" s="11" t="s">
        <v>2</v>
      </c>
      <c r="E47" s="11" t="s">
        <v>601</v>
      </c>
      <c r="F47" s="12" t="str">
        <f>HYPERLINK("https://www.jotform.com/uploads/MelanieD/81331483384356/4029091203138614368/chapeau.jpg","https://www.jotform.com/uploads/MelanieD/81331483384356/4029091203138614368/chapeau.jpg")</f>
        <v>https://www.jotform.com/uploads/MelanieD/81331483384356/4029091203138614368/chapeau.jpg</v>
      </c>
      <c r="G47" s="11" t="s">
        <v>602</v>
      </c>
      <c r="H47" s="11"/>
      <c r="I47" s="11" t="s">
        <v>603</v>
      </c>
      <c r="J47" s="13"/>
      <c r="K47" s="11">
        <v>45130.0</v>
      </c>
      <c r="L47" s="11"/>
      <c r="M47" s="11" t="s">
        <v>604</v>
      </c>
      <c r="N47" s="11" t="s">
        <v>605</v>
      </c>
      <c r="O47" s="11"/>
      <c r="P47" s="11" t="s">
        <v>8</v>
      </c>
      <c r="Q47" s="11" t="s">
        <v>606</v>
      </c>
      <c r="R47" s="11" t="s">
        <v>607</v>
      </c>
      <c r="S47" s="11" t="s">
        <v>608</v>
      </c>
      <c r="T47" s="11" t="s">
        <v>609</v>
      </c>
      <c r="U47" s="11" t="s">
        <v>610</v>
      </c>
      <c r="V47" s="11" t="s">
        <v>61</v>
      </c>
      <c r="W47" s="11"/>
      <c r="X47" s="11"/>
      <c r="Y47" s="11" t="s">
        <v>611</v>
      </c>
      <c r="Z47" s="13" t="str">
        <f>TEXT("4029091203138614368","0")</f>
        <v>4029091203138614368</v>
      </c>
      <c r="AA47" s="12" t="str">
        <f>HYPERLINK("https://www.jotform.com/edit/4029091203138614368","Edit Submission")</f>
        <v>Edit Submission</v>
      </c>
    </row>
    <row r="48">
      <c r="A48" s="10">
        <v>43243.59017361111</v>
      </c>
      <c r="B48" s="11" t="s">
        <v>612</v>
      </c>
      <c r="C48" s="11" t="s">
        <v>613</v>
      </c>
      <c r="D48" s="11" t="s">
        <v>2</v>
      </c>
      <c r="E48" s="11" t="s">
        <v>614</v>
      </c>
      <c r="F48" s="12" t="str">
        <f>HYPERLINK("https://www.jotform.com/uploads/MelanieD/81331483384356/4029117905424140214/20180523_204012.jpg","https://www.jotform.com/uploads/MelanieD/81331483384356/4029117905424140214/20180523_204012.jpg")</f>
        <v>https://www.jotform.com/uploads/MelanieD/81331483384356/4029117905424140214/20180523_204012.jpg</v>
      </c>
      <c r="G48" s="11" t="s">
        <v>615</v>
      </c>
      <c r="H48" s="11"/>
      <c r="I48" s="11" t="s">
        <v>520</v>
      </c>
      <c r="J48" s="13"/>
      <c r="K48" s="11">
        <v>45100.0</v>
      </c>
      <c r="L48" s="11" t="s">
        <v>97</v>
      </c>
      <c r="M48" s="11" t="s">
        <v>616</v>
      </c>
      <c r="N48" s="11" t="s">
        <v>617</v>
      </c>
      <c r="O48" s="11" t="s">
        <v>618</v>
      </c>
      <c r="P48" s="11" t="s">
        <v>8</v>
      </c>
      <c r="Q48" s="11" t="s">
        <v>619</v>
      </c>
      <c r="R48" s="11" t="s">
        <v>620</v>
      </c>
      <c r="S48" s="11" t="s">
        <v>621</v>
      </c>
      <c r="T48" s="11" t="s">
        <v>622</v>
      </c>
      <c r="U48" s="11" t="s">
        <v>623</v>
      </c>
      <c r="V48" s="11" t="s">
        <v>226</v>
      </c>
      <c r="W48" s="11" t="s">
        <v>624</v>
      </c>
      <c r="X48" s="11" t="s">
        <v>625</v>
      </c>
      <c r="Y48" s="11" t="s">
        <v>626</v>
      </c>
      <c r="Z48" s="13" t="str">
        <f>TEXT("4029117905424140214","0")</f>
        <v>4029117905424140214</v>
      </c>
      <c r="AA48" s="12" t="str">
        <f>HYPERLINK("https://www.jotform.com/edit/4029117905424140214","Edit Submission")</f>
        <v>Edit Submission</v>
      </c>
    </row>
    <row r="49">
      <c r="A49" s="10">
        <v>43244.18394675926</v>
      </c>
      <c r="B49" s="11" t="s">
        <v>627</v>
      </c>
      <c r="C49" s="11" t="s">
        <v>628</v>
      </c>
      <c r="D49" s="11" t="s">
        <v>2</v>
      </c>
      <c r="E49" s="11" t="s">
        <v>629</v>
      </c>
      <c r="F49" s="12" t="str">
        <f>HYPERLINK("https://www.jotform.com/uploads/MelanieD/81331483384356/4029630922699790173/fullsizeoutput_421c.jpeg","https://www.jotform.com/uploads/MelanieD/81331483384356/4029630922699790173/fullsizeoutput_421c.jpeg")</f>
        <v>https://www.jotform.com/uploads/MelanieD/81331483384356/4029630922699790173/fullsizeoutput_421c.jpeg</v>
      </c>
      <c r="G49" s="11" t="s">
        <v>630</v>
      </c>
      <c r="H49" s="11"/>
      <c r="I49" s="11" t="s">
        <v>631</v>
      </c>
      <c r="J49" s="13"/>
      <c r="K49" s="11">
        <v>45140.0</v>
      </c>
      <c r="L49" s="11"/>
      <c r="M49" s="11" t="s">
        <v>632</v>
      </c>
      <c r="N49" s="11" t="s">
        <v>633</v>
      </c>
      <c r="O49" s="11"/>
      <c r="P49" s="11" t="s">
        <v>8</v>
      </c>
      <c r="Q49" s="11" t="s">
        <v>634</v>
      </c>
      <c r="R49" s="11" t="s">
        <v>635</v>
      </c>
      <c r="S49" s="11" t="s">
        <v>636</v>
      </c>
      <c r="T49" s="11" t="s">
        <v>637</v>
      </c>
      <c r="U49" s="11" t="s">
        <v>638</v>
      </c>
      <c r="V49" s="11" t="s">
        <v>49</v>
      </c>
      <c r="W49" s="11" t="s">
        <v>639</v>
      </c>
      <c r="X49" s="11"/>
      <c r="Y49" s="11" t="s">
        <v>640</v>
      </c>
      <c r="Z49" s="13" t="str">
        <f>TEXT("4029630922699790173","0")</f>
        <v>4029630922699790173</v>
      </c>
      <c r="AA49" s="12" t="str">
        <f>HYPERLINK("https://www.jotform.com/edit/4029630922699790173","Edit Submission")</f>
        <v>Edit Submission</v>
      </c>
    </row>
    <row r="50">
      <c r="A50" s="10">
        <v>43244.33384259259</v>
      </c>
      <c r="B50" s="11" t="s">
        <v>641</v>
      </c>
      <c r="C50" s="11" t="s">
        <v>642</v>
      </c>
      <c r="D50" s="11" t="s">
        <v>2</v>
      </c>
      <c r="E50" s="11" t="s">
        <v>643</v>
      </c>
      <c r="F50" s="12" t="str">
        <f>HYPERLINK("https://www.jotform.com/uploads/MelanieD/81331483384356/4029760442328242668/Th%C3%A9r%C3%A8se%20N.jpg","https://www.jotform.com/uploads/MelanieD/81331483384356/4029760442328242668/Thérèse N.jpg")</f>
        <v>https://www.jotform.com/uploads/MelanieD/81331483384356/4029760442328242668/Thérèse N.jpg</v>
      </c>
      <c r="G50" s="11" t="s">
        <v>644</v>
      </c>
      <c r="H50" s="11" t="s">
        <v>644</v>
      </c>
      <c r="I50" s="11" t="s">
        <v>66</v>
      </c>
      <c r="J50" s="13"/>
      <c r="K50" s="11">
        <v>45000.0</v>
      </c>
      <c r="L50" s="11"/>
      <c r="M50" s="11" t="s">
        <v>645</v>
      </c>
      <c r="N50" s="11" t="s">
        <v>646</v>
      </c>
      <c r="O50" s="11"/>
      <c r="P50" s="11" t="s">
        <v>43</v>
      </c>
      <c r="Q50" s="11" t="s">
        <v>647</v>
      </c>
      <c r="R50" s="11" t="s">
        <v>648</v>
      </c>
      <c r="S50" s="11" t="s">
        <v>649</v>
      </c>
      <c r="T50" s="11" t="s">
        <v>650</v>
      </c>
      <c r="U50" s="11" t="s">
        <v>651</v>
      </c>
      <c r="V50" s="11" t="s">
        <v>49</v>
      </c>
      <c r="W50" s="11"/>
      <c r="X50" s="11"/>
      <c r="Y50" s="11" t="s">
        <v>652</v>
      </c>
      <c r="Z50" s="13" t="str">
        <f>TEXT("4029760442328242668","0")</f>
        <v>4029760442328242668</v>
      </c>
      <c r="AA50" s="12" t="str">
        <f>HYPERLINK("https://www.jotform.com/edit/4029760442328242668","Edit Submission")</f>
        <v>Edit Submission</v>
      </c>
    </row>
    <row r="51">
      <c r="A51" s="10">
        <v>43244.46471064815</v>
      </c>
      <c r="B51" s="11" t="s">
        <v>653</v>
      </c>
      <c r="C51" s="11" t="s">
        <v>654</v>
      </c>
      <c r="D51" s="11" t="s">
        <v>2</v>
      </c>
      <c r="E51" s="11" t="s">
        <v>655</v>
      </c>
      <c r="F51" s="12" t="str">
        <f>HYPERLINK("https://www.jotform.com/uploads/MelanieD/81331483384356/4029873501306128763/Margot.jpg","https://www.jotform.com/uploads/MelanieD/81331483384356/4029873501306128763/Margot.jpg")</f>
        <v>https://www.jotform.com/uploads/MelanieD/81331483384356/4029873501306128763/Margot.jpg</v>
      </c>
      <c r="G51" s="11" t="s">
        <v>656</v>
      </c>
      <c r="H51" s="11"/>
      <c r="I51" s="11" t="s">
        <v>657</v>
      </c>
      <c r="J51" s="13"/>
      <c r="K51" s="11">
        <v>45800.0</v>
      </c>
      <c r="L51" s="11"/>
      <c r="M51" s="11" t="s">
        <v>658</v>
      </c>
      <c r="N51" s="11" t="s">
        <v>659</v>
      </c>
      <c r="O51" s="11"/>
      <c r="P51" s="11" t="s">
        <v>8</v>
      </c>
      <c r="Q51" s="11" t="s">
        <v>660</v>
      </c>
      <c r="R51" s="11" t="s">
        <v>661</v>
      </c>
      <c r="S51" s="11" t="s">
        <v>662</v>
      </c>
      <c r="T51" s="11" t="s">
        <v>663</v>
      </c>
      <c r="U51" s="11" t="s">
        <v>664</v>
      </c>
      <c r="V51" s="11" t="s">
        <v>61</v>
      </c>
      <c r="W51" s="11"/>
      <c r="X51" s="11" t="s">
        <v>227</v>
      </c>
      <c r="Y51" s="11" t="s">
        <v>665</v>
      </c>
      <c r="Z51" s="13" t="str">
        <f>TEXT("4029873501306128763","0")</f>
        <v>4029873501306128763</v>
      </c>
      <c r="AA51" s="12" t="str">
        <f>HYPERLINK("https://www.jotform.com/edit/4029873501306128763","Edit Submission")</f>
        <v>Edit Submission</v>
      </c>
    </row>
    <row r="52">
      <c r="A52" s="10">
        <v>43244.467511574076</v>
      </c>
      <c r="B52" s="11" t="s">
        <v>666</v>
      </c>
      <c r="C52" s="11" t="s">
        <v>243</v>
      </c>
      <c r="D52" s="11" t="s">
        <v>20</v>
      </c>
      <c r="E52" s="11" t="s">
        <v>667</v>
      </c>
      <c r="F52" s="12" t="str">
        <f>HYPERLINK("https://www.jotform.com/uploads/MelanieD/81331483384356/4029875913018994377/20180202_171500.jpg","https://www.jotform.com/uploads/MelanieD/81331483384356/4029875913018994377/20180202_171500.jpg")</f>
        <v>https://www.jotform.com/uploads/MelanieD/81331483384356/4029875913018994377/20180202_171500.jpg</v>
      </c>
      <c r="G52" s="11" t="s">
        <v>668</v>
      </c>
      <c r="H52" s="11"/>
      <c r="I52" s="11" t="s">
        <v>470</v>
      </c>
      <c r="J52" s="13"/>
      <c r="K52" s="11">
        <v>45160.0</v>
      </c>
      <c r="L52" s="11"/>
      <c r="M52" s="11" t="s">
        <v>669</v>
      </c>
      <c r="N52" s="11" t="s">
        <v>670</v>
      </c>
      <c r="O52" s="11" t="s">
        <v>671</v>
      </c>
      <c r="P52" s="11" t="s">
        <v>27</v>
      </c>
      <c r="Q52" s="11" t="s">
        <v>672</v>
      </c>
      <c r="R52" s="11" t="s">
        <v>673</v>
      </c>
      <c r="S52" s="11" t="s">
        <v>674</v>
      </c>
      <c r="T52" s="11" t="s">
        <v>675</v>
      </c>
      <c r="U52" s="11" t="s">
        <v>676</v>
      </c>
      <c r="V52" s="11" t="s">
        <v>33</v>
      </c>
      <c r="W52" s="11" t="s">
        <v>677</v>
      </c>
      <c r="X52" s="11"/>
      <c r="Y52" s="11" t="s">
        <v>678</v>
      </c>
      <c r="Z52" s="13" t="str">
        <f>TEXT("4029875913018994377","0")</f>
        <v>4029875913018994377</v>
      </c>
      <c r="AA52" s="12" t="str">
        <f>HYPERLINK("https://www.jotform.com/edit/4029875913018994377","Edit Submission")</f>
        <v>Edit Submission</v>
      </c>
    </row>
    <row r="53">
      <c r="A53" s="10">
        <v>43244.47019675926</v>
      </c>
      <c r="B53" s="11" t="s">
        <v>679</v>
      </c>
      <c r="C53" s="11" t="s">
        <v>680</v>
      </c>
      <c r="D53" s="11" t="s">
        <v>20</v>
      </c>
      <c r="E53" s="11" t="s">
        <v>681</v>
      </c>
      <c r="F53" s="12" t="str">
        <f>HYPERLINK("https://www.jotform.com/uploads/MelanieD/81331483384356/4029878233477215883/DSCN1273.jpg","https://www.jotform.com/uploads/MelanieD/81331483384356/4029878233477215883/DSCN1273.jpg")</f>
        <v>https://www.jotform.com/uploads/MelanieD/81331483384356/4029878233477215883/DSCN1273.jpg</v>
      </c>
      <c r="G53" s="11">
        <v>14.0</v>
      </c>
      <c r="H53" s="11" t="s">
        <v>682</v>
      </c>
      <c r="I53" s="11" t="s">
        <v>271</v>
      </c>
      <c r="J53" s="13"/>
      <c r="K53" s="11">
        <v>45560.0</v>
      </c>
      <c r="L53" s="11"/>
      <c r="M53" s="11" t="s">
        <v>683</v>
      </c>
      <c r="N53" s="11" t="s">
        <v>684</v>
      </c>
      <c r="O53" s="11" t="s">
        <v>685</v>
      </c>
      <c r="P53" s="11" t="s">
        <v>27</v>
      </c>
      <c r="Q53" s="11" t="s">
        <v>686</v>
      </c>
      <c r="R53" s="11" t="s">
        <v>687</v>
      </c>
      <c r="S53" s="11" t="s">
        <v>688</v>
      </c>
      <c r="T53" s="11" t="s">
        <v>689</v>
      </c>
      <c r="U53" s="11" t="s">
        <v>434</v>
      </c>
      <c r="V53" s="11" t="s">
        <v>201</v>
      </c>
      <c r="W53" s="11"/>
      <c r="X53" s="11"/>
      <c r="Y53" s="11" t="s">
        <v>690</v>
      </c>
      <c r="Z53" s="13" t="str">
        <f>TEXT("4029878233477215883","0")</f>
        <v>4029878233477215883</v>
      </c>
      <c r="AA53" s="12" t="str">
        <f>HYPERLINK("https://www.jotform.com/edit/4029878233477215883","Edit Submission")</f>
        <v>Edit Submission</v>
      </c>
    </row>
    <row r="54">
      <c r="A54" s="10">
        <v>43245.21784722222</v>
      </c>
      <c r="B54" s="11" t="s">
        <v>691</v>
      </c>
      <c r="C54" s="11" t="s">
        <v>692</v>
      </c>
      <c r="D54" s="11" t="s">
        <v>2</v>
      </c>
      <c r="E54" s="11" t="s">
        <v>693</v>
      </c>
      <c r="F54" s="12" t="str">
        <f>HYPERLINK("https://www.jotform.com/uploads/MelanieD/81331483384356/4030524204674329851/C9E510EB-DC74-4AA9-9B8F-FF744904178C.jpeg","https://www.jotform.com/uploads/MelanieD/81331483384356/4030524204674329851/C9E510EB-DC74-4AA9-9B8F-FF744904178C.jpeg")</f>
        <v>https://www.jotform.com/uploads/MelanieD/81331483384356/4030524204674329851/C9E510EB-DC74-4AA9-9B8F-FF744904178C.jpeg</v>
      </c>
      <c r="G54" s="11" t="s">
        <v>694</v>
      </c>
      <c r="H54" s="11">
        <v>45000.0</v>
      </c>
      <c r="I54" s="11" t="s">
        <v>520</v>
      </c>
      <c r="J54" s="13"/>
      <c r="K54" s="11">
        <v>45000.0</v>
      </c>
      <c r="L54" s="11"/>
      <c r="M54" s="11" t="s">
        <v>695</v>
      </c>
      <c r="N54" s="11" t="s">
        <v>696</v>
      </c>
      <c r="O54" s="11"/>
      <c r="P54" s="11" t="s">
        <v>8</v>
      </c>
      <c r="Q54" s="11" t="s">
        <v>697</v>
      </c>
      <c r="R54" s="11" t="s">
        <v>698</v>
      </c>
      <c r="S54" s="11" t="s">
        <v>699</v>
      </c>
      <c r="T54" s="11" t="s">
        <v>700</v>
      </c>
      <c r="U54" s="11" t="s">
        <v>701</v>
      </c>
      <c r="V54" s="11" t="s">
        <v>226</v>
      </c>
      <c r="W54" s="11" t="s">
        <v>702</v>
      </c>
      <c r="X54" s="11" t="s">
        <v>213</v>
      </c>
      <c r="Y54" s="11" t="s">
        <v>703</v>
      </c>
      <c r="Z54" s="13" t="str">
        <f>TEXT("4030524204674329851","0")</f>
        <v>4030524204674329851</v>
      </c>
      <c r="AA54" s="12" t="str">
        <f>HYPERLINK("https://www.jotform.com/edit/4030524204674329851","Edit Submission")</f>
        <v>Edit Submission</v>
      </c>
    </row>
    <row r="55">
      <c r="A55" s="10">
        <v>43245.428298611114</v>
      </c>
      <c r="B55" s="11" t="s">
        <v>704</v>
      </c>
      <c r="C55" s="11" t="s">
        <v>705</v>
      </c>
      <c r="D55" s="11" t="s">
        <v>2</v>
      </c>
      <c r="E55" s="11" t="s">
        <v>706</v>
      </c>
      <c r="F55" s="12" t="str">
        <f>HYPERLINK("https://www.jotform.com/uploads/MelanieD/81331483384356/4030706035423260441/Portable%20Bella%2006%202017%20100.jpg","https://www.jotform.com/uploads/MelanieD/81331483384356/4030706035423260441/Portable Bella 06 2017 100.jpg")</f>
        <v>https://www.jotform.com/uploads/MelanieD/81331483384356/4030706035423260441/Portable Bella 06 2017 100.jpg</v>
      </c>
      <c r="G55" s="11" t="s">
        <v>707</v>
      </c>
      <c r="H55" s="11"/>
      <c r="I55" s="11" t="s">
        <v>708</v>
      </c>
      <c r="J55" s="13"/>
      <c r="K55" s="11">
        <v>45760.0</v>
      </c>
      <c r="L55" s="11"/>
      <c r="M55" s="11" t="s">
        <v>709</v>
      </c>
      <c r="N55" s="11" t="s">
        <v>710</v>
      </c>
      <c r="O55" s="11" t="s">
        <v>711</v>
      </c>
      <c r="P55" s="11" t="s">
        <v>8</v>
      </c>
      <c r="Q55" s="11" t="s">
        <v>712</v>
      </c>
      <c r="R55" s="11" t="s">
        <v>713</v>
      </c>
      <c r="S55" s="11" t="s">
        <v>714</v>
      </c>
      <c r="T55" s="11" t="s">
        <v>715</v>
      </c>
      <c r="U55" s="11" t="s">
        <v>716</v>
      </c>
      <c r="V55" s="11" t="s">
        <v>61</v>
      </c>
      <c r="W55" s="11"/>
      <c r="X55" s="11"/>
      <c r="Y55" s="11" t="s">
        <v>717</v>
      </c>
      <c r="Z55" s="13" t="str">
        <f>TEXT("4030706035423260441","0")</f>
        <v>4030706035423260441</v>
      </c>
      <c r="AA55" s="12" t="str">
        <f>HYPERLINK("https://www.jotform.com/edit/4030706035423260441","Edit Submission")</f>
        <v>Edit Submission</v>
      </c>
    </row>
    <row r="56">
      <c r="A56" s="10">
        <v>43246.388865740744</v>
      </c>
      <c r="B56" s="11" t="s">
        <v>718</v>
      </c>
      <c r="C56" s="11" t="s">
        <v>719</v>
      </c>
      <c r="D56" s="11" t="s">
        <v>2</v>
      </c>
      <c r="E56" s="11" t="s">
        <v>720</v>
      </c>
      <c r="F56" s="12" t="str">
        <f>HYPERLINK("https://www.jotform.com/uploads/MelanieD/81331483384356/4031535978025236407/2018%20HALLEGOUET%20Claire.JPG","https://www.jotform.com/uploads/MelanieD/81331483384356/4031535978025236407/2018 HALLEGOUET Claire.JPG")</f>
        <v>https://www.jotform.com/uploads/MelanieD/81331483384356/4031535978025236407/2018 HALLEGOUET Claire.JPG</v>
      </c>
      <c r="G56" s="11" t="s">
        <v>721</v>
      </c>
      <c r="H56" s="11" t="str">
        <f>TEXT("-","0")</f>
        <v>-</v>
      </c>
      <c r="I56" s="11" t="s">
        <v>722</v>
      </c>
      <c r="J56" s="13"/>
      <c r="K56" s="11">
        <v>75009.0</v>
      </c>
      <c r="L56" s="11"/>
      <c r="M56" s="11" t="s">
        <v>723</v>
      </c>
      <c r="N56" s="11" t="s">
        <v>724</v>
      </c>
      <c r="O56" s="11" t="s">
        <v>725</v>
      </c>
      <c r="P56" s="11" t="s">
        <v>43</v>
      </c>
      <c r="Q56" s="11" t="s">
        <v>726</v>
      </c>
      <c r="R56" s="11" t="s">
        <v>727</v>
      </c>
      <c r="S56" s="11" t="s">
        <v>728</v>
      </c>
      <c r="T56" s="11" t="s">
        <v>729</v>
      </c>
      <c r="U56" s="11" t="s">
        <v>730</v>
      </c>
      <c r="V56" s="11" t="s">
        <v>74</v>
      </c>
      <c r="W56" s="11" t="s">
        <v>449</v>
      </c>
      <c r="X56" s="11"/>
      <c r="Y56" s="11" t="s">
        <v>731</v>
      </c>
      <c r="Z56" s="13" t="str">
        <f>TEXT("4031535978025236407","0")</f>
        <v>4031535978025236407</v>
      </c>
      <c r="AA56" s="12" t="str">
        <f>HYPERLINK("https://www.jotform.com/edit/4031535978025236407","Edit Submission")</f>
        <v>Edit Submission</v>
      </c>
    </row>
    <row r="57">
      <c r="A57" s="10">
        <v>43246.460648148146</v>
      </c>
      <c r="B57" s="11" t="s">
        <v>732</v>
      </c>
      <c r="C57" s="11" t="s">
        <v>733</v>
      </c>
      <c r="D57" s="11" t="s">
        <v>2</v>
      </c>
      <c r="E57" s="11" t="s">
        <v>734</v>
      </c>
      <c r="F57" s="12" t="str">
        <f>HYPERLINK("https://www.jotform.com/uploads/MelanieD/81331483384356/4031597999325314416/IMG_20170725_162250_5CS.jpg","https://www.jotform.com/uploads/MelanieD/81331483384356/4031597999325314416/IMG_20170725_162250_5CS.jpg")</f>
        <v>https://www.jotform.com/uploads/MelanieD/81331483384356/4031597999325314416/IMG_20170725_162250_5CS.jpg</v>
      </c>
      <c r="G57" s="11" t="s">
        <v>735</v>
      </c>
      <c r="H57" s="11" t="s">
        <v>736</v>
      </c>
      <c r="I57" s="11" t="s">
        <v>320</v>
      </c>
      <c r="J57" s="13"/>
      <c r="K57" s="11">
        <v>45000.0</v>
      </c>
      <c r="L57" s="11"/>
      <c r="M57" s="11" t="s">
        <v>737</v>
      </c>
      <c r="N57" s="11" t="s">
        <v>738</v>
      </c>
      <c r="O57" s="11"/>
      <c r="P57" s="11" t="s">
        <v>8</v>
      </c>
      <c r="Q57" s="11" t="s">
        <v>739</v>
      </c>
      <c r="R57" s="11" t="s">
        <v>740</v>
      </c>
      <c r="S57" s="11" t="s">
        <v>741</v>
      </c>
      <c r="T57" s="11" t="s">
        <v>742</v>
      </c>
      <c r="U57" s="11" t="s">
        <v>743</v>
      </c>
      <c r="V57" s="11" t="s">
        <v>744</v>
      </c>
      <c r="W57" s="11"/>
      <c r="X57" s="11"/>
      <c r="Y57" s="11" t="s">
        <v>745</v>
      </c>
      <c r="Z57" s="13" t="str">
        <f>TEXT("4031597999325314416","0")</f>
        <v>4031597999325314416</v>
      </c>
      <c r="AA57" s="12" t="str">
        <f>HYPERLINK("https://www.jotform.com/edit/4031597999325314416","Edit Submission")</f>
        <v>Edit Submission</v>
      </c>
    </row>
    <row r="58">
      <c r="A58" s="10">
        <v>43247.19483796296</v>
      </c>
      <c r="B58" s="11" t="s">
        <v>746</v>
      </c>
      <c r="C58" s="11" t="s">
        <v>747</v>
      </c>
      <c r="D58" s="11" t="s">
        <v>20</v>
      </c>
      <c r="E58" s="11" t="s">
        <v>748</v>
      </c>
      <c r="F58" s="12" t="str">
        <f>HYPERLINK("https://www.jotform.com/uploads/MelanieD/81331483384356/4032232333019360457/P1160740.JPG","https://www.jotform.com/uploads/MelanieD/81331483384356/4032232333019360457/P1160740.JPG")</f>
        <v>https://www.jotform.com/uploads/MelanieD/81331483384356/4032232333019360457/P1160740.JPG</v>
      </c>
      <c r="G58" s="11" t="s">
        <v>749</v>
      </c>
      <c r="H58" s="11"/>
      <c r="I58" s="11" t="s">
        <v>750</v>
      </c>
      <c r="J58" s="13"/>
      <c r="K58" s="11">
        <v>45800.0</v>
      </c>
      <c r="L58" s="11"/>
      <c r="M58" s="11" t="s">
        <v>751</v>
      </c>
      <c r="N58" s="11" t="s">
        <v>752</v>
      </c>
      <c r="O58" s="11"/>
      <c r="P58" s="11" t="s">
        <v>248</v>
      </c>
      <c r="Q58" s="11" t="s">
        <v>753</v>
      </c>
      <c r="R58" s="11" t="s">
        <v>754</v>
      </c>
      <c r="S58" s="11" t="s">
        <v>755</v>
      </c>
      <c r="T58" s="11" t="s">
        <v>756</v>
      </c>
      <c r="U58" s="11" t="s">
        <v>200</v>
      </c>
      <c r="V58" s="11" t="s">
        <v>14</v>
      </c>
      <c r="W58" s="11"/>
      <c r="X58" s="11"/>
      <c r="Y58" s="11" t="s">
        <v>757</v>
      </c>
      <c r="Z58" s="13" t="str">
        <f>TEXT("4032232333019360457","0")</f>
        <v>4032232333019360457</v>
      </c>
      <c r="AA58" s="12" t="str">
        <f>HYPERLINK("https://www.jotform.com/edit/4032232333019360457","Edit Submission")</f>
        <v>Edit Submission</v>
      </c>
    </row>
    <row r="59">
      <c r="A59" s="10">
        <v>43248.50035879629</v>
      </c>
      <c r="B59" s="11" t="s">
        <v>758</v>
      </c>
      <c r="C59" s="11" t="s">
        <v>543</v>
      </c>
      <c r="D59" s="11" t="s">
        <v>2</v>
      </c>
      <c r="E59" s="11" t="s">
        <v>759</v>
      </c>
      <c r="F59" s="12" t="str">
        <f>HYPERLINK("https://www.jotform.com/uploads/MelanieD/81331483384356/4033360309415343682/DSC_1913_1.jpg","https://www.jotform.com/uploads/MelanieD/81331483384356/4033360309415343682/DSC_1913_1.jpg")</f>
        <v>https://www.jotform.com/uploads/MelanieD/81331483384356/4033360309415343682/DSC_1913_1.jpg</v>
      </c>
      <c r="G59" s="11" t="s">
        <v>760</v>
      </c>
      <c r="H59" s="11" t="s">
        <v>760</v>
      </c>
      <c r="I59" s="11" t="s">
        <v>761</v>
      </c>
      <c r="J59" s="13"/>
      <c r="K59" s="11">
        <v>45140.0</v>
      </c>
      <c r="L59" s="11"/>
      <c r="M59" s="11" t="s">
        <v>762</v>
      </c>
      <c r="N59" s="11" t="s">
        <v>763</v>
      </c>
      <c r="O59" s="11"/>
      <c r="P59" s="11" t="s">
        <v>43</v>
      </c>
      <c r="Q59" s="11" t="s">
        <v>764</v>
      </c>
      <c r="R59" s="11" t="s">
        <v>765</v>
      </c>
      <c r="S59" s="11" t="s">
        <v>766</v>
      </c>
      <c r="T59" s="11" t="s">
        <v>767</v>
      </c>
      <c r="U59" s="11" t="s">
        <v>768</v>
      </c>
      <c r="V59" s="11" t="s">
        <v>74</v>
      </c>
      <c r="W59" s="11"/>
      <c r="X59" s="11" t="s">
        <v>227</v>
      </c>
      <c r="Y59" s="11" t="s">
        <v>769</v>
      </c>
      <c r="Z59" s="13" t="str">
        <f>TEXT("4033360309415343682","0")</f>
        <v>4033360309415343682</v>
      </c>
      <c r="AA59" s="12" t="str">
        <f>HYPERLINK("https://www.jotform.com/edit/4033360309415343682","Edit Submission")</f>
        <v>Edit Submission</v>
      </c>
    </row>
    <row r="60">
      <c r="A60" s="10">
        <v>43249.72314814815</v>
      </c>
      <c r="B60" s="11" t="s">
        <v>770</v>
      </c>
      <c r="C60" s="11" t="s">
        <v>692</v>
      </c>
      <c r="D60" s="11" t="s">
        <v>2</v>
      </c>
      <c r="E60" s="11" t="s">
        <v>771</v>
      </c>
      <c r="F60" s="12" t="str">
        <f>HYPERLINK("https://www.jotform.com/uploads/MelanieD/81331483384356/4034416796014247207/2018.03.31.JPG","https://www.jotform.com/uploads/MelanieD/81331483384356/4034416796014247207/2018.03.31.JPG")</f>
        <v>https://www.jotform.com/uploads/MelanieD/81331483384356/4034416796014247207/2018.03.31.JPG</v>
      </c>
      <c r="G60" s="11" t="s">
        <v>772</v>
      </c>
      <c r="H60" s="11" t="s">
        <v>773</v>
      </c>
      <c r="I60" s="11" t="s">
        <v>774</v>
      </c>
      <c r="J60" s="13"/>
      <c r="K60" s="11">
        <v>41300.0</v>
      </c>
      <c r="L60" s="11"/>
      <c r="M60" s="11" t="s">
        <v>775</v>
      </c>
      <c r="N60" s="11" t="s">
        <v>776</v>
      </c>
      <c r="O60" s="11" t="s">
        <v>777</v>
      </c>
      <c r="P60" s="11" t="s">
        <v>8</v>
      </c>
      <c r="Q60" s="11" t="s">
        <v>778</v>
      </c>
      <c r="R60" s="11" t="s">
        <v>779</v>
      </c>
      <c r="S60" s="11" t="s">
        <v>780</v>
      </c>
      <c r="T60" s="11" t="s">
        <v>781</v>
      </c>
      <c r="U60" s="11" t="s">
        <v>338</v>
      </c>
      <c r="V60" s="11" t="s">
        <v>61</v>
      </c>
      <c r="W60" s="11" t="s">
        <v>677</v>
      </c>
      <c r="X60" s="11"/>
      <c r="Y60" s="11" t="s">
        <v>782</v>
      </c>
      <c r="Z60" s="13" t="str">
        <f>TEXT("4034416796014247207","0")</f>
        <v>4034416796014247207</v>
      </c>
      <c r="AA60" s="12" t="str">
        <f>HYPERLINK("https://www.jotform.com/edit/4034416796014247207","Edit Submission")</f>
        <v>Edit Submission</v>
      </c>
    </row>
    <row r="61">
      <c r="A61" s="10">
        <v>43249.74236111111</v>
      </c>
      <c r="B61" s="11" t="s">
        <v>770</v>
      </c>
      <c r="C61" s="11" t="s">
        <v>692</v>
      </c>
      <c r="D61" s="11" t="s">
        <v>2</v>
      </c>
      <c r="E61" s="11" t="s">
        <v>783</v>
      </c>
      <c r="F61" s="12" t="str">
        <f>HYPERLINK("https://www.jotform.com/uploads/MelanieD/81331483384356/4034433396016131541/2018.03.31.JPG","https://www.jotform.com/uploads/MelanieD/81331483384356/4034433396016131541/2018.03.31.JPG")</f>
        <v>https://www.jotform.com/uploads/MelanieD/81331483384356/4034433396016131541/2018.03.31.JPG</v>
      </c>
      <c r="G61" s="11" t="s">
        <v>772</v>
      </c>
      <c r="H61" s="11" t="s">
        <v>773</v>
      </c>
      <c r="I61" s="11" t="s">
        <v>784</v>
      </c>
      <c r="J61" s="13"/>
      <c r="K61" s="11">
        <v>41300.0</v>
      </c>
      <c r="L61" s="11"/>
      <c r="M61" s="11" t="s">
        <v>775</v>
      </c>
      <c r="N61" s="11" t="s">
        <v>776</v>
      </c>
      <c r="O61" s="11" t="s">
        <v>777</v>
      </c>
      <c r="P61" s="11" t="s">
        <v>8</v>
      </c>
      <c r="Q61" s="11" t="s">
        <v>785</v>
      </c>
      <c r="R61" s="11" t="s">
        <v>786</v>
      </c>
      <c r="S61" s="11" t="s">
        <v>780</v>
      </c>
      <c r="T61" s="11" t="s">
        <v>787</v>
      </c>
      <c r="U61" s="11" t="s">
        <v>788</v>
      </c>
      <c r="V61" s="11" t="s">
        <v>61</v>
      </c>
      <c r="W61" s="11"/>
      <c r="X61" s="11"/>
      <c r="Y61" s="11" t="s">
        <v>782</v>
      </c>
      <c r="Z61" s="13" t="str">
        <f>TEXT("4034433396016131541","0")</f>
        <v>4034433396016131541</v>
      </c>
      <c r="AA61" s="12" t="str">
        <f>HYPERLINK("https://www.jotform.com/edit/4034433396016131541","Edit Submission")</f>
        <v>Edit Submission</v>
      </c>
    </row>
    <row r="62">
      <c r="A62" s="10">
        <v>43250.30903935185</v>
      </c>
      <c r="B62" s="11" t="s">
        <v>789</v>
      </c>
      <c r="C62" s="11" t="s">
        <v>790</v>
      </c>
      <c r="D62" s="11" t="s">
        <v>2</v>
      </c>
      <c r="E62" s="11" t="s">
        <v>791</v>
      </c>
      <c r="F62" s="12" t="str">
        <f>HYPERLINK("https://www.jotform.com/uploads/MelanieD/81331483384356/4034923006674955419/photo.jpg","https://www.jotform.com/uploads/MelanieD/81331483384356/4034923006674955419/photo.jpg")</f>
        <v>https://www.jotform.com/uploads/MelanieD/81331483384356/4034923006674955419/photo.jpg</v>
      </c>
      <c r="G62" s="11" t="s">
        <v>792</v>
      </c>
      <c r="H62" s="11" t="s">
        <v>792</v>
      </c>
      <c r="I62" s="11" t="s">
        <v>793</v>
      </c>
      <c r="J62" s="13"/>
      <c r="K62" s="11">
        <v>45170.0</v>
      </c>
      <c r="L62" s="11"/>
      <c r="M62" s="11" t="s">
        <v>794</v>
      </c>
      <c r="N62" s="11" t="s">
        <v>795</v>
      </c>
      <c r="O62" s="11"/>
      <c r="P62" s="11" t="s">
        <v>43</v>
      </c>
      <c r="Q62" s="11" t="s">
        <v>796</v>
      </c>
      <c r="R62" s="11" t="s">
        <v>797</v>
      </c>
      <c r="S62" s="11" t="s">
        <v>798</v>
      </c>
      <c r="T62" s="11" t="str">
        <f>TEXT("- Ma disponibilité, qui me permettra de travailler avec la rigueur demandée par un tel projet,rigueur que j'apprécie dans notre travail avec Corinne au sein de La Musique de Léonie. 
- L'émotion que je ressens lorsque nos voix s'accordent et que" c'est beau!"
- Le défi de participer à un projet d'une telle envergure.
- L'intérêt que je porte à ce projet de type participatif.";"0")</f>
        <v>#ERROR!</v>
      </c>
      <c r="U62" s="11" t="s">
        <v>147</v>
      </c>
      <c r="V62" s="11" t="s">
        <v>61</v>
      </c>
      <c r="W62" s="11"/>
      <c r="X62" s="11"/>
      <c r="Y62" s="11" t="s">
        <v>799</v>
      </c>
      <c r="Z62" s="13" t="str">
        <f>TEXT("4034923006674955419","0")</f>
        <v>4034923006674955419</v>
      </c>
      <c r="AA62" s="12" t="str">
        <f>HYPERLINK("https://www.jotform.com/edit/4034923006674955419","Edit Submission")</f>
        <v>Edit Submission</v>
      </c>
    </row>
    <row r="63">
      <c r="A63" s="10">
        <v>43252.67891203704</v>
      </c>
      <c r="B63" s="11" t="s">
        <v>800</v>
      </c>
      <c r="C63" s="11" t="s">
        <v>801</v>
      </c>
      <c r="D63" s="11" t="s">
        <v>2</v>
      </c>
      <c r="E63" s="11" t="s">
        <v>802</v>
      </c>
      <c r="F63" s="12" t="str">
        <f>HYPERLINK("https://www.jotform.com/uploads/MelanieD/81331483384356/4036970585416954206/A-J%20Legourd.jpg","https://www.jotform.com/uploads/MelanieD/81331483384356/4036970585416954206/A-J Legourd.jpg")</f>
        <v>https://www.jotform.com/uploads/MelanieD/81331483384356/4036970585416954206/A-J Legourd.jpg</v>
      </c>
      <c r="G63" s="11" t="s">
        <v>803</v>
      </c>
      <c r="H63" s="11" t="s">
        <v>804</v>
      </c>
      <c r="I63" s="11" t="s">
        <v>805</v>
      </c>
      <c r="J63" s="13"/>
      <c r="K63" s="11">
        <v>45530.0</v>
      </c>
      <c r="L63" s="11" t="s">
        <v>97</v>
      </c>
      <c r="M63" s="11" t="s">
        <v>806</v>
      </c>
      <c r="N63" s="11" t="s">
        <v>807</v>
      </c>
      <c r="O63" s="11"/>
      <c r="P63" s="11" t="s">
        <v>8</v>
      </c>
      <c r="Q63" s="11" t="s">
        <v>808</v>
      </c>
      <c r="R63" s="11" t="s">
        <v>809</v>
      </c>
      <c r="S63" s="11" t="s">
        <v>810</v>
      </c>
      <c r="T63" s="11" t="s">
        <v>811</v>
      </c>
      <c r="U63" s="11" t="s">
        <v>200</v>
      </c>
      <c r="V63" s="11" t="s">
        <v>174</v>
      </c>
      <c r="W63" s="11"/>
      <c r="X63" s="11"/>
      <c r="Y63" s="11" t="s">
        <v>812</v>
      </c>
      <c r="Z63" s="13" t="str">
        <f>TEXT("4036970585416954206","0")</f>
        <v>4036970585416954206</v>
      </c>
      <c r="AA63" s="12" t="str">
        <f>HYPERLINK("https://www.jotform.com/edit/4036970585416954206","Edit Submission")</f>
        <v>Edit Submission</v>
      </c>
    </row>
    <row r="64">
      <c r="A64" s="10">
        <v>43253.30174768518</v>
      </c>
      <c r="B64" s="11" t="s">
        <v>813</v>
      </c>
      <c r="C64" s="11" t="s">
        <v>814</v>
      </c>
      <c r="D64" s="11" t="s">
        <v>2</v>
      </c>
      <c r="E64" s="11" t="s">
        <v>815</v>
      </c>
      <c r="F64" s="12" t="str">
        <f>HYPERLINK("https://www.jotform.com/uploads/MelanieD/81331483384356/4037508692685699655/DSC_1891.JPG","https://www.jotform.com/uploads/MelanieD/81331483384356/4037508692685699655/DSC_1891.JPG")</f>
        <v>https://www.jotform.com/uploads/MelanieD/81331483384356/4037508692685699655/DSC_1891.JPG</v>
      </c>
      <c r="G64" s="11" t="s">
        <v>816</v>
      </c>
      <c r="H64" s="11"/>
      <c r="I64" s="11" t="s">
        <v>111</v>
      </c>
      <c r="J64" s="13"/>
      <c r="K64" s="11">
        <v>45000.0</v>
      </c>
      <c r="L64" s="11"/>
      <c r="M64" s="11" t="s">
        <v>817</v>
      </c>
      <c r="N64" s="11" t="s">
        <v>818</v>
      </c>
      <c r="O64" s="11" t="s">
        <v>819</v>
      </c>
      <c r="P64" s="11" t="s">
        <v>8</v>
      </c>
      <c r="Q64" s="11" t="s">
        <v>820</v>
      </c>
      <c r="R64" s="11" t="s">
        <v>821</v>
      </c>
      <c r="S64" s="11" t="s">
        <v>822</v>
      </c>
      <c r="T64" s="11" t="s">
        <v>823</v>
      </c>
      <c r="U64" s="11" t="s">
        <v>147</v>
      </c>
      <c r="V64" s="11" t="s">
        <v>74</v>
      </c>
      <c r="W64" s="11"/>
      <c r="X64" s="11"/>
      <c r="Y64" s="11" t="s">
        <v>824</v>
      </c>
      <c r="Z64" s="13" t="str">
        <f>TEXT("4037508692685699655","0")</f>
        <v>4037508692685699655</v>
      </c>
      <c r="AA64" s="12" t="str">
        <f>HYPERLINK("https://www.jotform.com/edit/4037508692685699655","Edit Submission")</f>
        <v>Edit Submission</v>
      </c>
    </row>
    <row r="65">
      <c r="A65" s="10">
        <v>43253.322071759256</v>
      </c>
      <c r="B65" s="11" t="s">
        <v>825</v>
      </c>
      <c r="C65" s="11" t="s">
        <v>826</v>
      </c>
      <c r="D65" s="11" t="s">
        <v>2</v>
      </c>
      <c r="E65" s="11" t="s">
        <v>827</v>
      </c>
      <c r="F65" s="12" t="str">
        <f>HYPERLINK("https://www.jotform.com/uploads/MelanieD/81331483384356/4037526260858275112/8EB8001C-47CD-48A8-858C-BE34475D4A7F.jpeg","https://www.jotform.com/uploads/MelanieD/81331483384356/4037526260858275112/8EB8001C-47CD-48A8-858C-BE34475D4A7F.jpeg")</f>
        <v>https://www.jotform.com/uploads/MelanieD/81331483384356/4037526260858275112/8EB8001C-47CD-48A8-858C-BE34475D4A7F.jpeg</v>
      </c>
      <c r="G65" s="11" t="s">
        <v>828</v>
      </c>
      <c r="H65" s="11" t="s">
        <v>829</v>
      </c>
      <c r="I65" s="11" t="s">
        <v>830</v>
      </c>
      <c r="J65" s="13"/>
      <c r="K65" s="11">
        <v>10407.0</v>
      </c>
      <c r="L65" s="11"/>
      <c r="M65" s="11" t="s">
        <v>831</v>
      </c>
      <c r="N65" s="11" t="s">
        <v>832</v>
      </c>
      <c r="O65" s="11"/>
      <c r="P65" s="11" t="s">
        <v>8</v>
      </c>
      <c r="Q65" s="11" t="s">
        <v>833</v>
      </c>
      <c r="R65" s="11" t="s">
        <v>834</v>
      </c>
      <c r="S65" s="11" t="s">
        <v>835</v>
      </c>
      <c r="T65" s="11" t="s">
        <v>836</v>
      </c>
      <c r="U65" s="11" t="s">
        <v>147</v>
      </c>
      <c r="V65" s="11"/>
      <c r="W65" s="11"/>
      <c r="X65" s="11"/>
      <c r="Y65" s="11" t="s">
        <v>837</v>
      </c>
      <c r="Z65" s="13" t="str">
        <f>TEXT("4037526260858275112","0")</f>
        <v>4037526260858275112</v>
      </c>
      <c r="AA65" s="12" t="str">
        <f>HYPERLINK("https://www.jotform.com/edit/4037526260858275112","Edit Submission")</f>
        <v>Edit Submission</v>
      </c>
    </row>
    <row r="66">
      <c r="A66" s="10">
        <v>43253.3233912037</v>
      </c>
      <c r="B66" s="11" t="s">
        <v>838</v>
      </c>
      <c r="C66" s="11" t="s">
        <v>838</v>
      </c>
      <c r="D66" s="11" t="s">
        <v>2</v>
      </c>
      <c r="E66" s="11" t="s">
        <v>839</v>
      </c>
      <c r="F66" s="12" t="str">
        <f>HYPERLINK("https://www.jotform.com/uploads/MelanieD/81331483384356/4037527402707167856/DSC_0054.JPG","https://www.jotform.com/uploads/MelanieD/81331483384356/4037527402707167856/DSC_0054.JPG")</f>
        <v>https://www.jotform.com/uploads/MelanieD/81331483384356/4037527402707167856/DSC_0054.JPG</v>
      </c>
      <c r="G66" s="11">
        <v>53.0</v>
      </c>
      <c r="H66" s="11" t="s">
        <v>840</v>
      </c>
      <c r="I66" s="11" t="s">
        <v>841</v>
      </c>
      <c r="J66" s="13"/>
      <c r="K66" s="11">
        <v>45190.0</v>
      </c>
      <c r="L66" s="11"/>
      <c r="M66" s="11" t="s">
        <v>842</v>
      </c>
      <c r="N66" s="11" t="s">
        <v>843</v>
      </c>
      <c r="O66" s="11"/>
      <c r="P66" s="11" t="s">
        <v>8</v>
      </c>
      <c r="Q66" s="11" t="s">
        <v>844</v>
      </c>
      <c r="R66" s="11" t="s">
        <v>845</v>
      </c>
      <c r="S66" s="11" t="str">
        <f>TEXT("- Choriste dans L'opéra de quat'sous mises en scène par Christian Sterne et musique par Maxime Alary.
- Choriste dans Les 3 mousquetaires, chef de choeur Corinne Barrère, mise scène et paroles de Gael Lepingle, musique de Julien Joubert.
- stage de théâ"&amp;"tre avec représentation, animé par Nathalie Chouteau.
- comédienne amateure depuis 3 ans avec Les Fous de Bassan, représentations théâtrales à chaque fin d'année, animé par Mathieu Jouhanneau, Alexis Ramos.","0")</f>
        <v>- Choriste dans L'opéra de quat'sous mises en scène par Christian Sterne et musique par Maxime Alary.
- Choriste dans Les 3 mousquetaires, chef de choeur Corinne Barrère, mise scène et paroles de Gael Lepingle, musique de Julien Joubert.
- stage de théâtre avec représentation, animé par Nathalie Chouteau.
- comédienne amateure depuis 3 ans avec Les Fous de Bassan, représentations théâtrales à chaque fin d'année, animé par Mathieu Jouhanneau, Alexis Ramos.</v>
      </c>
      <c r="T66" s="11" t="s">
        <v>846</v>
      </c>
      <c r="U66" s="11" t="s">
        <v>847</v>
      </c>
      <c r="V66" s="11" t="s">
        <v>61</v>
      </c>
      <c r="W66" s="11" t="s">
        <v>677</v>
      </c>
      <c r="X66" s="11"/>
      <c r="Y66" s="11" t="s">
        <v>848</v>
      </c>
      <c r="Z66" s="13" t="str">
        <f>TEXT("4037527402707167856","0")</f>
        <v>4037527402707167856</v>
      </c>
      <c r="AA66" s="12" t="str">
        <f>HYPERLINK("https://www.jotform.com/edit/4037527402707167856","Edit Submission")</f>
        <v>Edit Submission</v>
      </c>
    </row>
    <row r="67">
      <c r="A67" s="10">
        <v>43253.33693287037</v>
      </c>
      <c r="B67" s="11" t="s">
        <v>838</v>
      </c>
      <c r="C67" s="11" t="s">
        <v>838</v>
      </c>
      <c r="D67" s="11" t="s">
        <v>2</v>
      </c>
      <c r="E67" s="11" t="s">
        <v>839</v>
      </c>
      <c r="F67" s="12" t="str">
        <f>HYPERLINK("https://www.jotform.com/uploads/MelanieD/81331483384356/4037539102709652491/DSC_0054.JPG","https://www.jotform.com/uploads/MelanieD/81331483384356/4037539102709652491/DSC_0054.JPG")</f>
        <v>https://www.jotform.com/uploads/MelanieD/81331483384356/4037539102709652491/DSC_0054.JPG</v>
      </c>
      <c r="G67" s="11">
        <v>53.0</v>
      </c>
      <c r="H67" s="11" t="s">
        <v>840</v>
      </c>
      <c r="I67" s="11" t="s">
        <v>841</v>
      </c>
      <c r="J67" s="13"/>
      <c r="K67" s="11">
        <v>45190.0</v>
      </c>
      <c r="L67" s="11"/>
      <c r="M67" s="11" t="s">
        <v>842</v>
      </c>
      <c r="N67" s="11" t="s">
        <v>843</v>
      </c>
      <c r="O67" s="11"/>
      <c r="P67" s="11" t="s">
        <v>8</v>
      </c>
      <c r="Q67" s="11" t="s">
        <v>849</v>
      </c>
      <c r="R67" s="11" t="s">
        <v>850</v>
      </c>
      <c r="S67" s="11" t="str">
        <f>TEXT("-choriste dans l"opéra de quat'sous mis en scène par Christian Sterne, chef d'orchestre Maxime Alary.
- choriste dans Les 3 mousquetaires mise en scène et paroles de Gael Lepingle, Chef de choeur Corinne Barrère, musique de Julien Joubert.
- stage théâtre avec une représentation, animé par Nathalie Chouteau
- comédienne amateure, inscrite depuis 4 ans à un atelier proposé par Les Fous de Bassan, animé par Mathieu Jouhaneau, Alexis Ramos. Représentations théâtrales chaque année.";"0")</f>
        <v>#ERROR!</v>
      </c>
      <c r="T67" s="11" t="s">
        <v>851</v>
      </c>
      <c r="U67" s="11" t="s">
        <v>852</v>
      </c>
      <c r="V67" s="11" t="s">
        <v>61</v>
      </c>
      <c r="W67" s="11"/>
      <c r="X67" s="11"/>
      <c r="Y67" s="11" t="s">
        <v>848</v>
      </c>
      <c r="Z67" s="13" t="str">
        <f>TEXT("4037539102709652491","0")</f>
        <v>4037539102709652491</v>
      </c>
      <c r="AA67" s="12" t="str">
        <f>HYPERLINK("https://www.jotform.com/edit/4037539102709652491","Edit Submission")</f>
        <v>Edit Submission</v>
      </c>
    </row>
    <row r="68">
      <c r="A68" s="10">
        <v>43254.39971064815</v>
      </c>
      <c r="B68" s="11" t="s">
        <v>853</v>
      </c>
      <c r="C68" s="11" t="s">
        <v>303</v>
      </c>
      <c r="D68" s="11" t="s">
        <v>2</v>
      </c>
      <c r="E68" s="11" t="s">
        <v>854</v>
      </c>
      <c r="F68" s="12" t="str">
        <f>HYPERLINK("https://www.jotform.com/uploads/MelanieD/81331483384356/4038457345777561235/Identit%C3%A9%20Fanfan.JPG","https://www.jotform.com/uploads/MelanieD/81331483384356/4038457345777561235/Identité Fanfan.JPG")</f>
        <v>https://www.jotform.com/uploads/MelanieD/81331483384356/4038457345777561235/Identité Fanfan.JPG</v>
      </c>
      <c r="G68" s="11" t="s">
        <v>855</v>
      </c>
      <c r="H68" s="11"/>
      <c r="I68" s="11" t="s">
        <v>66</v>
      </c>
      <c r="J68" s="13"/>
      <c r="K68" s="11">
        <v>45000.0</v>
      </c>
      <c r="L68" s="11"/>
      <c r="M68" s="11" t="s">
        <v>856</v>
      </c>
      <c r="N68" s="11" t="s">
        <v>857</v>
      </c>
      <c r="O68" s="11" t="s">
        <v>858</v>
      </c>
      <c r="P68" s="11" t="s">
        <v>43</v>
      </c>
      <c r="Q68" s="11" t="s">
        <v>859</v>
      </c>
      <c r="R68" s="11" t="s">
        <v>860</v>
      </c>
      <c r="S68" s="11" t="s">
        <v>861</v>
      </c>
      <c r="T68" s="11" t="s">
        <v>862</v>
      </c>
      <c r="U68" s="11" t="s">
        <v>147</v>
      </c>
      <c r="V68" s="11" t="s">
        <v>174</v>
      </c>
      <c r="W68" s="11"/>
      <c r="X68" s="11"/>
      <c r="Y68" s="11" t="s">
        <v>863</v>
      </c>
      <c r="Z68" s="13" t="str">
        <f>TEXT("4038457345777561235","0")</f>
        <v>4038457345777561235</v>
      </c>
      <c r="AA68" s="12" t="str">
        <f>HYPERLINK("https://www.jotform.com/edit/4038457345777561235","Edit Submission")</f>
        <v>Edit Submission</v>
      </c>
    </row>
    <row r="69">
      <c r="A69" s="10">
        <v>43255.46666666667</v>
      </c>
      <c r="B69" s="11" t="s">
        <v>864</v>
      </c>
      <c r="C69" s="11" t="s">
        <v>865</v>
      </c>
      <c r="D69" s="11" t="s">
        <v>2</v>
      </c>
      <c r="E69" s="11" t="s">
        <v>866</v>
      </c>
      <c r="F69" s="12" t="str">
        <f>HYPERLINK("https://www.jotform.com/uploads/MelanieD/81331483384356/4039379196419044367/DSC05971.JPG","https://www.jotform.com/uploads/MelanieD/81331483384356/4039379196419044367/DSC05971.JPG")</f>
        <v>https://www.jotform.com/uploads/MelanieD/81331483384356/4039379196419044367/DSC05971.JPG</v>
      </c>
      <c r="G69" s="11" t="s">
        <v>867</v>
      </c>
      <c r="H69" s="11"/>
      <c r="I69" s="11" t="s">
        <v>111</v>
      </c>
      <c r="J69" s="13"/>
      <c r="K69" s="11">
        <v>45000.0</v>
      </c>
      <c r="L69" s="11"/>
      <c r="M69" s="11" t="s">
        <v>868</v>
      </c>
      <c r="N69" s="11" t="s">
        <v>869</v>
      </c>
      <c r="O69" s="11" t="s">
        <v>870</v>
      </c>
      <c r="P69" s="11" t="s">
        <v>43</v>
      </c>
      <c r="Q69" s="11" t="s">
        <v>871</v>
      </c>
      <c r="R69" s="11" t="s">
        <v>872</v>
      </c>
      <c r="S69" s="11" t="s">
        <v>873</v>
      </c>
      <c r="T69" s="11" t="s">
        <v>874</v>
      </c>
      <c r="U69" s="11" t="s">
        <v>875</v>
      </c>
      <c r="V69" s="11" t="s">
        <v>226</v>
      </c>
      <c r="W69" s="11"/>
      <c r="X69" s="11"/>
      <c r="Y69" s="11" t="s">
        <v>876</v>
      </c>
      <c r="Z69" s="13" t="str">
        <f>TEXT("4039379196419044367","0")</f>
        <v>4039379196419044367</v>
      </c>
      <c r="AA69" s="12" t="str">
        <f>HYPERLINK("https://www.jotform.com/edit/4039379196419044367","Edit Submission")</f>
        <v>Edit Submission</v>
      </c>
    </row>
    <row r="70">
      <c r="A70" s="10">
        <v>43256.24082175926</v>
      </c>
      <c r="B70" s="11" t="s">
        <v>877</v>
      </c>
      <c r="C70" s="11" t="s">
        <v>878</v>
      </c>
      <c r="D70" s="11" t="s">
        <v>20</v>
      </c>
      <c r="E70" s="11" t="s">
        <v>879</v>
      </c>
      <c r="F70" s="12" t="str">
        <f>HYPERLINK("https://www.jotform.com/uploads/MelanieD/81331483384356/4040048067114009269/028.JPG","https://www.jotform.com/uploads/MelanieD/81331483384356/4040048067114009269/028.JPG")</f>
        <v>https://www.jotform.com/uploads/MelanieD/81331483384356/4040048067114009269/028.JPG</v>
      </c>
      <c r="G70" s="11">
        <v>154.0</v>
      </c>
      <c r="H70" s="11" t="s">
        <v>880</v>
      </c>
      <c r="I70" s="11" t="s">
        <v>440</v>
      </c>
      <c r="J70" s="13"/>
      <c r="K70" s="11">
        <v>45160.0</v>
      </c>
      <c r="L70" s="11"/>
      <c r="M70" s="11" t="s">
        <v>881</v>
      </c>
      <c r="N70" s="11" t="s">
        <v>882</v>
      </c>
      <c r="O70" s="11"/>
      <c r="P70" s="11" t="s">
        <v>27</v>
      </c>
      <c r="Q70" s="11" t="s">
        <v>883</v>
      </c>
      <c r="R70" s="11" t="s">
        <v>884</v>
      </c>
      <c r="S70" s="11" t="s">
        <v>885</v>
      </c>
      <c r="T70" s="11" t="s">
        <v>886</v>
      </c>
      <c r="U70" s="11" t="s">
        <v>887</v>
      </c>
      <c r="V70" s="11" t="s">
        <v>74</v>
      </c>
      <c r="W70" s="11"/>
      <c r="X70" s="11"/>
      <c r="Y70" s="11" t="s">
        <v>888</v>
      </c>
      <c r="Z70" s="13" t="str">
        <f>TEXT("4040048067114009269","0")</f>
        <v>4040048067114009269</v>
      </c>
      <c r="AA70" s="12" t="str">
        <f>HYPERLINK("https://www.jotform.com/edit/4040048067114009269","Edit Submission")</f>
        <v>Edit Submission</v>
      </c>
    </row>
    <row r="71">
      <c r="A71" s="10">
        <v>43257.19541666667</v>
      </c>
      <c r="B71" s="11" t="s">
        <v>889</v>
      </c>
      <c r="C71" s="11" t="s">
        <v>890</v>
      </c>
      <c r="D71" s="11" t="s">
        <v>2</v>
      </c>
      <c r="E71" s="11" t="s">
        <v>891</v>
      </c>
      <c r="F71" s="12" t="str">
        <f>HYPERLINK("https://www.jotform.com/uploads/MelanieD/81331483384356/4040872835314344519/roleSuzanna.jpg","https://www.jotform.com/uploads/MelanieD/81331483384356/4040872835314344519/roleSuzanna.jpg")</f>
        <v>https://www.jotform.com/uploads/MelanieD/81331483384356/4040872835314344519/roleSuzanna.jpg</v>
      </c>
      <c r="G71" s="11" t="s">
        <v>892</v>
      </c>
      <c r="H71" s="11" t="s">
        <v>892</v>
      </c>
      <c r="I71" s="11" t="s">
        <v>893</v>
      </c>
      <c r="J71" s="13"/>
      <c r="K71" s="11" t="s">
        <v>894</v>
      </c>
      <c r="L71" s="11"/>
      <c r="M71" s="11" t="s">
        <v>895</v>
      </c>
      <c r="N71" s="11" t="s">
        <v>896</v>
      </c>
      <c r="O71" s="11"/>
      <c r="P71" s="11" t="s">
        <v>8</v>
      </c>
      <c r="Q71" s="11" t="s">
        <v>897</v>
      </c>
      <c r="R71" s="11" t="s">
        <v>898</v>
      </c>
      <c r="S71" s="11" t="s">
        <v>899</v>
      </c>
      <c r="T71" s="11" t="s">
        <v>900</v>
      </c>
      <c r="U71" s="11" t="s">
        <v>147</v>
      </c>
      <c r="V71" s="11" t="s">
        <v>61</v>
      </c>
      <c r="W71" s="11"/>
      <c r="X71" s="11"/>
      <c r="Y71" s="11" t="s">
        <v>901</v>
      </c>
      <c r="Z71" s="13" t="str">
        <f>TEXT("4040872835314344519","0")</f>
        <v>4040872835314344519</v>
      </c>
      <c r="AA71" s="12" t="str">
        <f>HYPERLINK("https://www.jotform.com/edit/4040872835314344519","Edit Submission")</f>
        <v>Edit Submission</v>
      </c>
    </row>
    <row r="72">
      <c r="A72" s="10">
        <v>43258.95104166667</v>
      </c>
      <c r="B72" s="11" t="s">
        <v>902</v>
      </c>
      <c r="C72" s="11" t="s">
        <v>216</v>
      </c>
      <c r="D72" s="11" t="s">
        <v>20</v>
      </c>
      <c r="E72" s="11" t="s">
        <v>903</v>
      </c>
      <c r="F72" s="12" t="str">
        <f>HYPERLINK("https://www.jotform.com/uploads/MelanieD/81331483384356/4042389687316275053/IMG_0655.jpg","https://www.jotform.com/uploads/MelanieD/81331483384356/4042389687316275053/IMG_0655.jpg")</f>
        <v>https://www.jotform.com/uploads/MelanieD/81331483384356/4042389687316275053/IMG_0655.jpg</v>
      </c>
      <c r="G72" s="11" t="s">
        <v>904</v>
      </c>
      <c r="H72" s="11"/>
      <c r="I72" s="11" t="s">
        <v>905</v>
      </c>
      <c r="J72" s="13"/>
      <c r="K72" s="11">
        <v>45140.0</v>
      </c>
      <c r="L72" s="11"/>
      <c r="M72" s="11" t="s">
        <v>906</v>
      </c>
      <c r="N72" s="11" t="s">
        <v>907</v>
      </c>
      <c r="O72" s="11"/>
      <c r="P72" s="11" t="s">
        <v>248</v>
      </c>
      <c r="Q72" s="11" t="s">
        <v>908</v>
      </c>
      <c r="R72" s="11" t="s">
        <v>909</v>
      </c>
      <c r="S72" s="11" t="s">
        <v>910</v>
      </c>
      <c r="T72" s="11" t="s">
        <v>911</v>
      </c>
      <c r="U72" s="11" t="s">
        <v>147</v>
      </c>
      <c r="V72" s="11" t="s">
        <v>33</v>
      </c>
      <c r="W72" s="11"/>
      <c r="X72" s="11"/>
      <c r="Y72" s="11" t="s">
        <v>912</v>
      </c>
      <c r="Z72" s="13" t="str">
        <f>TEXT("4042389687316275053","0")</f>
        <v>4042389687316275053</v>
      </c>
      <c r="AA72" s="12" t="str">
        <f>HYPERLINK("https://www.jotform.com/edit/4042389687316275053","Edit Submission")</f>
        <v>Edit Submission</v>
      </c>
    </row>
    <row r="73">
      <c r="A73" s="10">
        <v>43259.641863425924</v>
      </c>
      <c r="B73" s="11" t="s">
        <v>913</v>
      </c>
      <c r="C73" s="11" t="s">
        <v>914</v>
      </c>
      <c r="D73" s="11" t="s">
        <v>2</v>
      </c>
      <c r="E73" s="11" t="s">
        <v>915</v>
      </c>
      <c r="F73" s="12" t="str">
        <f>HYPERLINK("https://www.jotform.com/uploads/MelanieD/81331483384356/4042986569298935208/20170602_225628.jpg","https://www.jotform.com/uploads/MelanieD/81331483384356/4042986569298935208/20170602_225628.jpg")</f>
        <v>https://www.jotform.com/uploads/MelanieD/81331483384356/4042986569298935208/20170602_225628.jpg</v>
      </c>
      <c r="G73" s="11" t="s">
        <v>916</v>
      </c>
      <c r="H73" s="11"/>
      <c r="I73" s="11" t="s">
        <v>917</v>
      </c>
      <c r="J73" s="13"/>
      <c r="K73" s="11">
        <v>45380.0</v>
      </c>
      <c r="L73" s="11"/>
      <c r="M73" s="11" t="s">
        <v>918</v>
      </c>
      <c r="N73" s="11" t="s">
        <v>919</v>
      </c>
      <c r="O73" s="11"/>
      <c r="P73" s="11" t="s">
        <v>43</v>
      </c>
      <c r="Q73" s="11" t="s">
        <v>920</v>
      </c>
      <c r="R73" s="11" t="s">
        <v>921</v>
      </c>
      <c r="S73" s="11" t="s">
        <v>922</v>
      </c>
      <c r="T73" s="11" t="s">
        <v>923</v>
      </c>
      <c r="U73" s="11" t="s">
        <v>924</v>
      </c>
      <c r="V73" s="11" t="s">
        <v>49</v>
      </c>
      <c r="W73" s="11"/>
      <c r="X73" s="11"/>
      <c r="Y73" s="11" t="s">
        <v>925</v>
      </c>
      <c r="Z73" s="13" t="str">
        <f>TEXT("4042986569298935208","0")</f>
        <v>4042986569298935208</v>
      </c>
      <c r="AA73" s="12" t="str">
        <f>HYPERLINK("https://www.jotform.com/edit/4042986569298935208","Edit Submission")</f>
        <v>Edit Submission</v>
      </c>
    </row>
    <row r="74">
      <c r="A74" s="10">
        <v>43261.32806712963</v>
      </c>
      <c r="B74" s="11" t="s">
        <v>926</v>
      </c>
      <c r="C74" s="11" t="s">
        <v>927</v>
      </c>
      <c r="D74" s="11" t="s">
        <v>2</v>
      </c>
      <c r="E74" s="11" t="s">
        <v>928</v>
      </c>
      <c r="F74" s="12" t="str">
        <f>HYPERLINK("https://www.jotform.com/uploads/MelanieD/81331483384356/4044443445559096172/FullSizeRender-1.jpg","https://www.jotform.com/uploads/MelanieD/81331483384356/4044443445559096172/FullSizeRender-1.jpg")</f>
        <v>https://www.jotform.com/uploads/MelanieD/81331483384356/4044443445559096172/FullSizeRender-1.jpg</v>
      </c>
      <c r="G74" s="11" t="s">
        <v>929</v>
      </c>
      <c r="H74" s="11"/>
      <c r="I74" s="11" t="s">
        <v>930</v>
      </c>
      <c r="J74" s="13"/>
      <c r="K74" s="11">
        <v>41240.0</v>
      </c>
      <c r="L74" s="11"/>
      <c r="M74" s="11" t="s">
        <v>931</v>
      </c>
      <c r="N74" s="11" t="s">
        <v>932</v>
      </c>
      <c r="O74" s="11"/>
      <c r="P74" s="11" t="s">
        <v>8</v>
      </c>
      <c r="Q74" s="11" t="str">
        <f>TEXT("- lecture","0")</f>
        <v>- lecture</v>
      </c>
      <c r="R74" s="11" t="str">
        <f>TEXT("- participation au chœur opéra de la musique de Léonie
- participation au chœur Ephémère
- direction des chœurs enfants et adultes à l'école de musique d'Ormes.","0")</f>
        <v>- participation au chœur opéra de la musique de Léonie
- participation au chœur Ephémère
- direction des chœurs enfants et adultes à l'école de musique d'Ormes.</v>
      </c>
      <c r="S74" s="11" t="str">
        <f>TEXT("- My Fair lady
- Histoire de la vie
- Aïda
- Carmen 
- différents spectacles avec l'Aspam","0")</f>
        <v>- My Fair lady
- Histoire de la vie
- Aïda
- Carmen 
- différents spectacles avec l'Aspam</v>
      </c>
      <c r="T74" s="11" t="str">
        <f>TEXT("- pour me faire plaisir
- pour se laisser guider
- pour faire une formation continue 
- pour rencontrer de nouvelles personnes venant d'univers différents
- pour faire le lien et mobiliser des personnes qui ne seront jamais allées voir un opéra d'elle"&amp;"s mêmes
- pour travailler avec des gens formidables !  
- pour faire découvrir un nouvel opéra","0")</f>
        <v>- pour me faire plaisir
- pour se laisser guider
- pour faire une formation continue 
- pour rencontrer de nouvelles personnes venant d'univers différents
- pour faire le lien et mobiliser des personnes qui ne seront jamais allées voir un opéra d'elles mêmes
- pour travailler avec des gens formidables !  
- pour faire découvrir un nouvel opéra</v>
      </c>
      <c r="U74" s="11" t="s">
        <v>933</v>
      </c>
      <c r="V74" s="11" t="s">
        <v>90</v>
      </c>
      <c r="W74" s="11"/>
      <c r="X74" s="11"/>
      <c r="Y74" s="11" t="s">
        <v>934</v>
      </c>
      <c r="Z74" s="13" t="str">
        <f>TEXT("4044443445559096172","0")</f>
        <v>4044443445559096172</v>
      </c>
      <c r="AA74" s="12" t="str">
        <f>HYPERLINK("https://www.jotform.com/edit/4044443445559096172","Edit Submission")</f>
        <v>Edit Submission</v>
      </c>
    </row>
    <row r="75">
      <c r="A75" s="10">
        <v>43261.355671296296</v>
      </c>
      <c r="B75" s="11" t="s">
        <v>935</v>
      </c>
      <c r="C75" s="11" t="s">
        <v>936</v>
      </c>
      <c r="D75" s="11" t="s">
        <v>2</v>
      </c>
      <c r="E75" s="11" t="s">
        <v>937</v>
      </c>
      <c r="F75" s="12" t="str">
        <f>HYPERLINK("https://www.jotform.com/uploads/MelanieD/81331483384356/4044467294219165323/claire%20bat.jpg","https://www.jotform.com/uploads/MelanieD/81331483384356/4044467294219165323/claire bat.jpg")</f>
        <v>https://www.jotform.com/uploads/MelanieD/81331483384356/4044467294219165323/claire bat.jpg</v>
      </c>
      <c r="G75" s="11" t="s">
        <v>938</v>
      </c>
      <c r="H75" s="11"/>
      <c r="I75" s="11" t="s">
        <v>939</v>
      </c>
      <c r="J75" s="13"/>
      <c r="K75" s="11">
        <v>45590.0</v>
      </c>
      <c r="L75" s="11"/>
      <c r="M75" s="11" t="s">
        <v>940</v>
      </c>
      <c r="N75" s="11" t="s">
        <v>941</v>
      </c>
      <c r="O75" s="11"/>
      <c r="P75" s="11" t="s">
        <v>8</v>
      </c>
      <c r="Q75" s="11" t="s">
        <v>942</v>
      </c>
      <c r="R75" s="11" t="s">
        <v>943</v>
      </c>
      <c r="S75" s="11" t="s">
        <v>944</v>
      </c>
      <c r="T75" s="11" t="s">
        <v>945</v>
      </c>
      <c r="U75" s="11" t="s">
        <v>946</v>
      </c>
      <c r="V75" s="11" t="s">
        <v>201</v>
      </c>
      <c r="W75" s="11"/>
      <c r="X75" s="11"/>
      <c r="Y75" s="11" t="s">
        <v>947</v>
      </c>
      <c r="Z75" s="13" t="str">
        <f>TEXT("4044467294219165323","0")</f>
        <v>4044467294219165323</v>
      </c>
      <c r="AA75" s="12" t="str">
        <f>HYPERLINK("https://www.jotform.com/edit/4044467294219165323","Edit Submission")</f>
        <v>Edit Submission</v>
      </c>
    </row>
    <row r="76">
      <c r="A76" s="14" t="s">
        <v>948</v>
      </c>
      <c r="B76" s="14" t="s">
        <v>949</v>
      </c>
      <c r="C76" s="14" t="s">
        <v>950</v>
      </c>
      <c r="D76" s="14" t="s">
        <v>951</v>
      </c>
      <c r="E76" s="14" t="s">
        <v>952</v>
      </c>
      <c r="F76" s="14" t="s">
        <v>953</v>
      </c>
      <c r="G76" s="14" t="s">
        <v>954</v>
      </c>
      <c r="H76" s="14" t="s">
        <v>955</v>
      </c>
      <c r="I76" s="14" t="s">
        <v>956</v>
      </c>
      <c r="J76" s="14" t="s">
        <v>957</v>
      </c>
      <c r="K76" s="14" t="s">
        <v>958</v>
      </c>
      <c r="L76" s="14" t="s">
        <v>959</v>
      </c>
      <c r="M76" s="14" t="s">
        <v>960</v>
      </c>
      <c r="N76" s="14" t="s">
        <v>961</v>
      </c>
      <c r="O76" s="14" t="s">
        <v>962</v>
      </c>
      <c r="P76" s="14" t="s">
        <v>963</v>
      </c>
      <c r="Q76" s="14" t="s">
        <v>964</v>
      </c>
      <c r="R76" s="14" t="s">
        <v>965</v>
      </c>
      <c r="S76" s="14" t="s">
        <v>966</v>
      </c>
      <c r="T76" s="14" t="s">
        <v>967</v>
      </c>
      <c r="U76" s="14" t="s">
        <v>968</v>
      </c>
      <c r="V76" s="14" t="s">
        <v>969</v>
      </c>
      <c r="W76" s="14" t="s">
        <v>970</v>
      </c>
      <c r="X76" s="14" t="s">
        <v>971</v>
      </c>
      <c r="Y76" s="14" t="s">
        <v>972</v>
      </c>
      <c r="Z76" s="14" t="s">
        <v>973</v>
      </c>
      <c r="AA76" s="14" t="s">
        <v>974</v>
      </c>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row r="1001">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row>
    <row r="1002">
      <c r="A1002" s="15"/>
      <c r="B1002" s="15"/>
      <c r="C1002" s="15"/>
      <c r="D1002" s="15"/>
      <c r="E1002" s="15"/>
      <c r="F1002" s="15"/>
      <c r="G1002" s="15"/>
      <c r="H1002" s="15"/>
      <c r="I1002" s="15"/>
      <c r="J1002" s="15"/>
      <c r="K1002" s="15"/>
      <c r="L1002" s="15"/>
      <c r="M1002" s="15"/>
      <c r="N1002" s="15"/>
      <c r="O1002" s="15"/>
      <c r="P1002" s="15"/>
      <c r="Q1002" s="15"/>
      <c r="R1002" s="15"/>
      <c r="S1002" s="15"/>
      <c r="T1002" s="15"/>
      <c r="U1002" s="15"/>
      <c r="V1002" s="15"/>
      <c r="W1002" s="15"/>
      <c r="X1002" s="15"/>
      <c r="Y1002" s="15"/>
      <c r="Z1002" s="15"/>
      <c r="AA1002" s="15"/>
    </row>
    <row r="1003">
      <c r="A1003" s="15"/>
      <c r="B1003" s="15"/>
      <c r="C1003" s="15"/>
      <c r="D1003" s="15"/>
      <c r="E1003" s="15"/>
      <c r="F1003" s="15"/>
      <c r="G1003" s="15"/>
      <c r="H1003" s="15"/>
      <c r="I1003" s="15"/>
      <c r="J1003" s="15"/>
      <c r="K1003" s="15"/>
      <c r="L1003" s="15"/>
      <c r="M1003" s="15"/>
      <c r="N1003" s="15"/>
      <c r="O1003" s="15"/>
      <c r="P1003" s="15"/>
      <c r="Q1003" s="15"/>
      <c r="R1003" s="15"/>
      <c r="S1003" s="15"/>
      <c r="T1003" s="15"/>
      <c r="U1003" s="15"/>
      <c r="V1003" s="15"/>
      <c r="W1003" s="15"/>
      <c r="X1003" s="15"/>
      <c r="Y1003" s="15"/>
      <c r="Z1003" s="15"/>
      <c r="AA1003" s="15"/>
    </row>
    <row r="1004">
      <c r="A1004" s="15"/>
      <c r="B1004" s="15"/>
      <c r="C1004" s="15"/>
      <c r="D1004" s="15"/>
      <c r="E1004" s="15"/>
      <c r="F1004" s="15"/>
      <c r="G1004" s="15"/>
      <c r="H1004" s="15"/>
      <c r="I1004" s="15"/>
      <c r="J1004" s="15"/>
      <c r="K1004" s="15"/>
      <c r="L1004" s="15"/>
      <c r="M1004" s="15"/>
      <c r="N1004" s="15"/>
      <c r="O1004" s="15"/>
      <c r="P1004" s="15"/>
      <c r="Q1004" s="15"/>
      <c r="R1004" s="15"/>
      <c r="S1004" s="15"/>
      <c r="T1004" s="15"/>
      <c r="U1004" s="15"/>
      <c r="V1004" s="15"/>
      <c r="W1004" s="15"/>
      <c r="X1004" s="15"/>
      <c r="Y1004" s="15"/>
      <c r="Z1004" s="15"/>
      <c r="AA1004" s="15"/>
    </row>
    <row r="1005">
      <c r="A1005" s="15"/>
      <c r="B1005" s="15"/>
      <c r="C1005" s="15"/>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row>
    <row r="1006">
      <c r="A1006" s="15"/>
      <c r="B1006" s="15"/>
      <c r="C1006" s="15"/>
      <c r="D1006" s="15"/>
      <c r="E1006" s="15"/>
      <c r="F1006" s="15"/>
      <c r="G1006" s="15"/>
      <c r="H1006" s="15"/>
      <c r="I1006" s="15"/>
      <c r="J1006" s="15"/>
      <c r="K1006" s="15"/>
      <c r="L1006" s="15"/>
      <c r="M1006" s="15"/>
      <c r="N1006" s="15"/>
      <c r="O1006" s="15"/>
      <c r="P1006" s="15"/>
      <c r="Q1006" s="15"/>
      <c r="R1006" s="15"/>
      <c r="S1006" s="15"/>
      <c r="T1006" s="15"/>
      <c r="U1006" s="15"/>
      <c r="V1006" s="15"/>
      <c r="W1006" s="15"/>
      <c r="X1006" s="15"/>
      <c r="Y1006" s="15"/>
      <c r="Z1006" s="15"/>
      <c r="AA1006" s="15"/>
    </row>
    <row r="1007">
      <c r="A1007" s="15"/>
      <c r="B1007" s="15"/>
      <c r="C1007" s="15"/>
      <c r="D1007" s="15"/>
      <c r="E1007" s="15"/>
      <c r="F1007" s="15"/>
      <c r="G1007" s="15"/>
      <c r="H1007" s="15"/>
      <c r="I1007" s="15"/>
      <c r="J1007" s="15"/>
      <c r="K1007" s="15"/>
      <c r="L1007" s="15"/>
      <c r="M1007" s="15"/>
      <c r="N1007" s="15"/>
      <c r="O1007" s="15"/>
      <c r="P1007" s="15"/>
      <c r="Q1007" s="15"/>
      <c r="R1007" s="15"/>
      <c r="S1007" s="15"/>
      <c r="T1007" s="15"/>
      <c r="U1007" s="15"/>
      <c r="V1007" s="15"/>
      <c r="W1007" s="15"/>
      <c r="X1007" s="15"/>
      <c r="Y1007" s="15"/>
      <c r="Z1007" s="15"/>
      <c r="AA1007" s="15"/>
    </row>
    <row r="1008">
      <c r="A1008" s="15"/>
      <c r="B1008" s="15"/>
      <c r="C1008" s="15"/>
      <c r="D1008" s="15"/>
      <c r="E1008" s="15"/>
      <c r="F1008" s="15"/>
      <c r="G1008" s="15"/>
      <c r="H1008" s="15"/>
      <c r="I1008" s="15"/>
      <c r="J1008" s="15"/>
      <c r="K1008" s="15"/>
      <c r="L1008" s="15"/>
      <c r="M1008" s="15"/>
      <c r="N1008" s="15"/>
      <c r="O1008" s="15"/>
      <c r="P1008" s="15"/>
      <c r="Q1008" s="15"/>
      <c r="R1008" s="15"/>
      <c r="S1008" s="15"/>
      <c r="T1008" s="15"/>
      <c r="U1008" s="15"/>
      <c r="V1008" s="15"/>
      <c r="W1008" s="15"/>
      <c r="X1008" s="15"/>
      <c r="Y1008" s="15"/>
      <c r="Z1008" s="15"/>
      <c r="AA1008" s="15"/>
    </row>
    <row r="1009">
      <c r="A1009" s="15"/>
      <c r="B1009" s="15"/>
      <c r="C1009" s="15"/>
      <c r="D1009" s="15"/>
      <c r="E1009" s="15"/>
      <c r="F1009" s="15"/>
      <c r="G1009" s="15"/>
      <c r="H1009" s="15"/>
      <c r="I1009" s="15"/>
      <c r="J1009" s="15"/>
      <c r="K1009" s="15"/>
      <c r="L1009" s="15"/>
      <c r="M1009" s="15"/>
      <c r="N1009" s="15"/>
      <c r="O1009" s="15"/>
      <c r="P1009" s="15"/>
      <c r="Q1009" s="15"/>
      <c r="R1009" s="15"/>
      <c r="S1009" s="15"/>
      <c r="T1009" s="15"/>
      <c r="U1009" s="15"/>
      <c r="V1009" s="15"/>
      <c r="W1009" s="15"/>
      <c r="X1009" s="15"/>
      <c r="Y1009" s="15"/>
      <c r="Z1009" s="15"/>
      <c r="AA1009" s="15"/>
    </row>
    <row r="1010">
      <c r="A1010" s="15"/>
      <c r="B1010" s="15"/>
      <c r="C1010" s="15"/>
      <c r="D1010" s="15"/>
      <c r="E1010" s="15"/>
      <c r="F1010" s="15"/>
      <c r="G1010" s="15"/>
      <c r="H1010" s="15"/>
      <c r="I1010" s="15"/>
      <c r="J1010" s="15"/>
      <c r="K1010" s="15"/>
      <c r="L1010" s="15"/>
      <c r="M1010" s="15"/>
      <c r="N1010" s="15"/>
      <c r="O1010" s="15"/>
      <c r="P1010" s="15"/>
      <c r="Q1010" s="15"/>
      <c r="R1010" s="15"/>
      <c r="S1010" s="15"/>
      <c r="T1010" s="15"/>
      <c r="U1010" s="15"/>
      <c r="V1010" s="15"/>
      <c r="W1010" s="15"/>
      <c r="X1010" s="15"/>
      <c r="Y1010" s="15"/>
      <c r="Z1010" s="15"/>
      <c r="AA1010" s="15"/>
    </row>
    <row r="1011">
      <c r="A1011" s="15"/>
      <c r="B1011" s="15"/>
      <c r="C1011" s="15"/>
      <c r="D1011" s="15"/>
      <c r="E1011" s="15"/>
      <c r="F1011" s="15"/>
      <c r="G1011" s="15"/>
      <c r="H1011" s="15"/>
      <c r="I1011" s="15"/>
      <c r="J1011" s="15"/>
      <c r="K1011" s="15"/>
      <c r="L1011" s="15"/>
      <c r="M1011" s="15"/>
      <c r="N1011" s="15"/>
      <c r="O1011" s="15"/>
      <c r="P1011" s="15"/>
      <c r="Q1011" s="15"/>
      <c r="R1011" s="15"/>
      <c r="S1011" s="15"/>
      <c r="T1011" s="15"/>
      <c r="U1011" s="15"/>
      <c r="V1011" s="15"/>
      <c r="W1011" s="15"/>
      <c r="X1011" s="15"/>
      <c r="Y1011" s="15"/>
      <c r="Z1011" s="15"/>
      <c r="AA1011" s="15"/>
    </row>
    <row r="1012">
      <c r="A1012" s="15"/>
      <c r="B1012" s="15"/>
      <c r="C1012" s="15"/>
      <c r="D1012" s="15"/>
      <c r="E1012" s="15"/>
      <c r="F1012" s="15"/>
      <c r="G1012" s="15"/>
      <c r="H1012" s="15"/>
      <c r="I1012" s="15"/>
      <c r="J1012" s="15"/>
      <c r="K1012" s="15"/>
      <c r="L1012" s="15"/>
      <c r="M1012" s="15"/>
      <c r="N1012" s="15"/>
      <c r="O1012" s="15"/>
      <c r="P1012" s="15"/>
      <c r="Q1012" s="15"/>
      <c r="R1012" s="15"/>
      <c r="S1012" s="15"/>
      <c r="T1012" s="15"/>
      <c r="U1012" s="15"/>
      <c r="V1012" s="15"/>
      <c r="W1012" s="15"/>
      <c r="X1012" s="15"/>
      <c r="Y1012" s="15"/>
      <c r="Z1012" s="15"/>
      <c r="AA1012" s="15"/>
    </row>
    <row r="1013">
      <c r="A1013" s="15"/>
      <c r="B1013" s="15"/>
      <c r="C1013" s="15"/>
      <c r="D1013" s="15"/>
      <c r="E1013" s="15"/>
      <c r="F1013" s="15"/>
      <c r="G1013" s="15"/>
      <c r="H1013" s="15"/>
      <c r="I1013" s="15"/>
      <c r="J1013" s="15"/>
      <c r="K1013" s="15"/>
      <c r="L1013" s="15"/>
      <c r="M1013" s="15"/>
      <c r="N1013" s="15"/>
      <c r="O1013" s="15"/>
      <c r="P1013" s="15"/>
      <c r="Q1013" s="15"/>
      <c r="R1013" s="15"/>
      <c r="S1013" s="15"/>
      <c r="T1013" s="15"/>
      <c r="U1013" s="15"/>
      <c r="V1013" s="15"/>
      <c r="W1013" s="15"/>
      <c r="X1013" s="15"/>
      <c r="Y1013" s="15"/>
      <c r="Z1013" s="15"/>
      <c r="AA1013" s="15"/>
    </row>
    <row r="1014">
      <c r="A1014" s="15"/>
      <c r="B1014" s="15"/>
      <c r="C1014" s="15"/>
      <c r="D1014" s="15"/>
      <c r="E1014" s="15"/>
      <c r="F1014" s="15"/>
      <c r="G1014" s="15"/>
      <c r="H1014" s="15"/>
      <c r="I1014" s="15"/>
      <c r="J1014" s="15"/>
      <c r="K1014" s="15"/>
      <c r="L1014" s="15"/>
      <c r="M1014" s="15"/>
      <c r="N1014" s="15"/>
      <c r="O1014" s="15"/>
      <c r="P1014" s="15"/>
      <c r="Q1014" s="15"/>
      <c r="R1014" s="15"/>
      <c r="S1014" s="15"/>
      <c r="T1014" s="15"/>
      <c r="U1014" s="15"/>
      <c r="V1014" s="15"/>
      <c r="W1014" s="15"/>
      <c r="X1014" s="15"/>
      <c r="Y1014" s="15"/>
      <c r="Z1014" s="15"/>
      <c r="AA1014" s="15"/>
    </row>
    <row r="1015">
      <c r="A1015" s="15"/>
      <c r="B1015" s="15"/>
      <c r="C1015" s="15"/>
      <c r="D1015" s="15"/>
      <c r="E1015" s="15"/>
      <c r="F1015" s="15"/>
      <c r="G1015" s="15"/>
      <c r="H1015" s="15"/>
      <c r="I1015" s="15"/>
      <c r="J1015" s="15"/>
      <c r="K1015" s="15"/>
      <c r="L1015" s="15"/>
      <c r="M1015" s="15"/>
      <c r="N1015" s="15"/>
      <c r="O1015" s="15"/>
      <c r="P1015" s="15"/>
      <c r="Q1015" s="15"/>
      <c r="R1015" s="15"/>
      <c r="S1015" s="15"/>
      <c r="T1015" s="15"/>
      <c r="U1015" s="15"/>
      <c r="V1015" s="15"/>
      <c r="W1015" s="15"/>
      <c r="X1015" s="15"/>
      <c r="Y1015" s="15"/>
      <c r="Z1015" s="15"/>
      <c r="AA1015" s="15"/>
    </row>
    <row r="1016">
      <c r="A1016" s="15"/>
      <c r="B1016" s="15"/>
      <c r="C1016" s="15"/>
      <c r="D1016" s="15"/>
      <c r="E1016" s="15"/>
      <c r="F1016" s="15"/>
      <c r="G1016" s="15"/>
      <c r="H1016" s="15"/>
      <c r="I1016" s="15"/>
      <c r="J1016" s="15"/>
      <c r="K1016" s="15"/>
      <c r="L1016" s="15"/>
      <c r="M1016" s="15"/>
      <c r="N1016" s="15"/>
      <c r="O1016" s="15"/>
      <c r="P1016" s="15"/>
      <c r="Q1016" s="15"/>
      <c r="R1016" s="15"/>
      <c r="S1016" s="15"/>
      <c r="T1016" s="15"/>
      <c r="U1016" s="15"/>
      <c r="V1016" s="15"/>
      <c r="W1016" s="15"/>
      <c r="X1016" s="15"/>
      <c r="Y1016" s="15"/>
      <c r="Z1016" s="15"/>
      <c r="AA1016" s="15"/>
    </row>
    <row r="1017">
      <c r="A1017" s="15"/>
      <c r="B1017" s="15"/>
      <c r="C1017" s="15"/>
      <c r="D1017" s="15"/>
      <c r="E1017" s="15"/>
      <c r="F1017" s="15"/>
      <c r="G1017" s="15"/>
      <c r="H1017" s="15"/>
      <c r="I1017" s="15"/>
      <c r="J1017" s="15"/>
      <c r="K1017" s="15"/>
      <c r="L1017" s="15"/>
      <c r="M1017" s="15"/>
      <c r="N1017" s="15"/>
      <c r="O1017" s="15"/>
      <c r="P1017" s="15"/>
      <c r="Q1017" s="15"/>
      <c r="R1017" s="15"/>
      <c r="S1017" s="15"/>
      <c r="T1017" s="15"/>
      <c r="U1017" s="15"/>
      <c r="V1017" s="15"/>
      <c r="W1017" s="15"/>
      <c r="X1017" s="15"/>
      <c r="Y1017" s="15"/>
      <c r="Z1017" s="15"/>
      <c r="AA1017" s="15"/>
    </row>
    <row r="1018">
      <c r="A1018" s="15"/>
      <c r="B1018" s="15"/>
      <c r="C1018" s="15"/>
      <c r="D1018" s="15"/>
      <c r="E1018" s="15"/>
      <c r="F1018" s="15"/>
      <c r="G1018" s="15"/>
      <c r="H1018" s="15"/>
      <c r="I1018" s="15"/>
      <c r="J1018" s="15"/>
      <c r="K1018" s="15"/>
      <c r="L1018" s="15"/>
      <c r="M1018" s="15"/>
      <c r="N1018" s="15"/>
      <c r="O1018" s="15"/>
      <c r="P1018" s="15"/>
      <c r="Q1018" s="15"/>
      <c r="R1018" s="15"/>
      <c r="S1018" s="15"/>
      <c r="T1018" s="15"/>
      <c r="U1018" s="15"/>
      <c r="V1018" s="15"/>
      <c r="W1018" s="15"/>
      <c r="X1018" s="15"/>
      <c r="Y1018" s="15"/>
      <c r="Z1018" s="15"/>
      <c r="AA1018" s="15"/>
    </row>
    <row r="1019">
      <c r="A1019" s="15"/>
      <c r="B1019" s="15"/>
      <c r="C1019" s="15"/>
      <c r="D1019" s="15"/>
      <c r="E1019" s="15"/>
      <c r="F1019" s="15"/>
      <c r="G1019" s="15"/>
      <c r="H1019" s="15"/>
      <c r="I1019" s="15"/>
      <c r="J1019" s="15"/>
      <c r="K1019" s="15"/>
      <c r="L1019" s="15"/>
      <c r="M1019" s="15"/>
      <c r="N1019" s="15"/>
      <c r="O1019" s="15"/>
      <c r="P1019" s="15"/>
      <c r="Q1019" s="15"/>
      <c r="R1019" s="15"/>
      <c r="S1019" s="15"/>
      <c r="T1019" s="15"/>
      <c r="U1019" s="15"/>
      <c r="V1019" s="15"/>
      <c r="W1019" s="15"/>
      <c r="X1019" s="15"/>
      <c r="Y1019" s="15"/>
      <c r="Z1019" s="15"/>
      <c r="AA1019" s="15"/>
    </row>
    <row r="1020">
      <c r="A1020" s="15"/>
      <c r="B1020" s="15"/>
      <c r="C1020" s="15"/>
      <c r="D1020" s="15"/>
      <c r="E1020" s="15"/>
      <c r="F1020" s="15"/>
      <c r="G1020" s="15"/>
      <c r="H1020" s="15"/>
      <c r="I1020" s="15"/>
      <c r="J1020" s="15"/>
      <c r="K1020" s="15"/>
      <c r="L1020" s="15"/>
      <c r="M1020" s="15"/>
      <c r="N1020" s="15"/>
      <c r="O1020" s="15"/>
      <c r="P1020" s="15"/>
      <c r="Q1020" s="15"/>
      <c r="R1020" s="15"/>
      <c r="S1020" s="15"/>
      <c r="T1020" s="15"/>
      <c r="U1020" s="15"/>
      <c r="V1020" s="15"/>
      <c r="W1020" s="15"/>
      <c r="X1020" s="15"/>
      <c r="Y1020" s="15"/>
      <c r="Z1020" s="15"/>
      <c r="AA1020" s="15"/>
    </row>
    <row r="1021">
      <c r="A1021" s="15"/>
      <c r="B1021" s="15"/>
      <c r="C1021" s="15"/>
      <c r="D1021" s="15"/>
      <c r="E1021" s="15"/>
      <c r="F1021" s="15"/>
      <c r="G1021" s="15"/>
      <c r="H1021" s="15"/>
      <c r="I1021" s="15"/>
      <c r="J1021" s="15"/>
      <c r="K1021" s="15"/>
      <c r="L1021" s="15"/>
      <c r="M1021" s="15"/>
      <c r="N1021" s="15"/>
      <c r="O1021" s="15"/>
      <c r="P1021" s="15"/>
      <c r="Q1021" s="15"/>
      <c r="R1021" s="15"/>
      <c r="S1021" s="15"/>
      <c r="T1021" s="15"/>
      <c r="U1021" s="15"/>
      <c r="V1021" s="15"/>
      <c r="W1021" s="15"/>
      <c r="X1021" s="15"/>
      <c r="Y1021" s="15"/>
      <c r="Z1021" s="15"/>
      <c r="AA1021" s="15"/>
    </row>
    <row r="1022">
      <c r="A1022" s="15"/>
      <c r="B1022" s="15"/>
      <c r="C1022" s="15"/>
      <c r="D1022" s="15"/>
      <c r="E1022" s="15"/>
      <c r="F1022" s="15"/>
      <c r="G1022" s="15"/>
      <c r="H1022" s="15"/>
      <c r="I1022" s="15"/>
      <c r="J1022" s="15"/>
      <c r="K1022" s="15"/>
      <c r="L1022" s="15"/>
      <c r="M1022" s="15"/>
      <c r="N1022" s="15"/>
      <c r="O1022" s="15"/>
      <c r="P1022" s="15"/>
      <c r="Q1022" s="15"/>
      <c r="R1022" s="15"/>
      <c r="S1022" s="15"/>
      <c r="T1022" s="15"/>
      <c r="U1022" s="15"/>
      <c r="V1022" s="15"/>
      <c r="W1022" s="15"/>
      <c r="X1022" s="15"/>
      <c r="Y1022" s="15"/>
      <c r="Z1022" s="15"/>
      <c r="AA1022" s="15"/>
    </row>
    <row r="1023">
      <c r="A1023" s="15"/>
      <c r="B1023" s="15"/>
      <c r="C1023" s="15"/>
      <c r="D1023" s="15"/>
      <c r="E1023" s="15"/>
      <c r="F1023" s="15"/>
      <c r="G1023" s="15"/>
      <c r="H1023" s="15"/>
      <c r="I1023" s="15"/>
      <c r="J1023" s="15"/>
      <c r="K1023" s="15"/>
      <c r="L1023" s="15"/>
      <c r="M1023" s="15"/>
      <c r="N1023" s="15"/>
      <c r="O1023" s="15"/>
      <c r="P1023" s="15"/>
      <c r="Q1023" s="15"/>
      <c r="R1023" s="15"/>
      <c r="S1023" s="15"/>
      <c r="T1023" s="15"/>
      <c r="U1023" s="15"/>
      <c r="V1023" s="15"/>
      <c r="W1023" s="15"/>
      <c r="X1023" s="15"/>
      <c r="Y1023" s="15"/>
      <c r="Z1023" s="15"/>
      <c r="AA1023" s="15"/>
    </row>
    <row r="1024">
      <c r="A1024" s="15"/>
      <c r="B1024" s="15"/>
      <c r="C1024" s="15"/>
      <c r="D1024" s="15"/>
      <c r="E1024" s="15"/>
      <c r="F1024" s="15"/>
      <c r="G1024" s="15"/>
      <c r="H1024" s="15"/>
      <c r="I1024" s="15"/>
      <c r="J1024" s="15"/>
      <c r="K1024" s="15"/>
      <c r="L1024" s="15"/>
      <c r="M1024" s="15"/>
      <c r="N1024" s="15"/>
      <c r="O1024" s="15"/>
      <c r="P1024" s="15"/>
      <c r="Q1024" s="15"/>
      <c r="R1024" s="15"/>
      <c r="S1024" s="15"/>
      <c r="T1024" s="15"/>
      <c r="U1024" s="15"/>
      <c r="V1024" s="15"/>
      <c r="W1024" s="15"/>
      <c r="X1024" s="15"/>
      <c r="Y1024" s="15"/>
      <c r="Z1024" s="15"/>
      <c r="AA1024" s="15"/>
    </row>
    <row r="1025">
      <c r="A1025" s="15"/>
      <c r="B1025" s="15"/>
      <c r="C1025" s="15"/>
      <c r="D1025" s="15"/>
      <c r="E1025" s="15"/>
      <c r="F1025" s="15"/>
      <c r="G1025" s="15"/>
      <c r="H1025" s="15"/>
      <c r="I1025" s="15"/>
      <c r="J1025" s="15"/>
      <c r="K1025" s="15"/>
      <c r="L1025" s="15"/>
      <c r="M1025" s="15"/>
      <c r="N1025" s="15"/>
      <c r="O1025" s="15"/>
      <c r="P1025" s="15"/>
      <c r="Q1025" s="15"/>
      <c r="R1025" s="15"/>
      <c r="S1025" s="15"/>
      <c r="T1025" s="15"/>
      <c r="U1025" s="15"/>
      <c r="V1025" s="15"/>
      <c r="W1025" s="15"/>
      <c r="X1025" s="15"/>
      <c r="Y1025" s="15"/>
      <c r="Z1025" s="15"/>
      <c r="AA1025" s="15"/>
    </row>
    <row r="1026">
      <c r="A1026" s="15"/>
      <c r="B1026" s="15"/>
      <c r="C1026" s="15"/>
      <c r="D1026" s="15"/>
      <c r="E1026" s="15"/>
      <c r="F1026" s="15"/>
      <c r="G1026" s="15"/>
      <c r="H1026" s="15"/>
      <c r="I1026" s="15"/>
      <c r="J1026" s="15"/>
      <c r="K1026" s="15"/>
      <c r="L1026" s="15"/>
      <c r="M1026" s="15"/>
      <c r="N1026" s="15"/>
      <c r="O1026" s="15"/>
      <c r="P1026" s="15"/>
      <c r="Q1026" s="15"/>
      <c r="R1026" s="15"/>
      <c r="S1026" s="15"/>
      <c r="T1026" s="15"/>
      <c r="U1026" s="15"/>
      <c r="V1026" s="15"/>
      <c r="W1026" s="15"/>
      <c r="X1026" s="15"/>
      <c r="Y1026" s="15"/>
      <c r="Z1026" s="15"/>
      <c r="AA1026" s="15"/>
    </row>
    <row r="1027">
      <c r="A1027" s="15"/>
      <c r="B1027" s="15"/>
      <c r="C1027" s="15"/>
      <c r="D1027" s="15"/>
      <c r="E1027" s="15"/>
      <c r="F1027" s="15"/>
      <c r="G1027" s="15"/>
      <c r="H1027" s="15"/>
      <c r="I1027" s="15"/>
      <c r="J1027" s="15"/>
      <c r="K1027" s="15"/>
      <c r="L1027" s="15"/>
      <c r="M1027" s="15"/>
      <c r="N1027" s="15"/>
      <c r="O1027" s="15"/>
      <c r="P1027" s="15"/>
      <c r="Q1027" s="15"/>
      <c r="R1027" s="15"/>
      <c r="S1027" s="15"/>
      <c r="T1027" s="15"/>
      <c r="U1027" s="15"/>
      <c r="V1027" s="15"/>
      <c r="W1027" s="15"/>
      <c r="X1027" s="15"/>
      <c r="Y1027" s="15"/>
      <c r="Z1027" s="15"/>
      <c r="AA1027" s="15"/>
    </row>
    <row r="1028">
      <c r="A1028" s="15"/>
      <c r="B1028" s="15"/>
      <c r="C1028" s="15"/>
      <c r="D1028" s="15"/>
      <c r="E1028" s="15"/>
      <c r="F1028" s="15"/>
      <c r="G1028" s="15"/>
      <c r="H1028" s="15"/>
      <c r="I1028" s="15"/>
      <c r="J1028" s="15"/>
      <c r="K1028" s="15"/>
      <c r="L1028" s="15"/>
      <c r="M1028" s="15"/>
      <c r="N1028" s="15"/>
      <c r="O1028" s="15"/>
      <c r="P1028" s="15"/>
      <c r="Q1028" s="15"/>
      <c r="R1028" s="15"/>
      <c r="S1028" s="15"/>
      <c r="T1028" s="15"/>
      <c r="U1028" s="15"/>
      <c r="V1028" s="15"/>
      <c r="W1028" s="15"/>
      <c r="X1028" s="15"/>
      <c r="Y1028" s="15"/>
      <c r="Z1028" s="15"/>
      <c r="AA1028" s="15"/>
    </row>
    <row r="1029">
      <c r="A1029" s="15"/>
      <c r="B1029" s="15"/>
      <c r="C1029" s="15"/>
      <c r="D1029" s="15"/>
      <c r="E1029" s="15"/>
      <c r="F1029" s="15"/>
      <c r="G1029" s="15"/>
      <c r="H1029" s="15"/>
      <c r="I1029" s="15"/>
      <c r="J1029" s="15"/>
      <c r="K1029" s="15"/>
      <c r="L1029" s="15"/>
      <c r="M1029" s="15"/>
      <c r="N1029" s="15"/>
      <c r="O1029" s="15"/>
      <c r="P1029" s="15"/>
      <c r="Q1029" s="15"/>
      <c r="R1029" s="15"/>
      <c r="S1029" s="15"/>
      <c r="T1029" s="15"/>
      <c r="U1029" s="15"/>
      <c r="V1029" s="15"/>
      <c r="W1029" s="15"/>
      <c r="X1029" s="15"/>
      <c r="Y1029" s="15"/>
      <c r="Z1029" s="15"/>
      <c r="AA1029" s="15"/>
    </row>
    <row r="1030">
      <c r="A1030" s="15"/>
      <c r="B1030" s="15"/>
      <c r="C1030" s="15"/>
      <c r="D1030" s="15"/>
      <c r="E1030" s="15"/>
      <c r="F1030" s="15"/>
      <c r="G1030" s="15"/>
      <c r="H1030" s="15"/>
      <c r="I1030" s="15"/>
      <c r="J1030" s="15"/>
      <c r="K1030" s="15"/>
      <c r="L1030" s="15"/>
      <c r="M1030" s="15"/>
      <c r="N1030" s="15"/>
      <c r="O1030" s="15"/>
      <c r="P1030" s="15"/>
      <c r="Q1030" s="15"/>
      <c r="R1030" s="15"/>
      <c r="S1030" s="15"/>
      <c r="T1030" s="15"/>
      <c r="U1030" s="15"/>
      <c r="V1030" s="15"/>
      <c r="W1030" s="15"/>
      <c r="X1030" s="15"/>
      <c r="Y1030" s="15"/>
      <c r="Z1030" s="15"/>
      <c r="AA1030" s="15"/>
    </row>
    <row r="1031">
      <c r="A1031" s="15"/>
      <c r="B1031" s="15"/>
      <c r="C1031" s="15"/>
      <c r="D1031" s="15"/>
      <c r="E1031" s="15"/>
      <c r="F1031" s="15"/>
      <c r="G1031" s="15"/>
      <c r="H1031" s="15"/>
      <c r="I1031" s="15"/>
      <c r="J1031" s="15"/>
      <c r="K1031" s="15"/>
      <c r="L1031" s="15"/>
      <c r="M1031" s="15"/>
      <c r="N1031" s="15"/>
      <c r="O1031" s="15"/>
      <c r="P1031" s="15"/>
      <c r="Q1031" s="15"/>
      <c r="R1031" s="15"/>
      <c r="S1031" s="15"/>
      <c r="T1031" s="15"/>
      <c r="U1031" s="15"/>
      <c r="V1031" s="15"/>
      <c r="W1031" s="15"/>
      <c r="X1031" s="15"/>
      <c r="Y1031" s="15"/>
      <c r="Z1031" s="15"/>
      <c r="AA1031" s="15"/>
    </row>
    <row r="1032">
      <c r="A1032" s="15"/>
      <c r="B1032" s="15"/>
      <c r="C1032" s="15"/>
      <c r="D1032" s="15"/>
      <c r="E1032" s="15"/>
      <c r="F1032" s="15"/>
      <c r="G1032" s="15"/>
      <c r="H1032" s="15"/>
      <c r="I1032" s="15"/>
      <c r="J1032" s="15"/>
      <c r="K1032" s="15"/>
      <c r="L1032" s="15"/>
      <c r="M1032" s="15"/>
      <c r="N1032" s="15"/>
      <c r="O1032" s="15"/>
      <c r="P1032" s="15"/>
      <c r="Q1032" s="15"/>
      <c r="R1032" s="15"/>
      <c r="S1032" s="15"/>
      <c r="T1032" s="15"/>
      <c r="U1032" s="15"/>
      <c r="V1032" s="15"/>
      <c r="W1032" s="15"/>
      <c r="X1032" s="15"/>
      <c r="Y1032" s="15"/>
      <c r="Z1032" s="15"/>
      <c r="AA1032" s="15"/>
    </row>
    <row r="1033">
      <c r="A1033" s="15"/>
      <c r="B1033" s="15"/>
      <c r="C1033" s="15"/>
      <c r="D1033" s="15"/>
      <c r="E1033" s="15"/>
      <c r="F1033" s="15"/>
      <c r="G1033" s="15"/>
      <c r="H1033" s="15"/>
      <c r="I1033" s="15"/>
      <c r="J1033" s="15"/>
      <c r="K1033" s="15"/>
      <c r="L1033" s="15"/>
      <c r="M1033" s="15"/>
      <c r="N1033" s="15"/>
      <c r="O1033" s="15"/>
      <c r="P1033" s="15"/>
      <c r="Q1033" s="15"/>
      <c r="R1033" s="15"/>
      <c r="S1033" s="15"/>
      <c r="T1033" s="15"/>
      <c r="U1033" s="15"/>
      <c r="V1033" s="15"/>
      <c r="W1033" s="15"/>
      <c r="X1033" s="15"/>
      <c r="Y1033" s="15"/>
      <c r="Z1033" s="15"/>
      <c r="AA1033" s="15"/>
    </row>
    <row r="1034">
      <c r="A1034" s="15"/>
      <c r="B1034" s="15"/>
      <c r="C1034" s="15"/>
      <c r="D1034" s="15"/>
      <c r="E1034" s="15"/>
      <c r="F1034" s="15"/>
      <c r="G1034" s="15"/>
      <c r="H1034" s="15"/>
      <c r="I1034" s="15"/>
      <c r="J1034" s="15"/>
      <c r="K1034" s="15"/>
      <c r="L1034" s="15"/>
      <c r="M1034" s="15"/>
      <c r="N1034" s="15"/>
      <c r="O1034" s="15"/>
      <c r="P1034" s="15"/>
      <c r="Q1034" s="15"/>
      <c r="R1034" s="15"/>
      <c r="S1034" s="15"/>
      <c r="T1034" s="15"/>
      <c r="U1034" s="15"/>
      <c r="V1034" s="15"/>
      <c r="W1034" s="15"/>
      <c r="X1034" s="15"/>
      <c r="Y1034" s="15"/>
      <c r="Z1034" s="15"/>
      <c r="AA1034" s="15"/>
    </row>
    <row r="1035">
      <c r="A1035" s="15"/>
      <c r="B1035" s="15"/>
      <c r="C1035" s="15"/>
      <c r="D1035" s="15"/>
      <c r="E1035" s="15"/>
      <c r="F1035" s="15"/>
      <c r="G1035" s="15"/>
      <c r="H1035" s="15"/>
      <c r="I1035" s="15"/>
      <c r="J1035" s="15"/>
      <c r="K1035" s="15"/>
      <c r="L1035" s="15"/>
      <c r="M1035" s="15"/>
      <c r="N1035" s="15"/>
      <c r="O1035" s="15"/>
      <c r="P1035" s="15"/>
      <c r="Q1035" s="15"/>
      <c r="R1035" s="15"/>
      <c r="S1035" s="15"/>
      <c r="T1035" s="15"/>
      <c r="U1035" s="15"/>
      <c r="V1035" s="15"/>
      <c r="W1035" s="15"/>
      <c r="X1035" s="15"/>
      <c r="Y1035" s="15"/>
      <c r="Z1035" s="15"/>
      <c r="AA1035" s="15"/>
    </row>
    <row r="1036">
      <c r="A1036" s="15"/>
      <c r="B1036" s="15"/>
      <c r="C1036" s="15"/>
      <c r="D1036" s="15"/>
      <c r="E1036" s="15"/>
      <c r="F1036" s="15"/>
      <c r="G1036" s="15"/>
      <c r="H1036" s="15"/>
      <c r="I1036" s="15"/>
      <c r="J1036" s="15"/>
      <c r="K1036" s="15"/>
      <c r="L1036" s="15"/>
      <c r="M1036" s="15"/>
      <c r="N1036" s="15"/>
      <c r="O1036" s="15"/>
      <c r="P1036" s="15"/>
      <c r="Q1036" s="15"/>
      <c r="R1036" s="15"/>
      <c r="S1036" s="15"/>
      <c r="T1036" s="15"/>
      <c r="U1036" s="15"/>
      <c r="V1036" s="15"/>
      <c r="W1036" s="15"/>
      <c r="X1036" s="15"/>
      <c r="Y1036" s="15"/>
      <c r="Z1036" s="15"/>
      <c r="AA1036" s="15"/>
    </row>
    <row r="1037">
      <c r="A1037" s="15"/>
      <c r="B1037" s="15"/>
      <c r="C1037" s="15"/>
      <c r="D1037" s="15"/>
      <c r="E1037" s="15"/>
      <c r="F1037" s="15"/>
      <c r="G1037" s="15"/>
      <c r="H1037" s="15"/>
      <c r="I1037" s="15"/>
      <c r="J1037" s="15"/>
      <c r="K1037" s="15"/>
      <c r="L1037" s="15"/>
      <c r="M1037" s="15"/>
      <c r="N1037" s="15"/>
      <c r="O1037" s="15"/>
      <c r="P1037" s="15"/>
      <c r="Q1037" s="15"/>
      <c r="R1037" s="15"/>
      <c r="S1037" s="15"/>
      <c r="T1037" s="15"/>
      <c r="U1037" s="15"/>
      <c r="V1037" s="15"/>
      <c r="W1037" s="15"/>
      <c r="X1037" s="15"/>
      <c r="Y1037" s="15"/>
      <c r="Z1037" s="15"/>
      <c r="AA1037" s="15"/>
    </row>
    <row r="1038">
      <c r="A1038" s="15"/>
      <c r="B1038" s="15"/>
      <c r="C1038" s="15"/>
      <c r="D1038" s="15"/>
      <c r="E1038" s="15"/>
      <c r="F1038" s="15"/>
      <c r="G1038" s="15"/>
      <c r="H1038" s="15"/>
      <c r="I1038" s="15"/>
      <c r="J1038" s="15"/>
      <c r="K1038" s="15"/>
      <c r="L1038" s="15"/>
      <c r="M1038" s="15"/>
      <c r="N1038" s="15"/>
      <c r="O1038" s="15"/>
      <c r="P1038" s="15"/>
      <c r="Q1038" s="15"/>
      <c r="R1038" s="15"/>
      <c r="S1038" s="15"/>
      <c r="T1038" s="15"/>
      <c r="U1038" s="15"/>
      <c r="V1038" s="15"/>
      <c r="W1038" s="15"/>
      <c r="X1038" s="15"/>
      <c r="Y1038" s="15"/>
      <c r="Z1038" s="15"/>
      <c r="AA1038" s="15"/>
    </row>
    <row r="1039">
      <c r="A1039" s="15"/>
      <c r="B1039" s="15"/>
      <c r="C1039" s="15"/>
      <c r="D1039" s="15"/>
      <c r="E1039" s="15"/>
      <c r="F1039" s="15"/>
      <c r="G1039" s="15"/>
      <c r="H1039" s="15"/>
      <c r="I1039" s="15"/>
      <c r="J1039" s="15"/>
      <c r="K1039" s="15"/>
      <c r="L1039" s="15"/>
      <c r="M1039" s="15"/>
      <c r="N1039" s="15"/>
      <c r="O1039" s="15"/>
      <c r="P1039" s="15"/>
      <c r="Q1039" s="15"/>
      <c r="R1039" s="15"/>
      <c r="S1039" s="15"/>
      <c r="T1039" s="15"/>
      <c r="U1039" s="15"/>
      <c r="V1039" s="15"/>
      <c r="W1039" s="15"/>
      <c r="X1039" s="15"/>
      <c r="Y1039" s="15"/>
      <c r="Z1039" s="15"/>
      <c r="AA1039" s="15"/>
    </row>
    <row r="1040">
      <c r="A1040" s="15"/>
      <c r="B1040" s="15"/>
      <c r="C1040" s="15"/>
      <c r="D1040" s="15"/>
      <c r="E1040" s="15"/>
      <c r="F1040" s="15"/>
      <c r="G1040" s="15"/>
      <c r="H1040" s="15"/>
      <c r="I1040" s="15"/>
      <c r="J1040" s="15"/>
      <c r="K1040" s="15"/>
      <c r="L1040" s="15"/>
      <c r="M1040" s="15"/>
      <c r="N1040" s="15"/>
      <c r="O1040" s="15"/>
      <c r="P1040" s="15"/>
      <c r="Q1040" s="15"/>
      <c r="R1040" s="15"/>
      <c r="S1040" s="15"/>
      <c r="T1040" s="15"/>
      <c r="U1040" s="15"/>
      <c r="V1040" s="15"/>
      <c r="W1040" s="15"/>
      <c r="X1040" s="15"/>
      <c r="Y1040" s="15"/>
      <c r="Z1040" s="15"/>
      <c r="AA1040" s="15"/>
    </row>
    <row r="1041">
      <c r="A1041" s="15"/>
      <c r="B1041" s="15"/>
      <c r="C1041" s="15"/>
      <c r="D1041" s="15"/>
      <c r="E1041" s="15"/>
      <c r="F1041" s="15"/>
      <c r="G1041" s="15"/>
      <c r="H1041" s="15"/>
      <c r="I1041" s="15"/>
      <c r="J1041" s="15"/>
      <c r="K1041" s="15"/>
      <c r="L1041" s="15"/>
      <c r="M1041" s="15"/>
      <c r="N1041" s="15"/>
      <c r="O1041" s="15"/>
      <c r="P1041" s="15"/>
      <c r="Q1041" s="15"/>
      <c r="R1041" s="15"/>
      <c r="S1041" s="15"/>
      <c r="T1041" s="15"/>
      <c r="U1041" s="15"/>
      <c r="V1041" s="15"/>
      <c r="W1041" s="15"/>
      <c r="X1041" s="15"/>
      <c r="Y1041" s="15"/>
      <c r="Z1041" s="15"/>
      <c r="AA1041" s="15"/>
    </row>
    <row r="1042">
      <c r="A1042" s="15"/>
      <c r="B1042" s="15"/>
      <c r="C1042" s="15"/>
      <c r="D1042" s="15"/>
      <c r="E1042" s="15"/>
      <c r="F1042" s="15"/>
      <c r="G1042" s="15"/>
      <c r="H1042" s="15"/>
      <c r="I1042" s="15"/>
      <c r="J1042" s="15"/>
      <c r="K1042" s="15"/>
      <c r="L1042" s="15"/>
      <c r="M1042" s="15"/>
      <c r="N1042" s="15"/>
      <c r="O1042" s="15"/>
      <c r="P1042" s="15"/>
      <c r="Q1042" s="15"/>
      <c r="R1042" s="15"/>
      <c r="S1042" s="15"/>
      <c r="T1042" s="15"/>
      <c r="U1042" s="15"/>
      <c r="V1042" s="15"/>
      <c r="W1042" s="15"/>
      <c r="X1042" s="15"/>
      <c r="Y1042" s="15"/>
      <c r="Z1042" s="15"/>
      <c r="AA1042" s="15"/>
    </row>
    <row r="1043">
      <c r="A1043" s="15"/>
      <c r="B1043" s="15"/>
      <c r="C1043" s="15"/>
      <c r="D1043" s="15"/>
      <c r="E1043" s="15"/>
      <c r="F1043" s="15"/>
      <c r="G1043" s="15"/>
      <c r="H1043" s="15"/>
      <c r="I1043" s="15"/>
      <c r="J1043" s="15"/>
      <c r="K1043" s="15"/>
      <c r="L1043" s="15"/>
      <c r="M1043" s="15"/>
      <c r="N1043" s="15"/>
      <c r="O1043" s="15"/>
      <c r="P1043" s="15"/>
      <c r="Q1043" s="15"/>
      <c r="R1043" s="15"/>
      <c r="S1043" s="15"/>
      <c r="T1043" s="15"/>
      <c r="U1043" s="15"/>
      <c r="V1043" s="15"/>
      <c r="W1043" s="15"/>
      <c r="X1043" s="15"/>
      <c r="Y1043" s="15"/>
      <c r="Z1043" s="15"/>
      <c r="AA1043" s="15"/>
    </row>
    <row r="1044">
      <c r="A1044" s="15"/>
      <c r="B1044" s="15"/>
      <c r="C1044" s="15"/>
      <c r="D1044" s="15"/>
      <c r="E1044" s="15"/>
      <c r="F1044" s="15"/>
      <c r="G1044" s="15"/>
      <c r="H1044" s="15"/>
      <c r="I1044" s="15"/>
      <c r="J1044" s="15"/>
      <c r="K1044" s="15"/>
      <c r="L1044" s="15"/>
      <c r="M1044" s="15"/>
      <c r="N1044" s="15"/>
      <c r="O1044" s="15"/>
      <c r="P1044" s="15"/>
      <c r="Q1044" s="15"/>
      <c r="R1044" s="15"/>
      <c r="S1044" s="15"/>
      <c r="T1044" s="15"/>
      <c r="U1044" s="15"/>
      <c r="V1044" s="15"/>
      <c r="W1044" s="15"/>
      <c r="X1044" s="15"/>
      <c r="Y1044" s="15"/>
      <c r="Z1044" s="15"/>
      <c r="AA1044" s="15"/>
    </row>
    <row r="1045">
      <c r="A1045" s="15"/>
      <c r="B1045" s="15"/>
      <c r="C1045" s="15"/>
      <c r="D1045" s="15"/>
      <c r="E1045" s="15"/>
      <c r="F1045" s="15"/>
      <c r="G1045" s="15"/>
      <c r="H1045" s="15"/>
      <c r="I1045" s="15"/>
      <c r="J1045" s="15"/>
      <c r="K1045" s="15"/>
      <c r="L1045" s="15"/>
      <c r="M1045" s="15"/>
      <c r="N1045" s="15"/>
      <c r="O1045" s="15"/>
      <c r="P1045" s="15"/>
      <c r="Q1045" s="15"/>
      <c r="R1045" s="15"/>
      <c r="S1045" s="15"/>
      <c r="T1045" s="15"/>
      <c r="U1045" s="15"/>
      <c r="V1045" s="15"/>
      <c r="W1045" s="15"/>
      <c r="X1045" s="15"/>
      <c r="Y1045" s="15"/>
      <c r="Z1045" s="15"/>
      <c r="AA1045" s="15"/>
    </row>
    <row r="1046">
      <c r="A1046" s="15"/>
      <c r="B1046" s="15"/>
      <c r="C1046" s="15"/>
      <c r="D1046" s="15"/>
      <c r="E1046" s="15"/>
      <c r="F1046" s="15"/>
      <c r="G1046" s="15"/>
      <c r="H1046" s="15"/>
      <c r="I1046" s="15"/>
      <c r="J1046" s="15"/>
      <c r="K1046" s="15"/>
      <c r="L1046" s="15"/>
      <c r="M1046" s="15"/>
      <c r="N1046" s="15"/>
      <c r="O1046" s="15"/>
      <c r="P1046" s="15"/>
      <c r="Q1046" s="15"/>
      <c r="R1046" s="15"/>
      <c r="S1046" s="15"/>
      <c r="T1046" s="15"/>
      <c r="U1046" s="15"/>
      <c r="V1046" s="15"/>
      <c r="W1046" s="15"/>
      <c r="X1046" s="15"/>
      <c r="Y1046" s="15"/>
      <c r="Z1046" s="15"/>
      <c r="AA1046" s="15"/>
    </row>
    <row r="1047">
      <c r="A1047" s="15"/>
      <c r="B1047" s="15"/>
      <c r="C1047" s="15"/>
      <c r="D1047" s="15"/>
      <c r="E1047" s="15"/>
      <c r="F1047" s="15"/>
      <c r="G1047" s="15"/>
      <c r="H1047" s="15"/>
      <c r="I1047" s="15"/>
      <c r="J1047" s="15"/>
      <c r="K1047" s="15"/>
      <c r="L1047" s="15"/>
      <c r="M1047" s="15"/>
      <c r="N1047" s="15"/>
      <c r="O1047" s="15"/>
      <c r="P1047" s="15"/>
      <c r="Q1047" s="15"/>
      <c r="R1047" s="15"/>
      <c r="S1047" s="15"/>
      <c r="T1047" s="15"/>
      <c r="U1047" s="15"/>
      <c r="V1047" s="15"/>
      <c r="W1047" s="15"/>
      <c r="X1047" s="15"/>
      <c r="Y1047" s="15"/>
      <c r="Z1047" s="15"/>
      <c r="AA1047" s="15"/>
    </row>
    <row r="1048">
      <c r="A1048" s="15"/>
      <c r="B1048" s="15"/>
      <c r="C1048" s="15"/>
      <c r="D1048" s="15"/>
      <c r="E1048" s="15"/>
      <c r="F1048" s="15"/>
      <c r="G1048" s="15"/>
      <c r="H1048" s="15"/>
      <c r="I1048" s="15"/>
      <c r="J1048" s="15"/>
      <c r="K1048" s="15"/>
      <c r="L1048" s="15"/>
      <c r="M1048" s="15"/>
      <c r="N1048" s="15"/>
      <c r="O1048" s="15"/>
      <c r="P1048" s="15"/>
      <c r="Q1048" s="15"/>
      <c r="R1048" s="15"/>
      <c r="S1048" s="15"/>
      <c r="T1048" s="15"/>
      <c r="U1048" s="15"/>
      <c r="V1048" s="15"/>
      <c r="W1048" s="15"/>
      <c r="X1048" s="15"/>
      <c r="Y1048" s="15"/>
      <c r="Z1048" s="15"/>
      <c r="AA1048" s="15"/>
    </row>
    <row r="1049">
      <c r="A1049" s="15"/>
      <c r="B1049" s="15"/>
      <c r="C1049" s="15"/>
      <c r="D1049" s="15"/>
      <c r="E1049" s="15"/>
      <c r="F1049" s="15"/>
      <c r="G1049" s="15"/>
      <c r="H1049" s="15"/>
      <c r="I1049" s="15"/>
      <c r="J1049" s="15"/>
      <c r="K1049" s="15"/>
      <c r="L1049" s="15"/>
      <c r="M1049" s="15"/>
      <c r="N1049" s="15"/>
      <c r="O1049" s="15"/>
      <c r="P1049" s="15"/>
      <c r="Q1049" s="15"/>
      <c r="R1049" s="15"/>
      <c r="S1049" s="15"/>
      <c r="T1049" s="15"/>
      <c r="U1049" s="15"/>
      <c r="V1049" s="15"/>
      <c r="W1049" s="15"/>
      <c r="X1049" s="15"/>
      <c r="Y1049" s="15"/>
      <c r="Z1049" s="15"/>
      <c r="AA1049" s="15"/>
    </row>
    <row r="1050">
      <c r="A1050" s="15"/>
      <c r="B1050" s="15"/>
      <c r="C1050" s="15"/>
      <c r="D1050" s="15"/>
      <c r="E1050" s="15"/>
      <c r="F1050" s="15"/>
      <c r="G1050" s="15"/>
      <c r="H1050" s="15"/>
      <c r="I1050" s="15"/>
      <c r="J1050" s="15"/>
      <c r="K1050" s="15"/>
      <c r="L1050" s="15"/>
      <c r="M1050" s="15"/>
      <c r="N1050" s="15"/>
      <c r="O1050" s="15"/>
      <c r="P1050" s="15"/>
      <c r="Q1050" s="15"/>
      <c r="R1050" s="15"/>
      <c r="S1050" s="15"/>
      <c r="T1050" s="15"/>
      <c r="U1050" s="15"/>
      <c r="V1050" s="15"/>
      <c r="W1050" s="15"/>
      <c r="X1050" s="15"/>
      <c r="Y1050" s="15"/>
      <c r="Z1050" s="15"/>
      <c r="AA1050" s="15"/>
    </row>
    <row r="1051">
      <c r="A1051" s="15"/>
      <c r="B1051" s="15"/>
      <c r="C1051" s="15"/>
      <c r="D1051" s="15"/>
      <c r="E1051" s="15"/>
      <c r="F1051" s="15"/>
      <c r="G1051" s="15"/>
      <c r="H1051" s="15"/>
      <c r="I1051" s="15"/>
      <c r="J1051" s="15"/>
      <c r="K1051" s="15"/>
      <c r="L1051" s="15"/>
      <c r="M1051" s="15"/>
      <c r="N1051" s="15"/>
      <c r="O1051" s="15"/>
      <c r="P1051" s="15"/>
      <c r="Q1051" s="15"/>
      <c r="R1051" s="15"/>
      <c r="S1051" s="15"/>
      <c r="T1051" s="15"/>
      <c r="U1051" s="15"/>
      <c r="V1051" s="15"/>
      <c r="W1051" s="15"/>
      <c r="X1051" s="15"/>
      <c r="Y1051" s="15"/>
      <c r="Z1051" s="15"/>
      <c r="AA1051" s="15"/>
    </row>
    <row r="1052">
      <c r="A1052" s="15"/>
      <c r="B1052" s="15"/>
      <c r="C1052" s="15"/>
      <c r="D1052" s="15"/>
      <c r="E1052" s="15"/>
      <c r="F1052" s="15"/>
      <c r="G1052" s="15"/>
      <c r="H1052" s="15"/>
      <c r="I1052" s="15"/>
      <c r="J1052" s="15"/>
      <c r="K1052" s="15"/>
      <c r="L1052" s="15"/>
      <c r="M1052" s="15"/>
      <c r="N1052" s="15"/>
      <c r="O1052" s="15"/>
      <c r="P1052" s="15"/>
      <c r="Q1052" s="15"/>
      <c r="R1052" s="15"/>
      <c r="S1052" s="15"/>
      <c r="T1052" s="15"/>
      <c r="U1052" s="15"/>
      <c r="V1052" s="15"/>
      <c r="W1052" s="15"/>
      <c r="X1052" s="15"/>
      <c r="Y1052" s="15"/>
      <c r="Z1052" s="15"/>
      <c r="AA1052" s="15"/>
    </row>
    <row r="1053">
      <c r="A1053" s="15"/>
      <c r="B1053" s="15"/>
      <c r="C1053" s="15"/>
      <c r="D1053" s="15"/>
      <c r="E1053" s="15"/>
      <c r="F1053" s="15"/>
      <c r="G1053" s="15"/>
      <c r="H1053" s="15"/>
      <c r="I1053" s="15"/>
      <c r="J1053" s="15"/>
      <c r="K1053" s="15"/>
      <c r="L1053" s="15"/>
      <c r="M1053" s="15"/>
      <c r="N1053" s="15"/>
      <c r="O1053" s="15"/>
      <c r="P1053" s="15"/>
      <c r="Q1053" s="15"/>
      <c r="R1053" s="15"/>
      <c r="S1053" s="15"/>
      <c r="T1053" s="15"/>
      <c r="U1053" s="15"/>
      <c r="V1053" s="15"/>
      <c r="W1053" s="15"/>
      <c r="X1053" s="15"/>
      <c r="Y1053" s="15"/>
      <c r="Z1053" s="15"/>
      <c r="AA1053" s="15"/>
    </row>
    <row r="1054">
      <c r="A1054" s="15"/>
      <c r="B1054" s="15"/>
      <c r="C1054" s="15"/>
      <c r="D1054" s="15"/>
      <c r="E1054" s="15"/>
      <c r="F1054" s="15"/>
      <c r="G1054" s="15"/>
      <c r="H1054" s="15"/>
      <c r="I1054" s="15"/>
      <c r="J1054" s="15"/>
      <c r="K1054" s="15"/>
      <c r="L1054" s="15"/>
      <c r="M1054" s="15"/>
      <c r="N1054" s="15"/>
      <c r="O1054" s="15"/>
      <c r="P1054" s="15"/>
      <c r="Q1054" s="15"/>
      <c r="R1054" s="15"/>
      <c r="S1054" s="15"/>
      <c r="T1054" s="15"/>
      <c r="U1054" s="15"/>
      <c r="V1054" s="15"/>
      <c r="W1054" s="15"/>
      <c r="X1054" s="15"/>
      <c r="Y1054" s="15"/>
      <c r="Z1054" s="15"/>
      <c r="AA1054" s="15"/>
    </row>
    <row r="1055">
      <c r="A1055" s="15"/>
      <c r="B1055" s="15"/>
      <c r="C1055" s="15"/>
      <c r="D1055" s="15"/>
      <c r="E1055" s="15"/>
      <c r="F1055" s="15"/>
      <c r="G1055" s="15"/>
      <c r="H1055" s="15"/>
      <c r="I1055" s="15"/>
      <c r="J1055" s="15"/>
      <c r="K1055" s="15"/>
      <c r="L1055" s="15"/>
      <c r="M1055" s="15"/>
      <c r="N1055" s="15"/>
      <c r="O1055" s="15"/>
      <c r="P1055" s="15"/>
      <c r="Q1055" s="15"/>
      <c r="R1055" s="15"/>
      <c r="S1055" s="15"/>
      <c r="T1055" s="15"/>
      <c r="U1055" s="15"/>
      <c r="V1055" s="15"/>
      <c r="W1055" s="15"/>
      <c r="X1055" s="15"/>
      <c r="Y1055" s="15"/>
      <c r="Z1055" s="15"/>
      <c r="AA1055" s="15"/>
    </row>
    <row r="1056">
      <c r="A1056" s="15"/>
      <c r="B1056" s="15"/>
      <c r="C1056" s="15"/>
      <c r="D1056" s="15"/>
      <c r="E1056" s="15"/>
      <c r="F1056" s="15"/>
      <c r="G1056" s="15"/>
      <c r="H1056" s="15"/>
      <c r="I1056" s="15"/>
      <c r="J1056" s="15"/>
      <c r="K1056" s="15"/>
      <c r="L1056" s="15"/>
      <c r="M1056" s="15"/>
      <c r="N1056" s="15"/>
      <c r="O1056" s="15"/>
      <c r="P1056" s="15"/>
      <c r="Q1056" s="15"/>
      <c r="R1056" s="15"/>
      <c r="S1056" s="15"/>
      <c r="T1056" s="15"/>
      <c r="U1056" s="15"/>
      <c r="V1056" s="15"/>
      <c r="W1056" s="15"/>
      <c r="X1056" s="15"/>
      <c r="Y1056" s="15"/>
      <c r="Z1056" s="15"/>
      <c r="AA1056" s="15"/>
    </row>
    <row r="1057">
      <c r="A1057" s="15"/>
      <c r="B1057" s="15"/>
      <c r="C1057" s="15"/>
      <c r="D1057" s="15"/>
      <c r="E1057" s="15"/>
      <c r="F1057" s="15"/>
      <c r="G1057" s="15"/>
      <c r="H1057" s="15"/>
      <c r="I1057" s="15"/>
      <c r="J1057" s="15"/>
      <c r="K1057" s="15"/>
      <c r="L1057" s="15"/>
      <c r="M1057" s="15"/>
      <c r="N1057" s="15"/>
      <c r="O1057" s="15"/>
      <c r="P1057" s="15"/>
      <c r="Q1057" s="15"/>
      <c r="R1057" s="15"/>
      <c r="S1057" s="15"/>
      <c r="T1057" s="15"/>
      <c r="U1057" s="15"/>
      <c r="V1057" s="15"/>
      <c r="W1057" s="15"/>
      <c r="X1057" s="15"/>
      <c r="Y1057" s="15"/>
      <c r="Z1057" s="15"/>
      <c r="AA1057" s="15"/>
    </row>
    <row r="1058">
      <c r="A1058" s="15"/>
      <c r="B1058" s="15"/>
      <c r="C1058" s="15"/>
      <c r="D1058" s="15"/>
      <c r="E1058" s="15"/>
      <c r="F1058" s="15"/>
      <c r="G1058" s="15"/>
      <c r="H1058" s="15"/>
      <c r="I1058" s="15"/>
      <c r="J1058" s="15"/>
      <c r="K1058" s="15"/>
      <c r="L1058" s="15"/>
      <c r="M1058" s="15"/>
      <c r="N1058" s="15"/>
      <c r="O1058" s="15"/>
      <c r="P1058" s="15"/>
      <c r="Q1058" s="15"/>
      <c r="R1058" s="15"/>
      <c r="S1058" s="15"/>
      <c r="T1058" s="15"/>
      <c r="U1058" s="15"/>
      <c r="V1058" s="15"/>
      <c r="W1058" s="15"/>
      <c r="X1058" s="15"/>
      <c r="Y1058" s="15"/>
      <c r="Z1058" s="15"/>
      <c r="AA1058" s="15"/>
    </row>
    <row r="1059">
      <c r="A1059" s="15"/>
      <c r="B1059" s="15"/>
      <c r="C1059" s="15"/>
      <c r="D1059" s="15"/>
      <c r="E1059" s="15"/>
      <c r="F1059" s="15"/>
      <c r="G1059" s="15"/>
      <c r="H1059" s="15"/>
      <c r="I1059" s="15"/>
      <c r="J1059" s="15"/>
      <c r="K1059" s="15"/>
      <c r="L1059" s="15"/>
      <c r="M1059" s="15"/>
      <c r="N1059" s="15"/>
      <c r="O1059" s="15"/>
      <c r="P1059" s="15"/>
      <c r="Q1059" s="15"/>
      <c r="R1059" s="15"/>
      <c r="S1059" s="15"/>
      <c r="T1059" s="15"/>
      <c r="U1059" s="15"/>
      <c r="V1059" s="15"/>
      <c r="W1059" s="15"/>
      <c r="X1059" s="15"/>
      <c r="Y1059" s="15"/>
      <c r="Z1059" s="15"/>
      <c r="AA1059" s="15"/>
    </row>
    <row r="1060">
      <c r="A1060" s="15"/>
      <c r="B1060" s="15"/>
      <c r="C1060" s="15"/>
      <c r="D1060" s="15"/>
      <c r="E1060" s="15"/>
      <c r="F1060" s="15"/>
      <c r="G1060" s="15"/>
      <c r="H1060" s="15"/>
      <c r="I1060" s="15"/>
      <c r="J1060" s="15"/>
      <c r="K1060" s="15"/>
      <c r="L1060" s="15"/>
      <c r="M1060" s="15"/>
      <c r="N1060" s="15"/>
      <c r="O1060" s="15"/>
      <c r="P1060" s="15"/>
      <c r="Q1060" s="15"/>
      <c r="R1060" s="15"/>
      <c r="S1060" s="15"/>
      <c r="T1060" s="15"/>
      <c r="U1060" s="15"/>
      <c r="V1060" s="15"/>
      <c r="W1060" s="15"/>
      <c r="X1060" s="15"/>
      <c r="Y1060" s="15"/>
      <c r="Z1060" s="15"/>
      <c r="AA1060" s="15"/>
    </row>
    <row r="1061">
      <c r="A1061" s="15"/>
      <c r="B1061" s="15"/>
      <c r="C1061" s="15"/>
      <c r="D1061" s="15"/>
      <c r="E1061" s="15"/>
      <c r="F1061" s="15"/>
      <c r="G1061" s="15"/>
      <c r="H1061" s="15"/>
      <c r="I1061" s="15"/>
      <c r="J1061" s="15"/>
      <c r="K1061" s="15"/>
      <c r="L1061" s="15"/>
      <c r="M1061" s="15"/>
      <c r="N1061" s="15"/>
      <c r="O1061" s="15"/>
      <c r="P1061" s="15"/>
      <c r="Q1061" s="15"/>
      <c r="R1061" s="15"/>
      <c r="S1061" s="15"/>
      <c r="T1061" s="15"/>
      <c r="U1061" s="15"/>
      <c r="V1061" s="15"/>
      <c r="W1061" s="15"/>
      <c r="X1061" s="15"/>
      <c r="Y1061" s="15"/>
      <c r="Z1061" s="15"/>
      <c r="AA1061" s="15"/>
    </row>
    <row r="1062">
      <c r="A1062" s="15"/>
      <c r="B1062" s="15"/>
      <c r="C1062" s="15"/>
      <c r="D1062" s="15"/>
      <c r="E1062" s="15"/>
      <c r="F1062" s="15"/>
      <c r="G1062" s="15"/>
      <c r="H1062" s="15"/>
      <c r="I1062" s="15"/>
      <c r="J1062" s="15"/>
      <c r="K1062" s="15"/>
      <c r="L1062" s="15"/>
      <c r="M1062" s="15"/>
      <c r="N1062" s="15"/>
      <c r="O1062" s="15"/>
      <c r="P1062" s="15"/>
      <c r="Q1062" s="15"/>
      <c r="R1062" s="15"/>
      <c r="S1062" s="15"/>
      <c r="T1062" s="15"/>
      <c r="U1062" s="15"/>
      <c r="V1062" s="15"/>
      <c r="W1062" s="15"/>
      <c r="X1062" s="15"/>
      <c r="Y1062" s="15"/>
      <c r="Z1062" s="15"/>
      <c r="AA1062" s="15"/>
    </row>
    <row r="1063">
      <c r="A1063" s="15"/>
      <c r="B1063" s="15"/>
      <c r="C1063" s="15"/>
      <c r="D1063" s="15"/>
      <c r="E1063" s="15"/>
      <c r="F1063" s="15"/>
      <c r="G1063" s="15"/>
      <c r="H1063" s="15"/>
      <c r="I1063" s="15"/>
      <c r="J1063" s="15"/>
      <c r="K1063" s="15"/>
      <c r="L1063" s="15"/>
      <c r="M1063" s="15"/>
      <c r="N1063" s="15"/>
      <c r="O1063" s="15"/>
      <c r="P1063" s="15"/>
      <c r="Q1063" s="15"/>
      <c r="R1063" s="15"/>
      <c r="S1063" s="15"/>
      <c r="T1063" s="15"/>
      <c r="U1063" s="15"/>
      <c r="V1063" s="15"/>
      <c r="W1063" s="15"/>
      <c r="X1063" s="15"/>
      <c r="Y1063" s="15"/>
      <c r="Z1063" s="15"/>
      <c r="AA1063" s="15"/>
    </row>
    <row r="1064">
      <c r="A1064" s="15"/>
      <c r="B1064" s="15"/>
      <c r="C1064" s="15"/>
      <c r="D1064" s="15"/>
      <c r="E1064" s="15"/>
      <c r="F1064" s="15"/>
      <c r="G1064" s="15"/>
      <c r="H1064" s="15"/>
      <c r="I1064" s="15"/>
      <c r="J1064" s="15"/>
      <c r="K1064" s="15"/>
      <c r="L1064" s="15"/>
      <c r="M1064" s="15"/>
      <c r="N1064" s="15"/>
      <c r="O1064" s="15"/>
      <c r="P1064" s="15"/>
      <c r="Q1064" s="15"/>
      <c r="R1064" s="15"/>
      <c r="S1064" s="15"/>
      <c r="T1064" s="15"/>
      <c r="U1064" s="15"/>
      <c r="V1064" s="15"/>
      <c r="W1064" s="15"/>
      <c r="X1064" s="15"/>
      <c r="Y1064" s="15"/>
      <c r="Z1064" s="15"/>
      <c r="AA1064" s="15"/>
    </row>
    <row r="1065">
      <c r="A1065" s="15"/>
      <c r="B1065" s="15"/>
      <c r="C1065" s="15"/>
      <c r="D1065" s="15"/>
      <c r="E1065" s="15"/>
      <c r="F1065" s="15"/>
      <c r="G1065" s="15"/>
      <c r="H1065" s="15"/>
      <c r="I1065" s="15"/>
      <c r="J1065" s="15"/>
      <c r="K1065" s="15"/>
      <c r="L1065" s="15"/>
      <c r="M1065" s="15"/>
      <c r="N1065" s="15"/>
      <c r="O1065" s="15"/>
      <c r="P1065" s="15"/>
      <c r="Q1065" s="15"/>
      <c r="R1065" s="15"/>
      <c r="S1065" s="15"/>
      <c r="T1065" s="15"/>
      <c r="U1065" s="15"/>
      <c r="V1065" s="15"/>
      <c r="W1065" s="15"/>
      <c r="X1065" s="15"/>
      <c r="Y1065" s="15"/>
      <c r="Z1065" s="15"/>
      <c r="AA1065" s="15"/>
    </row>
    <row r="1066">
      <c r="A1066" s="15"/>
      <c r="B1066" s="15"/>
      <c r="C1066" s="15"/>
      <c r="D1066" s="15"/>
      <c r="E1066" s="15"/>
      <c r="F1066" s="15"/>
      <c r="G1066" s="15"/>
      <c r="H1066" s="15"/>
      <c r="I1066" s="15"/>
      <c r="J1066" s="15"/>
      <c r="K1066" s="15"/>
      <c r="L1066" s="15"/>
      <c r="M1066" s="15"/>
      <c r="N1066" s="15"/>
      <c r="O1066" s="15"/>
      <c r="P1066" s="15"/>
      <c r="Q1066" s="15"/>
      <c r="R1066" s="15"/>
      <c r="S1066" s="15"/>
      <c r="T1066" s="15"/>
      <c r="U1066" s="15"/>
      <c r="V1066" s="15"/>
      <c r="W1066" s="15"/>
      <c r="X1066" s="15"/>
      <c r="Y1066" s="15"/>
      <c r="Z1066" s="15"/>
      <c r="AA1066" s="15"/>
    </row>
    <row r="1067">
      <c r="A1067" s="15"/>
      <c r="B1067" s="15"/>
      <c r="C1067" s="15"/>
      <c r="D1067" s="15"/>
      <c r="E1067" s="15"/>
      <c r="F1067" s="15"/>
      <c r="G1067" s="15"/>
      <c r="H1067" s="15"/>
      <c r="I1067" s="15"/>
      <c r="J1067" s="15"/>
      <c r="K1067" s="15"/>
      <c r="L1067" s="15"/>
      <c r="M1067" s="15"/>
      <c r="N1067" s="15"/>
      <c r="O1067" s="15"/>
      <c r="P1067" s="15"/>
      <c r="Q1067" s="15"/>
      <c r="R1067" s="15"/>
      <c r="S1067" s="15"/>
      <c r="T1067" s="15"/>
      <c r="U1067" s="15"/>
      <c r="V1067" s="15"/>
      <c r="W1067" s="15"/>
      <c r="X1067" s="15"/>
      <c r="Y1067" s="15"/>
      <c r="Z1067" s="15"/>
      <c r="AA1067" s="15"/>
    </row>
    <row r="1068">
      <c r="A1068" s="15"/>
      <c r="B1068" s="15"/>
      <c r="C1068" s="15"/>
      <c r="D1068" s="15"/>
      <c r="E1068" s="15"/>
      <c r="F1068" s="15"/>
      <c r="G1068" s="15"/>
      <c r="H1068" s="15"/>
      <c r="I1068" s="15"/>
      <c r="J1068" s="15"/>
      <c r="K1068" s="15"/>
      <c r="L1068" s="15"/>
      <c r="M1068" s="15"/>
      <c r="N1068" s="15"/>
      <c r="O1068" s="15"/>
      <c r="P1068" s="15"/>
      <c r="Q1068" s="15"/>
      <c r="R1068" s="15"/>
      <c r="S1068" s="15"/>
      <c r="T1068" s="15"/>
      <c r="U1068" s="15"/>
      <c r="V1068" s="15"/>
      <c r="W1068" s="15"/>
      <c r="X1068" s="15"/>
      <c r="Y1068" s="15"/>
      <c r="Z1068" s="15"/>
      <c r="AA1068" s="15"/>
    </row>
    <row r="1069">
      <c r="A1069" s="15"/>
      <c r="B1069" s="15"/>
      <c r="C1069" s="15"/>
      <c r="D1069" s="15"/>
      <c r="E1069" s="15"/>
      <c r="F1069" s="15"/>
      <c r="G1069" s="15"/>
      <c r="H1069" s="15"/>
      <c r="I1069" s="15"/>
      <c r="J1069" s="15"/>
      <c r="K1069" s="15"/>
      <c r="L1069" s="15"/>
      <c r="M1069" s="15"/>
      <c r="N1069" s="15"/>
      <c r="O1069" s="15"/>
      <c r="P1069" s="15"/>
      <c r="Q1069" s="15"/>
      <c r="R1069" s="15"/>
      <c r="S1069" s="15"/>
      <c r="T1069" s="15"/>
      <c r="U1069" s="15"/>
      <c r="V1069" s="15"/>
      <c r="W1069" s="15"/>
      <c r="X1069" s="15"/>
      <c r="Y1069" s="15"/>
      <c r="Z1069" s="15"/>
      <c r="AA1069" s="15"/>
    </row>
    <row r="1070">
      <c r="A1070" s="15"/>
      <c r="B1070" s="15"/>
      <c r="C1070" s="15"/>
      <c r="D1070" s="15"/>
      <c r="E1070" s="15"/>
      <c r="F1070" s="15"/>
      <c r="G1070" s="15"/>
      <c r="H1070" s="15"/>
      <c r="I1070" s="15"/>
      <c r="J1070" s="15"/>
      <c r="K1070" s="15"/>
      <c r="L1070" s="15"/>
      <c r="M1070" s="15"/>
      <c r="N1070" s="15"/>
      <c r="O1070" s="15"/>
      <c r="P1070" s="15"/>
      <c r="Q1070" s="15"/>
      <c r="R1070" s="15"/>
      <c r="S1070" s="15"/>
      <c r="T1070" s="15"/>
      <c r="U1070" s="15"/>
      <c r="V1070" s="15"/>
      <c r="W1070" s="15"/>
      <c r="X1070" s="15"/>
      <c r="Y1070" s="15"/>
      <c r="Z1070" s="15"/>
      <c r="AA1070" s="15"/>
    </row>
    <row r="1071">
      <c r="A1071" s="15"/>
      <c r="B1071" s="15"/>
      <c r="C1071" s="15"/>
      <c r="D1071" s="15"/>
      <c r="E1071" s="15"/>
      <c r="F1071" s="15"/>
      <c r="G1071" s="15"/>
      <c r="H1071" s="15"/>
      <c r="I1071" s="15"/>
      <c r="J1071" s="15"/>
      <c r="K1071" s="15"/>
      <c r="L1071" s="15"/>
      <c r="M1071" s="15"/>
      <c r="N1071" s="15"/>
      <c r="O1071" s="15"/>
      <c r="P1071" s="15"/>
      <c r="Q1071" s="15"/>
      <c r="R1071" s="15"/>
      <c r="S1071" s="15"/>
      <c r="T1071" s="15"/>
      <c r="U1071" s="15"/>
      <c r="V1071" s="15"/>
      <c r="W1071" s="15"/>
      <c r="X1071" s="15"/>
      <c r="Y1071" s="15"/>
      <c r="Z1071" s="15"/>
      <c r="AA1071" s="15"/>
    </row>
    <row r="1072">
      <c r="A1072" s="15"/>
      <c r="B1072" s="15"/>
      <c r="C1072" s="15"/>
      <c r="D1072" s="15"/>
      <c r="E1072" s="15"/>
      <c r="F1072" s="15"/>
      <c r="G1072" s="15"/>
      <c r="H1072" s="15"/>
      <c r="I1072" s="15"/>
      <c r="J1072" s="15"/>
      <c r="K1072" s="15"/>
      <c r="L1072" s="15"/>
      <c r="M1072" s="15"/>
      <c r="N1072" s="15"/>
      <c r="O1072" s="15"/>
      <c r="P1072" s="15"/>
      <c r="Q1072" s="15"/>
      <c r="R1072" s="15"/>
      <c r="S1072" s="15"/>
      <c r="T1072" s="15"/>
      <c r="U1072" s="15"/>
      <c r="V1072" s="15"/>
      <c r="W1072" s="15"/>
      <c r="X1072" s="15"/>
      <c r="Y1072" s="15"/>
      <c r="Z1072" s="15"/>
      <c r="AA1072" s="15"/>
    </row>
    <row r="1073">
      <c r="A1073" s="15"/>
      <c r="B1073" s="15"/>
      <c r="C1073" s="15"/>
      <c r="D1073" s="15"/>
      <c r="E1073" s="15"/>
      <c r="F1073" s="15"/>
      <c r="G1073" s="15"/>
      <c r="H1073" s="15"/>
      <c r="I1073" s="15"/>
      <c r="J1073" s="15"/>
      <c r="K1073" s="15"/>
      <c r="L1073" s="15"/>
      <c r="M1073" s="15"/>
      <c r="N1073" s="15"/>
      <c r="O1073" s="15"/>
      <c r="P1073" s="15"/>
      <c r="Q1073" s="15"/>
      <c r="R1073" s="15"/>
      <c r="S1073" s="15"/>
      <c r="T1073" s="15"/>
      <c r="U1073" s="15"/>
      <c r="V1073" s="15"/>
      <c r="W1073" s="15"/>
      <c r="X1073" s="15"/>
      <c r="Y1073" s="15"/>
      <c r="Z1073" s="15"/>
      <c r="AA1073" s="15"/>
    </row>
    <row r="1074">
      <c r="A1074" s="15"/>
      <c r="B1074" s="15"/>
      <c r="C1074" s="15"/>
      <c r="D1074" s="15"/>
      <c r="E1074" s="15"/>
      <c r="F1074" s="15"/>
      <c r="G1074" s="15"/>
      <c r="H1074" s="15"/>
      <c r="I1074" s="15"/>
      <c r="J1074" s="15"/>
      <c r="K1074" s="15"/>
      <c r="L1074" s="15"/>
      <c r="M1074" s="15"/>
      <c r="N1074" s="15"/>
      <c r="O1074" s="15"/>
      <c r="P1074" s="15"/>
      <c r="Q1074" s="15"/>
      <c r="R1074" s="15"/>
      <c r="S1074" s="15"/>
      <c r="T1074" s="15"/>
      <c r="U1074" s="15"/>
      <c r="V1074" s="15"/>
      <c r="W1074" s="15"/>
      <c r="X1074" s="15"/>
      <c r="Y1074" s="15"/>
      <c r="Z1074" s="15"/>
      <c r="AA1074" s="15"/>
    </row>
    <row r="1075">
      <c r="A1075" s="15"/>
      <c r="B1075" s="15"/>
      <c r="C1075" s="15"/>
      <c r="D1075" s="15"/>
      <c r="E1075" s="15"/>
      <c r="F1075" s="15"/>
      <c r="G1075" s="15"/>
      <c r="H1075" s="15"/>
      <c r="I1075" s="15"/>
      <c r="J1075" s="15"/>
      <c r="K1075" s="15"/>
      <c r="L1075" s="15"/>
      <c r="M1075" s="15"/>
      <c r="N1075" s="15"/>
      <c r="O1075" s="15"/>
      <c r="P1075" s="15"/>
      <c r="Q1075" s="15"/>
      <c r="R1075" s="15"/>
      <c r="S1075" s="15"/>
      <c r="T1075" s="15"/>
      <c r="U1075" s="15"/>
      <c r="V1075" s="15"/>
      <c r="W1075" s="15"/>
      <c r="X1075" s="15"/>
      <c r="Y1075" s="15"/>
      <c r="Z1075" s="15"/>
      <c r="AA1075" s="15"/>
    </row>
    <row r="1076">
      <c r="A1076" s="15"/>
      <c r="B1076" s="15"/>
      <c r="C1076" s="15"/>
      <c r="D1076" s="15"/>
      <c r="E1076" s="15"/>
      <c r="F1076" s="15"/>
      <c r="G1076" s="15"/>
      <c r="H1076" s="15"/>
      <c r="I1076" s="15"/>
      <c r="J1076" s="15"/>
      <c r="K1076" s="15"/>
      <c r="L1076" s="15"/>
      <c r="M1076" s="15"/>
      <c r="N1076" s="15"/>
      <c r="O1076" s="15"/>
      <c r="P1076" s="15"/>
      <c r="Q1076" s="15"/>
      <c r="R1076" s="15"/>
      <c r="S1076" s="15"/>
      <c r="T1076" s="15"/>
      <c r="U1076" s="15"/>
      <c r="V1076" s="15"/>
      <c r="W1076" s="15"/>
      <c r="X1076" s="15"/>
      <c r="Y1076" s="15"/>
      <c r="Z1076" s="15"/>
      <c r="AA1076" s="15"/>
    </row>
    <row r="1077">
      <c r="A1077" s="15"/>
      <c r="B1077" s="15"/>
      <c r="C1077" s="15"/>
      <c r="D1077" s="15"/>
      <c r="E1077" s="15"/>
      <c r="F1077" s="15"/>
      <c r="G1077" s="15"/>
      <c r="H1077" s="15"/>
      <c r="I1077" s="15"/>
      <c r="J1077" s="15"/>
      <c r="K1077" s="15"/>
      <c r="L1077" s="15"/>
      <c r="M1077" s="15"/>
      <c r="N1077" s="15"/>
      <c r="O1077" s="15"/>
      <c r="P1077" s="15"/>
      <c r="Q1077" s="15"/>
      <c r="R1077" s="15"/>
      <c r="S1077" s="15"/>
      <c r="T1077" s="15"/>
      <c r="U1077" s="15"/>
      <c r="V1077" s="15"/>
      <c r="W1077" s="15"/>
      <c r="X1077" s="15"/>
      <c r="Y1077" s="15"/>
      <c r="Z1077" s="15"/>
      <c r="AA1077" s="15"/>
    </row>
    <row r="1078">
      <c r="A1078" s="15"/>
      <c r="B1078" s="15"/>
      <c r="C1078" s="15"/>
      <c r="D1078" s="15"/>
      <c r="E1078" s="15"/>
      <c r="F1078" s="15"/>
      <c r="G1078" s="15"/>
      <c r="H1078" s="15"/>
      <c r="I1078" s="15"/>
      <c r="J1078" s="15"/>
      <c r="K1078" s="15"/>
      <c r="L1078" s="15"/>
      <c r="M1078" s="15"/>
      <c r="N1078" s="15"/>
      <c r="O1078" s="15"/>
      <c r="P1078" s="15"/>
      <c r="Q1078" s="15"/>
      <c r="R1078" s="15"/>
      <c r="S1078" s="15"/>
      <c r="T1078" s="15"/>
      <c r="U1078" s="15"/>
      <c r="V1078" s="15"/>
      <c r="W1078" s="15"/>
      <c r="X1078" s="15"/>
      <c r="Y1078" s="15"/>
      <c r="Z1078" s="15"/>
      <c r="AA1078" s="15"/>
    </row>
    <row r="1079">
      <c r="A1079" s="15"/>
      <c r="B1079" s="15"/>
      <c r="C1079" s="15"/>
      <c r="D1079" s="15"/>
      <c r="E1079" s="15"/>
      <c r="F1079" s="15"/>
      <c r="G1079" s="15"/>
      <c r="H1079" s="15"/>
      <c r="I1079" s="15"/>
      <c r="J1079" s="15"/>
      <c r="K1079" s="15"/>
      <c r="L1079" s="15"/>
      <c r="M1079" s="15"/>
      <c r="N1079" s="15"/>
      <c r="O1079" s="15"/>
      <c r="P1079" s="15"/>
      <c r="Q1079" s="15"/>
      <c r="R1079" s="15"/>
      <c r="S1079" s="15"/>
      <c r="T1079" s="15"/>
      <c r="U1079" s="15"/>
      <c r="V1079" s="15"/>
      <c r="W1079" s="15"/>
      <c r="X1079" s="15"/>
      <c r="Y1079" s="15"/>
      <c r="Z1079" s="15"/>
      <c r="AA1079" s="15"/>
    </row>
    <row r="1080">
      <c r="A1080" s="15"/>
      <c r="B1080" s="15"/>
      <c r="C1080" s="15"/>
      <c r="D1080" s="15"/>
      <c r="E1080" s="15"/>
      <c r="F1080" s="15"/>
      <c r="G1080" s="15"/>
      <c r="H1080" s="15"/>
      <c r="I1080" s="15"/>
      <c r="J1080" s="15"/>
      <c r="K1080" s="15"/>
      <c r="L1080" s="15"/>
      <c r="M1080" s="15"/>
      <c r="N1080" s="15"/>
      <c r="O1080" s="15"/>
      <c r="P1080" s="15"/>
      <c r="Q1080" s="15"/>
      <c r="R1080" s="15"/>
      <c r="S1080" s="15"/>
      <c r="T1080" s="15"/>
      <c r="U1080" s="15"/>
      <c r="V1080" s="15"/>
      <c r="W1080" s="15"/>
      <c r="X1080" s="15"/>
      <c r="Y1080" s="15"/>
      <c r="Z1080" s="15"/>
      <c r="AA1080" s="15"/>
    </row>
    <row r="1081">
      <c r="A1081" s="15"/>
      <c r="B1081" s="15"/>
      <c r="C1081" s="15"/>
      <c r="D1081" s="15"/>
      <c r="E1081" s="15"/>
      <c r="F1081" s="15"/>
      <c r="G1081" s="15"/>
      <c r="H1081" s="15"/>
      <c r="I1081" s="15"/>
      <c r="J1081" s="15"/>
      <c r="K1081" s="15"/>
      <c r="L1081" s="15"/>
      <c r="M1081" s="15"/>
      <c r="N1081" s="15"/>
      <c r="O1081" s="15"/>
      <c r="P1081" s="15"/>
      <c r="Q1081" s="15"/>
      <c r="R1081" s="15"/>
      <c r="S1081" s="15"/>
      <c r="T1081" s="15"/>
      <c r="U1081" s="15"/>
      <c r="V1081" s="15"/>
      <c r="W1081" s="15"/>
      <c r="X1081" s="15"/>
      <c r="Y1081" s="15"/>
      <c r="Z1081" s="15"/>
      <c r="AA1081" s="15"/>
    </row>
    <row r="1082">
      <c r="A1082" s="15"/>
      <c r="B1082" s="15"/>
      <c r="C1082" s="15"/>
      <c r="D1082" s="15"/>
      <c r="E1082" s="15"/>
      <c r="F1082" s="15"/>
      <c r="G1082" s="15"/>
      <c r="H1082" s="15"/>
      <c r="I1082" s="15"/>
      <c r="J1082" s="15"/>
      <c r="K1082" s="15"/>
      <c r="L1082" s="15"/>
      <c r="M1082" s="15"/>
      <c r="N1082" s="15"/>
      <c r="O1082" s="15"/>
      <c r="P1082" s="15"/>
      <c r="Q1082" s="15"/>
      <c r="R1082" s="15"/>
      <c r="S1082" s="15"/>
      <c r="T1082" s="15"/>
      <c r="U1082" s="15"/>
      <c r="V1082" s="15"/>
      <c r="W1082" s="15"/>
      <c r="X1082" s="15"/>
      <c r="Y1082" s="15"/>
      <c r="Z1082" s="15"/>
      <c r="AA1082" s="15"/>
    </row>
  </sheetData>
  <drawing r:id="rId1"/>
</worksheet>
</file>