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8" windowWidth="7572" windowHeight="46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1" i="1"/>
  <c r="B40"/>
  <c r="F13"/>
  <c r="F14"/>
  <c r="F8" l="1"/>
  <c r="F11"/>
  <c r="F9" s="1"/>
  <c r="F6"/>
  <c r="F20" s="1"/>
  <c r="J5" s="1"/>
  <c r="F2"/>
  <c r="F5" l="1"/>
  <c r="F3"/>
  <c r="F16"/>
  <c r="F17" s="1"/>
  <c r="F19" s="1"/>
  <c r="J3" s="1"/>
  <c r="F21"/>
  <c r="J2" s="1"/>
  <c r="J8" l="1"/>
  <c r="J7"/>
  <c r="F41"/>
  <c r="F22"/>
  <c r="J4" s="1"/>
  <c r="F40"/>
</calcChain>
</file>

<file path=xl/sharedStrings.xml><?xml version="1.0" encoding="utf-8"?>
<sst xmlns="http://schemas.openxmlformats.org/spreadsheetml/2006/main" count="63" uniqueCount="57">
  <si>
    <t>Ki_spd_ug</t>
  </si>
  <si>
    <t>Kp_spd_ug</t>
  </si>
  <si>
    <t>gMotorVars.Kp_spd</t>
  </si>
  <si>
    <t>gMotorVars.Ki_spd</t>
  </si>
  <si>
    <t>gMotorVars.Kp_Idq</t>
  </si>
  <si>
    <t>gMotorVars.Ki_Idq</t>
  </si>
  <si>
    <t>ohms</t>
  </si>
  <si>
    <t>H</t>
  </si>
  <si>
    <t>kg-m2</t>
  </si>
  <si>
    <t>V-sec/rad</t>
  </si>
  <si>
    <t>Hz</t>
  </si>
  <si>
    <t>rad/sec</t>
  </si>
  <si>
    <t>KHz</t>
  </si>
  <si>
    <t>A</t>
  </si>
  <si>
    <t>V</t>
  </si>
  <si>
    <t>Left limit</t>
  </si>
  <si>
    <t>right limit</t>
  </si>
  <si>
    <t>sec</t>
  </si>
  <si>
    <t>PU</t>
  </si>
  <si>
    <t>2.FILL IN THESE VALUES FROM UESR.H</t>
  </si>
  <si>
    <t>3. Ki &amp; Kp CALCULATIONS</t>
  </si>
  <si>
    <r>
      <t>Damping factor(</t>
    </r>
    <r>
      <rPr>
        <sz val="11"/>
        <color theme="1"/>
        <rFont val="DFKai-SB"/>
        <family val="4"/>
        <charset val="136"/>
      </rPr>
      <t>δ)</t>
    </r>
  </si>
  <si>
    <r>
      <t>Speed filter pole(</t>
    </r>
    <r>
      <rPr>
        <sz val="11"/>
        <color theme="1"/>
        <rFont val="DFKai-SB"/>
        <family val="4"/>
      </rPr>
      <t>τ</t>
    </r>
    <r>
      <rPr>
        <sz val="11"/>
        <color theme="1"/>
        <rFont val="Calibri"/>
        <family val="2"/>
      </rPr>
      <t>)</t>
    </r>
  </si>
  <si>
    <t>Rs-Motor Resistance</t>
  </si>
  <si>
    <t>Ls-Motor total inductance</t>
  </si>
  <si>
    <t>No. of Poles</t>
  </si>
  <si>
    <t>Ke/Bemf-Motor flux constant</t>
  </si>
  <si>
    <t>J-Inetria</t>
  </si>
  <si>
    <t>Fs-Sample frequence</t>
  </si>
  <si>
    <t>PWM_vs_ISR_tick</t>
  </si>
  <si>
    <t>ISR_vs_CTRL_tick</t>
  </si>
  <si>
    <t>CTRL_vs_CURRENT_tick</t>
  </si>
  <si>
    <t>PWM_Freq_KHz</t>
  </si>
  <si>
    <t>CTRL_vs_SPEED_tick</t>
  </si>
  <si>
    <t>Velfs-Full scsle frequence</t>
  </si>
  <si>
    <t>Ifs-Full scale current</t>
  </si>
  <si>
    <t>Vfs-Full scale voltage</t>
  </si>
  <si>
    <t>Ts-Sampling period</t>
  </si>
  <si>
    <t>BWc-Current controller bandwidth</t>
  </si>
  <si>
    <t>BWs-Speed controller bandwidth</t>
  </si>
  <si>
    <t>Ki_series</t>
  </si>
  <si>
    <t>Kp_series</t>
  </si>
  <si>
    <t>spdKi_series</t>
  </si>
  <si>
    <t>spdKp_series</t>
  </si>
  <si>
    <t>K</t>
  </si>
  <si>
    <t>Ti-Current controller period</t>
  </si>
  <si>
    <t>Tv-Speed controller period</t>
  </si>
  <si>
    <t>spdKp_parallel</t>
  </si>
  <si>
    <t>spdKi_parallel</t>
  </si>
  <si>
    <t>spdKi_PU</t>
  </si>
  <si>
    <t>curKi_PU</t>
  </si>
  <si>
    <t>spdKp_PU</t>
  </si>
  <si>
    <t>curKp_PU</t>
  </si>
  <si>
    <t>4.THESE VALUES ARE RECOMMENDED TO SET Ki &amp; Kp</t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</si>
  <si>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FROM MOTOR DATASHEET</t>
    </r>
  </si>
  <si>
    <t xml:space="preserve">10L/δτ &lt; KpSeries </t>
  </si>
  <si>
    <t xml:space="preserve"> KpSeries &lt; 2πL/10Ts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</si>
</sst>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DFKai-SB"/>
      <family val="4"/>
      <charset val="136"/>
    </font>
    <font>
      <sz val="11"/>
      <color theme="1"/>
      <name val="DFKai-SB"/>
      <family val="4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/>
    <xf numFmtId="0" fontId="0" fillId="0" borderId="0" xfId="0" applyFont="1"/>
    <xf numFmtId="0" fontId="1" fillId="3" borderId="0" xfId="0" applyFont="1" applyFill="1" applyAlignment="1"/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3" borderId="0" xfId="0" applyFont="1" applyFill="1" applyAlignment="1">
      <alignment horizontal="left"/>
    </xf>
    <xf numFmtId="0" fontId="0" fillId="0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3" borderId="0" xfId="0" applyFont="1" applyFill="1"/>
    <xf numFmtId="0" fontId="4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horizontal="left"/>
    </xf>
    <xf numFmtId="0" fontId="0" fillId="5" borderId="0" xfId="0" applyFont="1" applyFill="1"/>
    <xf numFmtId="0" fontId="0" fillId="0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C10" sqref="C10"/>
    </sheetView>
  </sheetViews>
  <sheetFormatPr defaultColWidth="9.109375" defaultRowHeight="14.4"/>
  <cols>
    <col min="1" max="1" width="29.109375" style="2" customWidth="1"/>
    <col min="2" max="2" width="9.44140625" style="7" customWidth="1"/>
    <col min="3" max="3" width="9.6640625" style="6" customWidth="1"/>
    <col min="4" max="4" width="6.33203125" style="2" customWidth="1"/>
    <col min="5" max="5" width="31.5546875" style="6" customWidth="1"/>
    <col min="6" max="6" width="12.88671875" style="7" customWidth="1"/>
    <col min="7" max="7" width="7.6640625" style="6" customWidth="1"/>
    <col min="8" max="8" width="5.6640625" style="2" customWidth="1"/>
    <col min="9" max="9" width="26.44140625" style="25" customWidth="1"/>
    <col min="10" max="10" width="13" style="25" customWidth="1"/>
    <col min="11" max="11" width="18.109375" style="2" customWidth="1"/>
    <col min="12" max="12" width="4.88671875" style="2" customWidth="1"/>
    <col min="13" max="13" width="8.77734375" style="2" customWidth="1"/>
    <col min="14" max="14" width="4.88671875" style="2" customWidth="1"/>
    <col min="15" max="16384" width="9.109375" style="2"/>
  </cols>
  <sheetData>
    <row r="1" spans="1:14">
      <c r="A1" s="8" t="s">
        <v>54</v>
      </c>
      <c r="B1" s="5"/>
      <c r="C1" s="15"/>
      <c r="D1" s="12"/>
      <c r="E1" s="8" t="s">
        <v>20</v>
      </c>
      <c r="F1" s="17"/>
      <c r="G1" s="18"/>
      <c r="H1" s="12"/>
      <c r="I1" s="3" t="s">
        <v>53</v>
      </c>
      <c r="J1" s="26"/>
      <c r="K1" s="12"/>
    </row>
    <row r="2" spans="1:14">
      <c r="A2" s="2" t="s">
        <v>23</v>
      </c>
      <c r="B2" s="4">
        <v>4.9000000000000002E-2</v>
      </c>
      <c r="C2" s="6" t="s">
        <v>6</v>
      </c>
      <c r="D2" s="12"/>
      <c r="E2" s="21" t="s">
        <v>38</v>
      </c>
      <c r="F2" s="13">
        <f>(2*3.14*B7)/20</f>
        <v>4710</v>
      </c>
      <c r="G2" s="6" t="s">
        <v>11</v>
      </c>
      <c r="H2" s="12"/>
      <c r="I2" s="25" t="s">
        <v>2</v>
      </c>
      <c r="J2" s="28">
        <f>F21</f>
        <v>0.47066403292181069</v>
      </c>
      <c r="K2" s="12"/>
    </row>
    <row r="3" spans="1:14">
      <c r="A3" s="2" t="s">
        <v>24</v>
      </c>
      <c r="B3" s="4">
        <v>1.45E-4</v>
      </c>
      <c r="C3" s="6" t="s">
        <v>7</v>
      </c>
      <c r="D3" s="12"/>
      <c r="E3" s="21" t="s">
        <v>39</v>
      </c>
      <c r="F3" s="13">
        <f>F2/(B8+2.16*0.24-1.86)</f>
        <v>1771.7424014444782</v>
      </c>
      <c r="G3" s="6" t="s">
        <v>11</v>
      </c>
      <c r="H3" s="12"/>
      <c r="I3" s="25" t="s">
        <v>3</v>
      </c>
      <c r="J3" s="28">
        <f>F19</f>
        <v>9.2367816460905347E-3</v>
      </c>
      <c r="K3" s="12"/>
    </row>
    <row r="4" spans="1:14">
      <c r="A4" s="2" t="s">
        <v>25</v>
      </c>
      <c r="B4" s="4">
        <v>8</v>
      </c>
      <c r="C4" s="19"/>
      <c r="D4" s="12"/>
      <c r="E4" s="20"/>
      <c r="F4" s="16"/>
      <c r="G4" s="15"/>
      <c r="H4" s="12"/>
      <c r="I4" s="25" t="s">
        <v>4</v>
      </c>
      <c r="J4" s="28">
        <f>F22</f>
        <v>0.56343375000000007</v>
      </c>
      <c r="K4" s="31">
        <v>0.44859367610000001</v>
      </c>
      <c r="M4" s="30"/>
      <c r="N4" s="9"/>
    </row>
    <row r="5" spans="1:14">
      <c r="A5" s="2" t="s">
        <v>26</v>
      </c>
      <c r="B5" s="4">
        <v>0.13500000000000001</v>
      </c>
      <c r="C5" s="19" t="s">
        <v>9</v>
      </c>
      <c r="D5" s="12"/>
      <c r="E5" s="21" t="s">
        <v>41</v>
      </c>
      <c r="F5" s="13">
        <f>F2*B3</f>
        <v>0.68295000000000006</v>
      </c>
      <c r="H5" s="12"/>
      <c r="I5" s="25" t="s">
        <v>5</v>
      </c>
      <c r="J5" s="28">
        <f>F20</f>
        <v>2.2528735632183907E-2</v>
      </c>
      <c r="K5" s="31">
        <v>2.2528736000000001E-2</v>
      </c>
    </row>
    <row r="6" spans="1:14">
      <c r="A6" s="29" t="s">
        <v>27</v>
      </c>
      <c r="B6" s="4">
        <v>5.8E-4</v>
      </c>
      <c r="C6" s="6" t="s">
        <v>8</v>
      </c>
      <c r="D6" s="12"/>
      <c r="E6" s="21" t="s">
        <v>40</v>
      </c>
      <c r="F6" s="13">
        <f>B2/B3</f>
        <v>337.93103448275861</v>
      </c>
      <c r="H6" s="12"/>
      <c r="I6" s="26"/>
      <c r="J6" s="27"/>
      <c r="K6" s="12"/>
    </row>
    <row r="7" spans="1:14">
      <c r="A7" s="2" t="s">
        <v>28</v>
      </c>
      <c r="B7" s="4">
        <v>15000</v>
      </c>
      <c r="C7" s="6" t="s">
        <v>10</v>
      </c>
      <c r="D7" s="12"/>
      <c r="E7" s="20"/>
      <c r="F7" s="16"/>
      <c r="G7" s="15"/>
      <c r="H7" s="12"/>
      <c r="I7" s="27" t="s">
        <v>55</v>
      </c>
      <c r="J7" s="28" t="b">
        <f>((10*B3)/(B8*B9))&lt;F5</f>
        <v>1</v>
      </c>
      <c r="K7" s="12"/>
    </row>
    <row r="8" spans="1:14" ht="15">
      <c r="A8" s="2" t="s">
        <v>21</v>
      </c>
      <c r="B8" s="4">
        <v>4</v>
      </c>
      <c r="D8" s="12"/>
      <c r="E8" s="21" t="s">
        <v>42</v>
      </c>
      <c r="F8" s="13">
        <f>1/((B8*B8)*(1/B9))</f>
        <v>19.625</v>
      </c>
      <c r="H8" s="12"/>
      <c r="I8" s="27" t="s">
        <v>56</v>
      </c>
      <c r="J8" s="28" t="b">
        <f>F5&lt;((2*3.14*B3)/(10*B10))</f>
        <v>1</v>
      </c>
      <c r="K8" s="12"/>
      <c r="L8" s="9"/>
    </row>
    <row r="9" spans="1:14" ht="15">
      <c r="A9" s="9" t="s">
        <v>22</v>
      </c>
      <c r="B9" s="4">
        <v>314</v>
      </c>
      <c r="C9" s="6" t="s">
        <v>11</v>
      </c>
      <c r="D9" s="12"/>
      <c r="E9" s="21" t="s">
        <v>43</v>
      </c>
      <c r="F9" s="13">
        <f>1/(B8*F11*(1/B9))</f>
        <v>5.6209876543209865E-2</v>
      </c>
      <c r="H9" s="12"/>
      <c r="I9" s="26"/>
      <c r="J9" s="26"/>
      <c r="K9" s="12"/>
    </row>
    <row r="10" spans="1:14" ht="15" customHeight="1">
      <c r="A10" s="2" t="s">
        <v>37</v>
      </c>
      <c r="B10" s="4">
        <v>6.6699999999999995E-5</v>
      </c>
      <c r="C10" s="6" t="s">
        <v>17</v>
      </c>
      <c r="D10" s="12"/>
      <c r="E10" s="20"/>
      <c r="F10" s="16"/>
      <c r="G10" s="15"/>
      <c r="H10" s="12"/>
      <c r="I10" s="26"/>
      <c r="J10" s="26"/>
      <c r="K10" s="12"/>
    </row>
    <row r="11" spans="1:14">
      <c r="A11" s="1" t="s">
        <v>19</v>
      </c>
      <c r="B11" s="5"/>
      <c r="C11" s="20"/>
      <c r="D11" s="12"/>
      <c r="E11" s="21" t="s">
        <v>44</v>
      </c>
      <c r="F11" s="13">
        <f>(3*B4*B5)/(4*B6)</f>
        <v>1396.5517241379312</v>
      </c>
      <c r="H11" s="12"/>
      <c r="I11" s="26"/>
      <c r="J11" s="26"/>
      <c r="K11" s="12"/>
    </row>
    <row r="12" spans="1:14">
      <c r="A12" s="2" t="s">
        <v>29</v>
      </c>
      <c r="B12" s="4">
        <v>3</v>
      </c>
      <c r="C12" s="19"/>
      <c r="D12" s="12"/>
      <c r="E12" s="15"/>
      <c r="F12" s="5"/>
      <c r="G12" s="15"/>
      <c r="H12" s="12"/>
      <c r="I12" s="26"/>
      <c r="J12" s="26"/>
      <c r="K12" s="12"/>
    </row>
    <row r="13" spans="1:14">
      <c r="A13" s="2" t="s">
        <v>30</v>
      </c>
      <c r="B13" s="4">
        <v>1</v>
      </c>
      <c r="D13" s="12"/>
      <c r="E13" s="6" t="s">
        <v>45</v>
      </c>
      <c r="F13" s="7">
        <f>(1/(B15*1000))*B12*B13*B14</f>
        <v>6.666666666666667E-5</v>
      </c>
      <c r="H13" s="12"/>
      <c r="I13" s="26"/>
      <c r="J13" s="26"/>
      <c r="K13" s="12"/>
    </row>
    <row r="14" spans="1:14">
      <c r="A14" s="2" t="s">
        <v>31</v>
      </c>
      <c r="B14" s="4">
        <v>1</v>
      </c>
      <c r="D14" s="12"/>
      <c r="E14" s="6" t="s">
        <v>46</v>
      </c>
      <c r="F14" s="7">
        <f>(1/(B15*1000))*B12*B13*B16</f>
        <v>1E-3</v>
      </c>
      <c r="H14" s="12"/>
      <c r="I14" s="26"/>
      <c r="J14" s="26"/>
      <c r="K14" s="12"/>
    </row>
    <row r="15" spans="1:14">
      <c r="A15" s="2" t="s">
        <v>32</v>
      </c>
      <c r="B15" s="4">
        <v>45</v>
      </c>
      <c r="C15" s="6" t="s">
        <v>12</v>
      </c>
      <c r="D15" s="12"/>
      <c r="E15" s="15"/>
      <c r="F15" s="5"/>
      <c r="G15" s="15"/>
      <c r="H15" s="12"/>
      <c r="I15" s="26"/>
      <c r="J15" s="26"/>
      <c r="K15" s="12"/>
    </row>
    <row r="16" spans="1:14">
      <c r="A16" s="2" t="s">
        <v>33</v>
      </c>
      <c r="B16" s="4">
        <v>15</v>
      </c>
      <c r="D16" s="12"/>
      <c r="E16" s="6" t="s">
        <v>47</v>
      </c>
      <c r="F16" s="7">
        <f>F9</f>
        <v>5.6209876543209865E-2</v>
      </c>
      <c r="H16" s="12"/>
      <c r="I16" s="26"/>
      <c r="J16" s="26"/>
      <c r="K16" s="12"/>
    </row>
    <row r="17" spans="1:11">
      <c r="A17" s="2" t="s">
        <v>34</v>
      </c>
      <c r="B17" s="4">
        <v>220</v>
      </c>
      <c r="C17" s="6" t="s">
        <v>10</v>
      </c>
      <c r="D17" s="12"/>
      <c r="E17" s="6" t="s">
        <v>48</v>
      </c>
      <c r="F17" s="7">
        <f>F8*F16</f>
        <v>1.1031188271604937</v>
      </c>
      <c r="H17" s="12"/>
      <c r="I17" s="26"/>
      <c r="J17" s="26"/>
      <c r="K17" s="12"/>
    </row>
    <row r="18" spans="1:11">
      <c r="A18" s="2" t="s">
        <v>35</v>
      </c>
      <c r="B18" s="4">
        <v>41.25</v>
      </c>
      <c r="C18" s="6" t="s">
        <v>13</v>
      </c>
      <c r="D18" s="12"/>
      <c r="E18" s="15"/>
      <c r="F18" s="5"/>
      <c r="G18" s="15"/>
      <c r="H18" s="12"/>
      <c r="I18" s="26"/>
      <c r="J18" s="26"/>
      <c r="K18" s="12"/>
    </row>
    <row r="19" spans="1:11">
      <c r="A19" s="2" t="s">
        <v>36</v>
      </c>
      <c r="B19" s="4">
        <v>50</v>
      </c>
      <c r="C19" s="6" t="s">
        <v>14</v>
      </c>
      <c r="D19" s="12"/>
      <c r="E19" s="22" t="s">
        <v>49</v>
      </c>
      <c r="F19" s="7">
        <f>F17*F14*((4*3.14*B17)/(B18*B4))</f>
        <v>9.2367816460905347E-3</v>
      </c>
      <c r="G19" s="6" t="s">
        <v>18</v>
      </c>
      <c r="H19" s="12"/>
      <c r="I19" s="26"/>
      <c r="J19" s="26"/>
      <c r="K19" s="12"/>
    </row>
    <row r="20" spans="1:11">
      <c r="A20" s="12"/>
      <c r="B20" s="5"/>
      <c r="C20" s="15"/>
      <c r="D20" s="12"/>
      <c r="E20" s="6" t="s">
        <v>50</v>
      </c>
      <c r="F20" s="7">
        <f>F6*F13</f>
        <v>2.2528735632183907E-2</v>
      </c>
      <c r="G20" s="6" t="s">
        <v>18</v>
      </c>
      <c r="H20" s="12"/>
      <c r="I20" s="26"/>
      <c r="J20" s="26"/>
      <c r="K20" s="12"/>
    </row>
    <row r="21" spans="1:11">
      <c r="A21" s="12"/>
      <c r="B21" s="5"/>
      <c r="C21" s="15"/>
      <c r="D21" s="12"/>
      <c r="E21" s="6" t="s">
        <v>51</v>
      </c>
      <c r="F21" s="7">
        <f>F9*((4*3.14*B17)/(B18*B4))</f>
        <v>0.47066403292181069</v>
      </c>
      <c r="G21" s="6" t="s">
        <v>18</v>
      </c>
      <c r="H21" s="12"/>
      <c r="I21" s="26"/>
      <c r="J21" s="26"/>
      <c r="K21" s="12"/>
    </row>
    <row r="22" spans="1:11">
      <c r="A22" s="12"/>
      <c r="B22" s="5"/>
      <c r="C22" s="15"/>
      <c r="D22" s="12"/>
      <c r="E22" s="6" t="s">
        <v>52</v>
      </c>
      <c r="F22" s="7">
        <f>F5*(B18/B19)</f>
        <v>0.56343375000000007</v>
      </c>
      <c r="G22" s="6" t="s">
        <v>18</v>
      </c>
      <c r="H22" s="12"/>
      <c r="I22" s="26"/>
      <c r="J22" s="26"/>
      <c r="K22" s="12"/>
    </row>
    <row r="23" spans="1:11">
      <c r="A23" s="12"/>
      <c r="B23" s="5"/>
      <c r="C23" s="15"/>
      <c r="D23" s="12"/>
      <c r="E23" s="15"/>
      <c r="F23" s="5"/>
      <c r="G23" s="15"/>
      <c r="H23" s="12"/>
      <c r="I23" s="26"/>
      <c r="J23" s="26"/>
      <c r="K23" s="12"/>
    </row>
    <row r="24" spans="1:11">
      <c r="E24" s="19"/>
      <c r="F24" s="14"/>
      <c r="G24" s="19"/>
    </row>
    <row r="25" spans="1:11">
      <c r="E25" s="19"/>
      <c r="F25" s="14"/>
      <c r="G25" s="19"/>
    </row>
    <row r="26" spans="1:11">
      <c r="E26" s="19"/>
      <c r="F26" s="14"/>
      <c r="G26" s="19"/>
    </row>
    <row r="27" spans="1:11">
      <c r="E27" s="19"/>
      <c r="F27" s="14"/>
      <c r="G27" s="19"/>
    </row>
    <row r="33" spans="1:6">
      <c r="E33" s="23"/>
      <c r="F33" s="11"/>
    </row>
    <row r="40" spans="1:6">
      <c r="A40" s="2" t="s">
        <v>15</v>
      </c>
      <c r="B40" s="7">
        <f>(10*B3)/(B8*B9)</f>
        <v>1.1544585987261146E-6</v>
      </c>
      <c r="E40" s="24" t="s">
        <v>0</v>
      </c>
      <c r="F40" s="10">
        <f>F5/((B8*B8)*B3)</f>
        <v>294.375</v>
      </c>
    </row>
    <row r="41" spans="1:6">
      <c r="A41" s="2" t="s">
        <v>16</v>
      </c>
      <c r="B41" s="7">
        <f>(2*3.14*B3)/(10*B10)</f>
        <v>1.3652173913043479</v>
      </c>
      <c r="E41" s="24" t="s">
        <v>1</v>
      </c>
      <c r="F41" s="10">
        <f>F5/(B3*B8*F11)</f>
        <v>0.8431481481481482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2020-05-05T09:53:17Z</dcterms:created>
  <dcterms:modified xsi:type="dcterms:W3CDTF">2020-06-26T06:07:17Z</dcterms:modified>
</cp:coreProperties>
</file>