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5DDFEFE5-6E50-4A46-8FBD-17ED9ECE0DE7}" xr6:coauthVersionLast="45" xr6:coauthVersionMax="45" xr10:uidLastSave="{00000000-0000-0000-0000-000000000000}"/>
  <bookViews>
    <workbookView xWindow="-120" yWindow="-120" windowWidth="29040" windowHeight="15990" tabRatio="825" activeTab="3" xr2:uid="{00000000-000D-0000-FFFF-FFFF00000000}"/>
  </bookViews>
  <sheets>
    <sheet name="Escapement Data - Chinook" sheetId="4" r:id="rId1"/>
    <sheet name="Chinook Parameters" sheetId="9" r:id="rId2"/>
    <sheet name="Escapement Data - Steelhead" sheetId="5" r:id="rId3"/>
    <sheet name="Steelhead Parameters" sheetId="8" r:id="rId4"/>
  </sheets>
  <definedNames>
    <definedName name="eggsToParrSthd">'Escapement Data - Steelhead'!$C$6</definedName>
    <definedName name="eggToParr">'Escapement Data - Chinook'!$C$6</definedName>
    <definedName name="eggToParrSthd">'Escapement Data - Steelhead'!$C$6</definedName>
    <definedName name="fecundity">'Escapement Data - Chinook'!$C$5</definedName>
    <definedName name="fecunditySthd">'Escapement Data - Steelhead'!$C$5</definedName>
    <definedName name="femaleRatio">'Escapement Data - Chinook'!$C$3</definedName>
    <definedName name="femaleRatioSthd">'Escapement Data - Steelhead'!$C$3</definedName>
    <definedName name="parrToPresmolt">'Escapement Data - Chinook'!$C$7</definedName>
    <definedName name="parrToPresmoltSthd">'Escapement Data - Steelhead'!$C$7</definedName>
    <definedName name="reddsPerFemale">'Escapement Data - Chinook'!$C$4</definedName>
    <definedName name="reddsPerFemaleSthd">'Escapement Data - Steelhead'!$C$4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P5" i="8" l="1"/>
  <c r="AP6" i="8"/>
  <c r="AP7" i="8"/>
  <c r="AP4" i="8"/>
  <c r="AN5" i="8"/>
  <c r="AN6" i="8"/>
  <c r="AN7" i="8"/>
  <c r="AN4" i="8"/>
  <c r="AQ5" i="8"/>
  <c r="AQ6" i="8"/>
  <c r="AQ7" i="8"/>
  <c r="AQ4" i="8"/>
  <c r="AO5" i="8"/>
  <c r="AO6" i="8"/>
  <c r="AO7" i="8"/>
  <c r="AO4" i="8"/>
  <c r="AG8" i="8" l="1"/>
  <c r="AH8" i="8"/>
  <c r="AI8" i="8"/>
  <c r="AJ8" i="8"/>
  <c r="AK8" i="8"/>
  <c r="AL8" i="8"/>
  <c r="AF8" i="8"/>
  <c r="C6" i="5" s="1"/>
  <c r="F100" i="5" l="1"/>
  <c r="F99" i="5"/>
  <c r="F89" i="5"/>
  <c r="F88" i="5"/>
  <c r="F66" i="5"/>
  <c r="F65" i="5"/>
  <c r="F53" i="9" l="1"/>
  <c r="G53" i="9"/>
  <c r="J53" i="9" s="1"/>
  <c r="H53" i="9"/>
  <c r="E53" i="9"/>
  <c r="I4" i="9"/>
  <c r="J4" i="9"/>
  <c r="I5" i="9"/>
  <c r="J5" i="9"/>
  <c r="I6" i="9"/>
  <c r="J6" i="9"/>
  <c r="I7" i="9"/>
  <c r="J7" i="9"/>
  <c r="I8" i="9"/>
  <c r="J8" i="9"/>
  <c r="I9" i="9"/>
  <c r="J9" i="9"/>
  <c r="I10" i="9"/>
  <c r="J10" i="9"/>
  <c r="I11" i="9"/>
  <c r="J11" i="9"/>
  <c r="I12" i="9"/>
  <c r="J12" i="9"/>
  <c r="I13" i="9"/>
  <c r="J13" i="9"/>
  <c r="I14" i="9"/>
  <c r="J14" i="9"/>
  <c r="I15" i="9"/>
  <c r="J15" i="9"/>
  <c r="I16" i="9"/>
  <c r="J16" i="9"/>
  <c r="I17" i="9"/>
  <c r="J17" i="9"/>
  <c r="I18" i="9"/>
  <c r="J18" i="9"/>
  <c r="I19" i="9"/>
  <c r="J19" i="9"/>
  <c r="I20" i="9"/>
  <c r="J20" i="9"/>
  <c r="I21" i="9"/>
  <c r="J21" i="9"/>
  <c r="I22" i="9"/>
  <c r="J22" i="9"/>
  <c r="I23" i="9"/>
  <c r="J23" i="9"/>
  <c r="I24" i="9"/>
  <c r="J24" i="9"/>
  <c r="I25" i="9"/>
  <c r="J25" i="9"/>
  <c r="I26" i="9"/>
  <c r="J26" i="9"/>
  <c r="I27" i="9"/>
  <c r="J27" i="9"/>
  <c r="I28" i="9"/>
  <c r="J28" i="9"/>
  <c r="I29" i="9"/>
  <c r="J29" i="9"/>
  <c r="I30" i="9"/>
  <c r="J30" i="9"/>
  <c r="I31" i="9"/>
  <c r="J31" i="9"/>
  <c r="I32" i="9"/>
  <c r="J32" i="9"/>
  <c r="I33" i="9"/>
  <c r="J33" i="9"/>
  <c r="I34" i="9"/>
  <c r="J34" i="9"/>
  <c r="I35" i="9"/>
  <c r="J35" i="9"/>
  <c r="I36" i="9"/>
  <c r="J36" i="9"/>
  <c r="I37" i="9"/>
  <c r="J37" i="9"/>
  <c r="I38" i="9"/>
  <c r="J38" i="9"/>
  <c r="I39" i="9"/>
  <c r="J39" i="9"/>
  <c r="I40" i="9"/>
  <c r="J40" i="9"/>
  <c r="I41" i="9"/>
  <c r="J41" i="9"/>
  <c r="I42" i="9"/>
  <c r="J42" i="9"/>
  <c r="I43" i="9"/>
  <c r="J43" i="9"/>
  <c r="I44" i="9"/>
  <c r="J44" i="9"/>
  <c r="I45" i="9"/>
  <c r="J45" i="9"/>
  <c r="I46" i="9"/>
  <c r="J46" i="9"/>
  <c r="I47" i="9"/>
  <c r="J47" i="9"/>
  <c r="I48" i="9"/>
  <c r="J48" i="9"/>
  <c r="I49" i="9"/>
  <c r="J49" i="9"/>
  <c r="I50" i="9"/>
  <c r="J50" i="9"/>
  <c r="I51" i="9"/>
  <c r="J51" i="9"/>
  <c r="I52" i="9"/>
  <c r="J52" i="9"/>
  <c r="J3" i="9"/>
  <c r="I3" i="9"/>
  <c r="I53" i="9" l="1"/>
  <c r="D38" i="8" l="1"/>
  <c r="C38" i="8"/>
  <c r="E32" i="8"/>
  <c r="E33" i="8"/>
  <c r="E34" i="8"/>
  <c r="E35" i="8"/>
  <c r="E36" i="8"/>
  <c r="E37" i="8"/>
  <c r="E31" i="8"/>
  <c r="E38" i="8" s="1"/>
  <c r="C5" i="5" s="1"/>
  <c r="R45" i="8"/>
  <c r="S45" i="8"/>
  <c r="T45" i="8"/>
  <c r="Q45" i="8"/>
  <c r="U4" i="8"/>
  <c r="V4" i="8" s="1"/>
  <c r="U5" i="8"/>
  <c r="V5" i="8" s="1"/>
  <c r="U6" i="8"/>
  <c r="V6" i="8" s="1"/>
  <c r="U7" i="8"/>
  <c r="V7" i="8" s="1"/>
  <c r="U8" i="8"/>
  <c r="V8" i="8" s="1"/>
  <c r="U9" i="8"/>
  <c r="V9" i="8" s="1"/>
  <c r="U10" i="8"/>
  <c r="V10" i="8" s="1"/>
  <c r="U11" i="8"/>
  <c r="V11" i="8" s="1"/>
  <c r="U12" i="8"/>
  <c r="V12" i="8" s="1"/>
  <c r="U13" i="8"/>
  <c r="V13" i="8" s="1"/>
  <c r="U14" i="8"/>
  <c r="V14" i="8" s="1"/>
  <c r="U15" i="8"/>
  <c r="V15" i="8" s="1"/>
  <c r="U16" i="8"/>
  <c r="V16" i="8" s="1"/>
  <c r="U17" i="8"/>
  <c r="V17" i="8" s="1"/>
  <c r="U18" i="8"/>
  <c r="V18" i="8" s="1"/>
  <c r="U19" i="8"/>
  <c r="V19" i="8" s="1"/>
  <c r="U20" i="8"/>
  <c r="V20" i="8" s="1"/>
  <c r="U21" i="8"/>
  <c r="V21" i="8" s="1"/>
  <c r="U22" i="8"/>
  <c r="V22" i="8" s="1"/>
  <c r="U23" i="8"/>
  <c r="V23" i="8" s="1"/>
  <c r="U24" i="8"/>
  <c r="V24" i="8" s="1"/>
  <c r="U25" i="8"/>
  <c r="V25" i="8" s="1"/>
  <c r="U26" i="8"/>
  <c r="V26" i="8" s="1"/>
  <c r="U27" i="8"/>
  <c r="V27" i="8" s="1"/>
  <c r="U28" i="8"/>
  <c r="V28" i="8" s="1"/>
  <c r="U29" i="8"/>
  <c r="V29" i="8" s="1"/>
  <c r="U30" i="8"/>
  <c r="V30" i="8" s="1"/>
  <c r="U31" i="8"/>
  <c r="V31" i="8" s="1"/>
  <c r="U32" i="8"/>
  <c r="V32" i="8" s="1"/>
  <c r="U33" i="8"/>
  <c r="V33" i="8" s="1"/>
  <c r="U34" i="8"/>
  <c r="V34" i="8" s="1"/>
  <c r="U35" i="8"/>
  <c r="V35" i="8" s="1"/>
  <c r="U36" i="8"/>
  <c r="V36" i="8" s="1"/>
  <c r="U37" i="8"/>
  <c r="V37" i="8" s="1"/>
  <c r="U38" i="8"/>
  <c r="V38" i="8" s="1"/>
  <c r="U39" i="8"/>
  <c r="V39" i="8" s="1"/>
  <c r="U40" i="8"/>
  <c r="V40" i="8" s="1"/>
  <c r="U41" i="8"/>
  <c r="V41" i="8" s="1"/>
  <c r="U42" i="8"/>
  <c r="V42" i="8" s="1"/>
  <c r="U43" i="8"/>
  <c r="V43" i="8" s="1"/>
  <c r="U44" i="8"/>
  <c r="V44" i="8" s="1"/>
  <c r="U3" i="8"/>
  <c r="V3" i="8" s="1"/>
  <c r="K5" i="8"/>
  <c r="K6" i="8"/>
  <c r="K7" i="8"/>
  <c r="K8" i="8"/>
  <c r="K9" i="8"/>
  <c r="K10" i="8"/>
  <c r="K11" i="8"/>
  <c r="K12" i="8"/>
  <c r="K13" i="8"/>
  <c r="K14" i="8"/>
  <c r="K15" i="8"/>
  <c r="K16" i="8"/>
  <c r="K17" i="8"/>
  <c r="K18" i="8"/>
  <c r="K19" i="8"/>
  <c r="K4" i="8"/>
  <c r="F23" i="5"/>
  <c r="F22" i="5"/>
  <c r="F11" i="5"/>
  <c r="R5" i="5" s="1"/>
  <c r="F10" i="5"/>
  <c r="Q5" i="5" s="1"/>
  <c r="T5" i="5"/>
  <c r="K20" i="8" l="1"/>
  <c r="C4" i="5" s="1"/>
  <c r="K21" i="8"/>
  <c r="U45" i="8"/>
  <c r="V45" i="8" l="1"/>
  <c r="C3" i="5"/>
  <c r="T6" i="5" s="1"/>
  <c r="T7" i="5" s="1"/>
  <c r="T8" i="5" s="1"/>
  <c r="S6" i="5"/>
  <c r="S7" i="5" s="1"/>
  <c r="S8" i="5" s="1"/>
  <c r="U98" i="5" l="1"/>
  <c r="U96" i="5"/>
  <c r="U87" i="5"/>
  <c r="U85" i="5"/>
  <c r="U75" i="5"/>
  <c r="U73" i="5"/>
  <c r="U64" i="5"/>
  <c r="U62" i="5"/>
  <c r="U54" i="5"/>
  <c r="U52" i="5"/>
  <c r="U44" i="5"/>
  <c r="U42" i="5"/>
  <c r="U32" i="5"/>
  <c r="U30" i="5"/>
  <c r="U20" i="5"/>
  <c r="U18" i="5"/>
  <c r="U6" i="5" s="1"/>
  <c r="V6" i="5" s="1"/>
  <c r="S96" i="5"/>
  <c r="S85" i="5"/>
  <c r="S73" i="5"/>
  <c r="S62" i="5"/>
  <c r="S52" i="5"/>
  <c r="R95" i="5"/>
  <c r="R96" i="5" s="1"/>
  <c r="Q95" i="5"/>
  <c r="Q96" i="5" s="1"/>
  <c r="R84" i="5"/>
  <c r="R85" i="5" s="1"/>
  <c r="Q84" i="5"/>
  <c r="Q85" i="5" s="1"/>
  <c r="R61" i="5"/>
  <c r="R62" i="5" s="1"/>
  <c r="Q61" i="5"/>
  <c r="Q62" i="5" s="1"/>
  <c r="T95" i="5"/>
  <c r="T96" i="5" s="1"/>
  <c r="T84" i="5"/>
  <c r="T85" i="5" s="1"/>
  <c r="T72" i="5"/>
  <c r="T73" i="5" s="1"/>
  <c r="T61" i="5"/>
  <c r="T62" i="5" s="1"/>
  <c r="T51" i="5"/>
  <c r="T52" i="5" s="1"/>
  <c r="R17" i="5"/>
  <c r="R18" i="5" s="1"/>
  <c r="Q17" i="5"/>
  <c r="Q18" i="5" s="1"/>
  <c r="F78" i="5"/>
  <c r="R72" i="5" s="1"/>
  <c r="R73" i="5" s="1"/>
  <c r="F77" i="5"/>
  <c r="Q72" i="5" s="1"/>
  <c r="Q73" i="5" s="1"/>
  <c r="F55" i="5"/>
  <c r="R51" i="5" s="1"/>
  <c r="R52" i="5" s="1"/>
  <c r="F54" i="5"/>
  <c r="Q51" i="5" s="1"/>
  <c r="Q52" i="5" s="1"/>
  <c r="F45" i="5"/>
  <c r="R41" i="5" s="1"/>
  <c r="R42" i="5" s="1"/>
  <c r="F44" i="5"/>
  <c r="Q41" i="5" s="1"/>
  <c r="Q42" i="5" s="1"/>
  <c r="F35" i="5"/>
  <c r="F34" i="5"/>
  <c r="U109" i="4"/>
  <c r="U107" i="4"/>
  <c r="U99" i="4"/>
  <c r="U97" i="4"/>
  <c r="U87" i="4"/>
  <c r="U85" i="4"/>
  <c r="U43" i="4"/>
  <c r="U53" i="4"/>
  <c r="U51" i="4"/>
  <c r="U63" i="4"/>
  <c r="U65" i="4"/>
  <c r="U41" i="4"/>
  <c r="U31" i="4"/>
  <c r="U29" i="4"/>
  <c r="U8" i="4"/>
  <c r="U6" i="4"/>
  <c r="T106" i="4"/>
  <c r="T107" i="4" s="1"/>
  <c r="T96" i="4"/>
  <c r="T97" i="4" s="1"/>
  <c r="T84" i="4"/>
  <c r="T85" i="4" s="1"/>
  <c r="T62" i="4"/>
  <c r="T63" i="4" s="1"/>
  <c r="T50" i="4"/>
  <c r="T51" i="4" s="1"/>
  <c r="T40" i="4"/>
  <c r="T41" i="4" s="1"/>
  <c r="T28" i="4"/>
  <c r="T29" i="4" s="1"/>
  <c r="T5" i="4"/>
  <c r="S107" i="4"/>
  <c r="S97" i="4"/>
  <c r="S85" i="4"/>
  <c r="S63" i="4"/>
  <c r="S51" i="4"/>
  <c r="S41" i="4"/>
  <c r="S29" i="4"/>
  <c r="S6" i="4"/>
  <c r="T6" i="4"/>
  <c r="S7" i="4"/>
  <c r="S8" i="4" s="1"/>
  <c r="R106" i="4"/>
  <c r="R107" i="4" s="1"/>
  <c r="Q106" i="4"/>
  <c r="Q107" i="4" s="1"/>
  <c r="R96" i="4"/>
  <c r="R97" i="4" s="1"/>
  <c r="Q96" i="4"/>
  <c r="Q97" i="4" s="1"/>
  <c r="G89" i="4"/>
  <c r="H89" i="4"/>
  <c r="K89" i="4"/>
  <c r="L89" i="4"/>
  <c r="M89" i="4"/>
  <c r="N89" i="4"/>
  <c r="G90" i="4"/>
  <c r="H90" i="4"/>
  <c r="K90" i="4"/>
  <c r="L90" i="4"/>
  <c r="M90" i="4"/>
  <c r="N90" i="4"/>
  <c r="F90" i="4"/>
  <c r="R84" i="4" s="1"/>
  <c r="R85" i="4" s="1"/>
  <c r="F89" i="4"/>
  <c r="Q84" i="4" s="1"/>
  <c r="Q85" i="4" s="1"/>
  <c r="J88" i="4"/>
  <c r="I88" i="4"/>
  <c r="J87" i="4"/>
  <c r="I87" i="4"/>
  <c r="J86" i="4"/>
  <c r="I86" i="4"/>
  <c r="J84" i="4"/>
  <c r="I84" i="4"/>
  <c r="J83" i="4"/>
  <c r="I83" i="4"/>
  <c r="G77" i="4"/>
  <c r="H77" i="4"/>
  <c r="K77" i="4"/>
  <c r="L77" i="4"/>
  <c r="M77" i="4"/>
  <c r="N77" i="4"/>
  <c r="G78" i="4"/>
  <c r="H78" i="4"/>
  <c r="K78" i="4"/>
  <c r="L78" i="4"/>
  <c r="M78" i="4"/>
  <c r="N78" i="4"/>
  <c r="F78" i="4"/>
  <c r="R62" i="4" s="1"/>
  <c r="R63" i="4" s="1"/>
  <c r="F77" i="4"/>
  <c r="Q62" i="4" s="1"/>
  <c r="Q63" i="4" s="1"/>
  <c r="I62" i="4"/>
  <c r="J62" i="4"/>
  <c r="I63" i="4"/>
  <c r="J63" i="4"/>
  <c r="I64" i="4"/>
  <c r="J64" i="4"/>
  <c r="I65" i="4"/>
  <c r="J65" i="4"/>
  <c r="I66" i="4"/>
  <c r="J66" i="4"/>
  <c r="I67" i="4"/>
  <c r="J67" i="4"/>
  <c r="I68" i="4"/>
  <c r="J68" i="4"/>
  <c r="I69" i="4"/>
  <c r="J69" i="4"/>
  <c r="I70" i="4"/>
  <c r="J70" i="4"/>
  <c r="I71" i="4"/>
  <c r="J71" i="4"/>
  <c r="I72" i="4"/>
  <c r="J72" i="4"/>
  <c r="I73" i="4"/>
  <c r="J73" i="4"/>
  <c r="I74" i="4"/>
  <c r="J74" i="4"/>
  <c r="I75" i="4"/>
  <c r="J75" i="4"/>
  <c r="I76" i="4"/>
  <c r="J76" i="4"/>
  <c r="J61" i="4"/>
  <c r="I61" i="4"/>
  <c r="F56" i="4"/>
  <c r="R50" i="4" s="1"/>
  <c r="R51" i="4" s="1"/>
  <c r="F55" i="4"/>
  <c r="Q50" i="4" s="1"/>
  <c r="Q51" i="4" s="1"/>
  <c r="V63" i="4" l="1"/>
  <c r="I77" i="4"/>
  <c r="I78" i="4"/>
  <c r="J77" i="4"/>
  <c r="J78" i="4"/>
  <c r="I89" i="4"/>
  <c r="I90" i="4"/>
  <c r="J89" i="4"/>
  <c r="J90" i="4"/>
  <c r="S9" i="4"/>
  <c r="T7" i="4"/>
  <c r="T8" i="4" s="1"/>
  <c r="V6" i="4"/>
  <c r="U8" i="5"/>
  <c r="V8" i="5" s="1"/>
  <c r="Q29" i="5"/>
  <c r="Q30" i="5" s="1"/>
  <c r="Q31" i="5" s="1"/>
  <c r="Q32" i="5" s="1"/>
  <c r="Q6" i="5"/>
  <c r="Q7" i="5" s="1"/>
  <c r="Q8" i="5" s="1"/>
  <c r="R29" i="5"/>
  <c r="R30" i="5" s="1"/>
  <c r="R31" i="5" s="1"/>
  <c r="R32" i="5" s="1"/>
  <c r="R6" i="5"/>
  <c r="R7" i="5" s="1"/>
  <c r="R8" i="5" s="1"/>
  <c r="Q19" i="5"/>
  <c r="Q20" i="5" s="1"/>
  <c r="R19" i="5"/>
  <c r="R20" i="5" s="1"/>
  <c r="T108" i="4"/>
  <c r="T109" i="4" s="1"/>
  <c r="V107" i="4"/>
  <c r="Q108" i="4"/>
  <c r="Q109" i="4" s="1"/>
  <c r="R108" i="4"/>
  <c r="R109" i="4" s="1"/>
  <c r="S108" i="4"/>
  <c r="S109" i="4" s="1"/>
  <c r="T98" i="4"/>
  <c r="T99" i="4" s="1"/>
  <c r="V97" i="4"/>
  <c r="S98" i="4"/>
  <c r="S99" i="4" s="1"/>
  <c r="R98" i="4"/>
  <c r="R99" i="4" s="1"/>
  <c r="Q98" i="4"/>
  <c r="Q99" i="4" s="1"/>
  <c r="T86" i="4"/>
  <c r="T87" i="4" s="1"/>
  <c r="V85" i="4"/>
  <c r="Q86" i="4"/>
  <c r="Q87" i="4" s="1"/>
  <c r="S86" i="4"/>
  <c r="S87" i="4" s="1"/>
  <c r="R86" i="4"/>
  <c r="R87" i="4" s="1"/>
  <c r="Q64" i="4"/>
  <c r="Q65" i="4" s="1"/>
  <c r="R64" i="4"/>
  <c r="R65" i="4" s="1"/>
  <c r="S64" i="4"/>
  <c r="S65" i="4" s="1"/>
  <c r="T64" i="4"/>
  <c r="T65" i="4" s="1"/>
  <c r="T52" i="4"/>
  <c r="T53" i="4" s="1"/>
  <c r="V51" i="4"/>
  <c r="S52" i="4"/>
  <c r="S53" i="4" s="1"/>
  <c r="Q52" i="4"/>
  <c r="Q53" i="4" s="1"/>
  <c r="R52" i="4"/>
  <c r="R53" i="4" s="1"/>
  <c r="T42" i="4"/>
  <c r="T43" i="4" s="1"/>
  <c r="V41" i="4"/>
  <c r="S42" i="4"/>
  <c r="S43" i="4" s="1"/>
  <c r="T30" i="4"/>
  <c r="T31" i="4" s="1"/>
  <c r="S30" i="4"/>
  <c r="S31" i="4" s="1"/>
  <c r="V29" i="4"/>
  <c r="T97" i="5"/>
  <c r="T98" i="5" s="1"/>
  <c r="Q97" i="5"/>
  <c r="Q98" i="5" s="1"/>
  <c r="R97" i="5"/>
  <c r="R98" i="5" s="1"/>
  <c r="S97" i="5"/>
  <c r="S98" i="5" s="1"/>
  <c r="T86" i="5"/>
  <c r="T87" i="5" s="1"/>
  <c r="Q86" i="5"/>
  <c r="Q87" i="5" s="1"/>
  <c r="R86" i="5"/>
  <c r="R87" i="5" s="1"/>
  <c r="S86" i="5"/>
  <c r="S87" i="5" s="1"/>
  <c r="S74" i="5"/>
  <c r="S75" i="5" s="1"/>
  <c r="Q74" i="5"/>
  <c r="Q75" i="5" s="1"/>
  <c r="R74" i="5"/>
  <c r="R75" i="5" s="1"/>
  <c r="T74" i="5"/>
  <c r="T75" i="5" s="1"/>
  <c r="S63" i="5"/>
  <c r="S64" i="5" s="1"/>
  <c r="Q63" i="5"/>
  <c r="Q64" i="5" s="1"/>
  <c r="R63" i="5"/>
  <c r="R64" i="5" s="1"/>
  <c r="T63" i="5"/>
  <c r="T64" i="5" s="1"/>
  <c r="Q53" i="5"/>
  <c r="Q54" i="5" s="1"/>
  <c r="R53" i="5"/>
  <c r="R54" i="5" s="1"/>
  <c r="S53" i="5"/>
  <c r="S54" i="5" s="1"/>
  <c r="T53" i="5"/>
  <c r="T54" i="5" s="1"/>
  <c r="Q43" i="5"/>
  <c r="Q44" i="5" s="1"/>
  <c r="R43" i="5"/>
  <c r="R44" i="5" s="1"/>
  <c r="V52" i="5"/>
  <c r="V73" i="5"/>
  <c r="V62" i="5"/>
  <c r="V96" i="5"/>
  <c r="V85" i="5"/>
  <c r="F44" i="4"/>
  <c r="R40" i="4" s="1"/>
  <c r="R41" i="4" s="1"/>
  <c r="F43" i="4"/>
  <c r="Q40" i="4" s="1"/>
  <c r="Q41" i="4" s="1"/>
  <c r="F34" i="4"/>
  <c r="R28" i="4" s="1"/>
  <c r="R29" i="4" s="1"/>
  <c r="F33" i="4"/>
  <c r="Q28" i="4" s="1"/>
  <c r="Q29" i="4" s="1"/>
  <c r="G21" i="4"/>
  <c r="H21" i="4"/>
  <c r="K21" i="4"/>
  <c r="L21" i="4"/>
  <c r="M21" i="4"/>
  <c r="N21" i="4"/>
  <c r="G22" i="4"/>
  <c r="H22" i="4"/>
  <c r="K22" i="4"/>
  <c r="L22" i="4"/>
  <c r="M22" i="4"/>
  <c r="N22" i="4"/>
  <c r="F22" i="4"/>
  <c r="R5" i="4" s="1"/>
  <c r="R6" i="4" s="1"/>
  <c r="F21" i="4"/>
  <c r="Q5" i="4" s="1"/>
  <c r="Q6" i="4" s="1"/>
  <c r="I5" i="4"/>
  <c r="J5" i="4"/>
  <c r="I6" i="4"/>
  <c r="J6" i="4"/>
  <c r="I7" i="4"/>
  <c r="J7" i="4"/>
  <c r="I8" i="4"/>
  <c r="J8" i="4"/>
  <c r="I9" i="4"/>
  <c r="J9" i="4"/>
  <c r="I10" i="4"/>
  <c r="J10" i="4"/>
  <c r="I11" i="4"/>
  <c r="J11" i="4"/>
  <c r="I12" i="4"/>
  <c r="J12" i="4"/>
  <c r="I13" i="4"/>
  <c r="J13" i="4"/>
  <c r="I14" i="4"/>
  <c r="J14" i="4"/>
  <c r="I15" i="4"/>
  <c r="J15" i="4"/>
  <c r="I16" i="4"/>
  <c r="J16" i="4"/>
  <c r="I17" i="4"/>
  <c r="J17" i="4"/>
  <c r="I18" i="4"/>
  <c r="J18" i="4"/>
  <c r="I19" i="4"/>
  <c r="J19" i="4"/>
  <c r="I20" i="4"/>
  <c r="J20" i="4"/>
  <c r="J4" i="4"/>
  <c r="I4" i="4"/>
  <c r="I21" i="4" s="1"/>
  <c r="J22" i="4" l="1"/>
  <c r="J21" i="4"/>
  <c r="Q7" i="4"/>
  <c r="Q8" i="4" s="1"/>
  <c r="R7" i="4"/>
  <c r="R8" i="4" s="1"/>
  <c r="Q30" i="4"/>
  <c r="Q31" i="4" s="1"/>
  <c r="R30" i="4"/>
  <c r="R31" i="4" s="1"/>
  <c r="Q42" i="4"/>
  <c r="Q43" i="4" s="1"/>
  <c r="R42" i="4"/>
  <c r="R43" i="4" s="1"/>
  <c r="T9" i="4"/>
  <c r="V8" i="4"/>
  <c r="S110" i="4"/>
  <c r="R110" i="4"/>
  <c r="Q110" i="4"/>
  <c r="T110" i="4"/>
  <c r="V109" i="4"/>
  <c r="R100" i="4"/>
  <c r="Q100" i="4"/>
  <c r="S100" i="4"/>
  <c r="T100" i="4"/>
  <c r="V99" i="4"/>
  <c r="R88" i="4"/>
  <c r="S88" i="4"/>
  <c r="Q88" i="4"/>
  <c r="T88" i="4"/>
  <c r="V87" i="4"/>
  <c r="T66" i="4"/>
  <c r="V65" i="4"/>
  <c r="S66" i="4"/>
  <c r="R66" i="4"/>
  <c r="Q66" i="4"/>
  <c r="Q54" i="4"/>
  <c r="S54" i="4"/>
  <c r="R54" i="4"/>
  <c r="T54" i="4"/>
  <c r="V53" i="4"/>
  <c r="S44" i="4"/>
  <c r="R44" i="4"/>
  <c r="Q44" i="4"/>
  <c r="T44" i="4"/>
  <c r="V43" i="4"/>
  <c r="S32" i="4"/>
  <c r="T32" i="4"/>
  <c r="V31" i="4"/>
  <c r="R32" i="4"/>
  <c r="Q32" i="4"/>
  <c r="V54" i="5"/>
  <c r="V98" i="5"/>
  <c r="V64" i="5"/>
  <c r="V75" i="5"/>
  <c r="V87" i="5"/>
  <c r="I22" i="4"/>
  <c r="R9" i="4" l="1"/>
  <c r="Q9" i="4"/>
  <c r="Y27" i="5"/>
  <c r="Y28" i="5"/>
  <c r="Y29" i="5"/>
  <c r="Y30" i="5" l="1"/>
  <c r="Z27" i="5" s="1"/>
  <c r="S17" i="5" s="1"/>
  <c r="S18" i="5" l="1"/>
  <c r="T17" i="5"/>
  <c r="T18" i="5" s="1"/>
  <c r="Z30" i="5"/>
  <c r="Z29" i="5"/>
  <c r="S41" i="5" s="1"/>
  <c r="Z28" i="5"/>
  <c r="S29" i="5" s="1"/>
  <c r="S30" i="5" l="1"/>
  <c r="T29" i="5"/>
  <c r="T30" i="5" s="1"/>
  <c r="S42" i="5"/>
  <c r="T41" i="5"/>
  <c r="T42" i="5" s="1"/>
  <c r="T19" i="5"/>
  <c r="T20" i="5" s="1"/>
  <c r="V18" i="5"/>
  <c r="S19" i="5"/>
  <c r="S20" i="5" s="1"/>
  <c r="V20" i="5" l="1"/>
  <c r="T43" i="5"/>
  <c r="T44" i="5" s="1"/>
  <c r="V42" i="5"/>
  <c r="S43" i="5"/>
  <c r="S44" i="5" s="1"/>
  <c r="T31" i="5"/>
  <c r="T32" i="5" s="1"/>
  <c r="V30" i="5"/>
  <c r="S31" i="5"/>
  <c r="S32" i="5" s="1"/>
  <c r="V32" i="5" l="1"/>
  <c r="V44" i="5"/>
  <c r="AR5" i="8"/>
  <c r="AR6" i="8"/>
  <c r="AR7" i="8"/>
  <c r="AR4" i="8"/>
  <c r="AR8" i="8"/>
  <c r="C7" i="5"/>
  <c r="S9" i="5"/>
  <c r="T9" i="5"/>
  <c r="Q9" i="5"/>
  <c r="R9" i="5"/>
  <c r="R21" i="5"/>
  <c r="Q21" i="5"/>
  <c r="S99" i="5"/>
  <c r="R99" i="5"/>
  <c r="Q99" i="5"/>
  <c r="T99" i="5"/>
  <c r="S88" i="5"/>
  <c r="R88" i="5"/>
  <c r="Q88" i="5"/>
  <c r="T88" i="5"/>
  <c r="T76" i="5"/>
  <c r="R76" i="5"/>
  <c r="S76" i="5"/>
  <c r="Q76" i="5"/>
  <c r="T65" i="5"/>
  <c r="R65" i="5"/>
  <c r="S65" i="5"/>
  <c r="Q65" i="5"/>
  <c r="T55" i="5"/>
  <c r="S55" i="5"/>
  <c r="R55" i="5"/>
  <c r="Q55" i="5"/>
  <c r="R45" i="5"/>
  <c r="Q45" i="5"/>
  <c r="Q33" i="5"/>
  <c r="R33" i="5"/>
  <c r="S21" i="5"/>
  <c r="T21" i="5"/>
  <c r="S33" i="5"/>
  <c r="T33" i="5"/>
  <c r="S45" i="5"/>
  <c r="T4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14" authorId="0" shapeId="0" xr:uid="{00000000-0006-0000-0600-000001000000}">
      <text>
        <r>
          <rPr>
            <b/>
            <sz val="9"/>
            <color indexed="81"/>
            <rFont val="Tahoma"/>
            <family val="2"/>
          </rPr>
          <t>Author:</t>
        </r>
        <r>
          <rPr>
            <sz val="9"/>
            <color indexed="81"/>
            <rFont val="Tahoma"/>
            <family val="2"/>
          </rPr>
          <t xml:space="preserve">
Upper Salmon (above Redfish Lake), Valley Creek, and Yankee Fork are all part of the SRUMA TRT Population. The NOAA MAT for SRUMA is 1,000. What is the best way to evaluate required versus available capacity?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X1" authorId="0" shapeId="0" xr:uid="{00000000-0006-0000-0800-000001000000}">
      <text>
        <r>
          <rPr>
            <b/>
            <sz val="9"/>
            <color indexed="81"/>
            <rFont val="Tahoma"/>
            <family val="2"/>
          </rPr>
          <t>Author:</t>
        </r>
        <r>
          <rPr>
            <sz val="9"/>
            <color indexed="81"/>
            <rFont val="Tahoma"/>
            <family val="2"/>
          </rPr>
          <t xml:space="preserve">
From McHugh et al. (2017). Linking models across scales to assess the viability and restoration potential of a threatened population of steelhead (Oncorhynchus mykiss) in the Middle Fork John Day, Oregon, USA. Ecological Modelling. 355:24-38.</t>
        </r>
      </text>
    </comment>
    <comment ref="B2" authorId="0" shapeId="0" xr:uid="{00000000-0006-0000-0800-000002000000}">
      <text>
        <r>
          <rPr>
            <b/>
            <sz val="9"/>
            <color indexed="81"/>
            <rFont val="Tahoma"/>
            <family val="2"/>
          </rPr>
          <t>Author:</t>
        </r>
        <r>
          <rPr>
            <sz val="9"/>
            <color indexed="81"/>
            <rFont val="Tahoma"/>
            <family val="2"/>
          </rPr>
          <t xml:space="preserve">
Table from Deer Creek, OR. 
Jonasson, B. et al. 2016. Investigations into the Life History of Naturally Produced Spring Chinook Salmon and Summer Steelhead in the Grande Ronde River Subbasin. Annual Report for BPA Project #1992-026-04.</t>
        </r>
      </text>
    </comment>
    <comment ref="B29" authorId="0" shapeId="0" xr:uid="{00000000-0006-0000-0800-000003000000}">
      <text>
        <r>
          <rPr>
            <b/>
            <sz val="9"/>
            <color indexed="81"/>
            <rFont val="Tahoma"/>
            <family val="2"/>
          </rPr>
          <t>Author:</t>
        </r>
        <r>
          <rPr>
            <sz val="9"/>
            <color indexed="81"/>
            <rFont val="Tahoma"/>
            <family val="2"/>
          </rPr>
          <t xml:space="preserve">
Table from: Steeve Pomerleau, IDFG, pers. comm.
For Sawtooth Hatchery </t>
        </r>
      </text>
    </comment>
    <comment ref="E41" authorId="0" shapeId="0" xr:uid="{00000000-0006-0000-0800-000004000000}">
      <text>
        <r>
          <rPr>
            <b/>
            <sz val="9"/>
            <color indexed="81"/>
            <rFont val="Tahoma"/>
            <family val="2"/>
          </rPr>
          <t>Author:</t>
        </r>
        <r>
          <rPr>
            <sz val="9"/>
            <color indexed="81"/>
            <rFont val="Tahoma"/>
            <family val="2"/>
          </rPr>
          <t xml:space="preserve">
Todd Garlie, IDFG, pers. comm.
For Pahsimeroi Hatchery</t>
        </r>
      </text>
    </comment>
  </commentList>
</comments>
</file>

<file path=xl/sharedStrings.xml><?xml version="1.0" encoding="utf-8"?>
<sst xmlns="http://schemas.openxmlformats.org/spreadsheetml/2006/main" count="661" uniqueCount="160">
  <si>
    <t>East Fork Salmon River</t>
  </si>
  <si>
    <t>NA</t>
  </si>
  <si>
    <t>Lemhi River</t>
  </si>
  <si>
    <t>North Fork Salmon River</t>
  </si>
  <si>
    <t>Pahsimeroi</t>
  </si>
  <si>
    <t>Pahsimeroi River</t>
  </si>
  <si>
    <t>Upper Salmon</t>
  </si>
  <si>
    <t>Valley Creek</t>
  </si>
  <si>
    <t>Yankee Fork</t>
  </si>
  <si>
    <t>Redds</t>
  </si>
  <si>
    <t>UPPER SALMON - CHINOOK</t>
  </si>
  <si>
    <t>Summer Parr</t>
  </si>
  <si>
    <t>Redd</t>
  </si>
  <si>
    <t>UPPER SALMON - STEELHEAD</t>
  </si>
  <si>
    <t>Stream Length (km)</t>
  </si>
  <si>
    <t>Total:</t>
  </si>
  <si>
    <t>VALLEY CREEK - CHINOOK</t>
  </si>
  <si>
    <t>VALLEY CREEK - STEELHEAD</t>
  </si>
  <si>
    <t>YANKEE FORK - CHINOOK</t>
  </si>
  <si>
    <t>YANKEE FORK - STEELHEAD</t>
  </si>
  <si>
    <t>EAST FORK - CHINOOK</t>
  </si>
  <si>
    <t>EAST FORK - STEELHEAD</t>
  </si>
  <si>
    <t>PAHSIMEROI - CHINOOK</t>
  </si>
  <si>
    <t>PAHSIMEROI - STEELHEAD</t>
  </si>
  <si>
    <t>LEMHI - CHINOOK</t>
  </si>
  <si>
    <t>LEMHI - STEELHEAD</t>
  </si>
  <si>
    <t>NORTH FORK - CHINOOK</t>
  </si>
  <si>
    <t>NORTH FORK - STEELHEAD</t>
  </si>
  <si>
    <t>PANTHER - CHINOOK</t>
  </si>
  <si>
    <t>PANTHER - STEELHEAD</t>
  </si>
  <si>
    <t>Parameter</t>
  </si>
  <si>
    <t>Value</t>
  </si>
  <si>
    <t>UPPER SALMON - CHINOOK (Sawtooth Weir and RST)</t>
  </si>
  <si>
    <t>Female Ratio</t>
  </si>
  <si>
    <t>Year</t>
  </si>
  <si>
    <t>Escapement</t>
  </si>
  <si>
    <t>Females</t>
  </si>
  <si>
    <t>Females/Redd</t>
  </si>
  <si>
    <t>Redds/Female</t>
  </si>
  <si>
    <t>Fry</t>
  </si>
  <si>
    <t>Parr</t>
  </si>
  <si>
    <t>Pre-smolt</t>
  </si>
  <si>
    <t>Smolt</t>
  </si>
  <si>
    <t>Life-Stage</t>
  </si>
  <si>
    <t>Required Capacity</t>
  </si>
  <si>
    <t>Available Capacity</t>
  </si>
  <si>
    <t>Capacity Deficit</t>
  </si>
  <si>
    <t>Mean</t>
  </si>
  <si>
    <t>Max</t>
  </si>
  <si>
    <t>MAT</t>
  </si>
  <si>
    <t>MAT + 25%</t>
  </si>
  <si>
    <t>Fecundity</t>
  </si>
  <si>
    <t>Egg:Parr</t>
  </si>
  <si>
    <t>Parr:Presmolt</t>
  </si>
  <si>
    <t>Eggs</t>
  </si>
  <si>
    <t>Winter Pre-smolt</t>
  </si>
  <si>
    <t>N/A</t>
  </si>
  <si>
    <t>Maximum</t>
  </si>
  <si>
    <t>VALLEY CREEK - CHINOOK (VC1 &amp; VC2 IPTDS)</t>
  </si>
  <si>
    <t>YANKEE FORK - CHINOOK (Weir and YFK IPTDS)</t>
  </si>
  <si>
    <t>EAST FORK - CHINOOK (Weir)</t>
  </si>
  <si>
    <t>PAHSIMEROI - CHINOOK (Pahsimeroi Weir and RST)</t>
  </si>
  <si>
    <t>LEMHI - CHINOOK (LLR IPTDS and L3A0 RST)</t>
  </si>
  <si>
    <t>Location</t>
  </si>
  <si>
    <t>Arrays</t>
  </si>
  <si>
    <t>Total Detections</t>
  </si>
  <si>
    <t>F</t>
  </si>
  <si>
    <t>M</t>
  </si>
  <si>
    <t>U</t>
  </si>
  <si>
    <t>%F</t>
  </si>
  <si>
    <t>%M</t>
  </si>
  <si>
    <t>Upper Salmon River</t>
  </si>
  <si>
    <t>USE, USI, YFK, VC2, VC1, STL, SAWT, SAWTRP, PAHH, PAHTRP, PAHSIR, SALEFT</t>
  </si>
  <si>
    <t>Sawtooth Hatchery Weir</t>
  </si>
  <si>
    <t>STL, SAWT, SAWTRP</t>
  </si>
  <si>
    <t>VC2, VC1</t>
  </si>
  <si>
    <t>Yankee Fork Salmon River</t>
  </si>
  <si>
    <t>YFK, YANKFRK</t>
  </si>
  <si>
    <t>SALEFT</t>
  </si>
  <si>
    <t>PAHH, PAHTRP, PAHSIR</t>
  </si>
  <si>
    <t>LLR, KEN, AGC, LRW, HYC, WPC, WIMPYC, BHC, LLS, BTC, HEC, CAC, HAYDNC, LEMHIR</t>
  </si>
  <si>
    <t>Alturas Creek</t>
  </si>
  <si>
    <t>ALTULC</t>
  </si>
  <si>
    <t>Beaver Creek, upper Salmon River</t>
  </si>
  <si>
    <t>BEAVEC</t>
  </si>
  <si>
    <t>SALRNF</t>
  </si>
  <si>
    <t>upper Salmon, Pahsimeroi to Headwaters</t>
  </si>
  <si>
    <t>SALR4</t>
  </si>
  <si>
    <t>UPPER SALMON MAINSTEM (SRUMA) - STEELHEAD (STL, SAWT, VC1, VC2, YFK IPTDS)</t>
  </si>
  <si>
    <t>UPPER SALMON - STEELHEAD (Sawtooth Weir and RST)</t>
  </si>
  <si>
    <t>VALLEY CREEK - STEELHEAD (VC1 &amp; VC2 IPTDS)</t>
  </si>
  <si>
    <t>Drainage</t>
  </si>
  <si>
    <t>p(Stream Length)</t>
  </si>
  <si>
    <t>YANKEE FORK - STEELHEAD (Weir and YFK IPTDS)</t>
  </si>
  <si>
    <t>EAST FORK - STEELHEAD (Weir)</t>
  </si>
  <si>
    <t>PAHSIMEROI - STEELHEAD (SR Run Reconstruction)</t>
  </si>
  <si>
    <t>LEMHI - STEELHEAD (LLR IPTDS and L3A0 RST)</t>
  </si>
  <si>
    <t>NORTH FORK - STEELHEAD (SR Run Reconstruction)</t>
  </si>
  <si>
    <t>PANTHER - STEELHEAD (SR Run Reconstruction)</t>
  </si>
  <si>
    <t>Table A2. Details for deriving stage-specific emigration rate and egg-to-parr survival inputs given observations on abundance and survival at other stages. Grayed cells represent values that were estimated via other means or set to a fixed value for emigration rate estimation purposes.</t>
  </si>
  <si>
    <t>Males</t>
  </si>
  <si>
    <t>Total</t>
  </si>
  <si>
    <t>Redds </t>
  </si>
  <si>
    <t>Fish/</t>
  </si>
  <si>
    <t>Females/</t>
  </si>
  <si>
    <t>% Redds</t>
  </si>
  <si>
    <t>Redds/</t>
  </si>
  <si>
    <t>Redd/</t>
  </si>
  <si>
    <t>Stage-specific abundance</t>
  </si>
  <si>
    <t>Stage-specific survival % emigration rates</t>
  </si>
  <si>
    <t>passed</t>
  </si>
  <si>
    <t>Passed</t>
  </si>
  <si>
    <t>Counted</t>
  </si>
  <si>
    <t>redd</t>
  </si>
  <si>
    <r>
      <t>Counted</t>
    </r>
    <r>
      <rPr>
        <i/>
        <vertAlign val="superscript"/>
        <sz val="10"/>
        <color rgb="FF000000"/>
        <rFont val="Times New Roman"/>
        <family val="1"/>
      </rPr>
      <t>a</t>
    </r>
  </si>
  <si>
    <r>
      <t>Mile</t>
    </r>
    <r>
      <rPr>
        <i/>
        <vertAlign val="superscript"/>
        <sz val="10"/>
        <color rgb="FF000000"/>
        <rFont val="Times New Roman"/>
        <family val="1"/>
      </rPr>
      <t>b</t>
    </r>
  </si>
  <si>
    <t>Female</t>
  </si>
  <si>
    <t>USE, USI, YFK, VC2, VC1, STL, SAWT, PAHH, PAHTRP, SALEFT</t>
  </si>
  <si>
    <t>Brood Year</t>
  </si>
  <si>
    <r>
      <rPr>
        <i/>
        <sz val="11"/>
        <color theme="1"/>
        <rFont val="Calibri"/>
        <family val="2"/>
        <scheme val="minor"/>
      </rPr>
      <t>N</t>
    </r>
    <r>
      <rPr>
        <vertAlign val="subscript"/>
        <sz val="11"/>
        <color theme="1"/>
        <rFont val="Calibri"/>
        <family val="2"/>
        <scheme val="minor"/>
      </rPr>
      <t>total0</t>
    </r>
  </si>
  <si>
    <r>
      <rPr>
        <i/>
        <sz val="11"/>
        <color theme="1"/>
        <rFont val="Calibri"/>
        <family val="2"/>
        <scheme val="minor"/>
      </rPr>
      <t>N</t>
    </r>
    <r>
      <rPr>
        <vertAlign val="subscript"/>
        <sz val="11"/>
        <color theme="1"/>
        <rFont val="Calibri"/>
        <family val="2"/>
        <scheme val="minor"/>
      </rPr>
      <t>total1</t>
    </r>
  </si>
  <si>
    <r>
      <rPr>
        <i/>
        <sz val="11"/>
        <color theme="1"/>
        <rFont val="Calibri"/>
        <family val="2"/>
        <scheme val="minor"/>
      </rPr>
      <t>N</t>
    </r>
    <r>
      <rPr>
        <vertAlign val="subscript"/>
        <sz val="11"/>
        <color theme="1"/>
        <rFont val="Calibri"/>
        <family val="2"/>
        <scheme val="minor"/>
      </rPr>
      <t>total2</t>
    </r>
  </si>
  <si>
    <r>
      <rPr>
        <i/>
        <sz val="11"/>
        <color theme="1"/>
        <rFont val="Calibri"/>
        <family val="2"/>
        <scheme val="minor"/>
      </rPr>
      <t>N</t>
    </r>
    <r>
      <rPr>
        <vertAlign val="subscript"/>
        <sz val="11"/>
        <color theme="1"/>
        <rFont val="Calibri"/>
        <family val="2"/>
        <scheme val="minor"/>
      </rPr>
      <t>total3</t>
    </r>
  </si>
  <si>
    <r>
      <rPr>
        <i/>
        <sz val="11"/>
        <color theme="1"/>
        <rFont val="Calibri"/>
        <family val="2"/>
        <scheme val="minor"/>
      </rPr>
      <t>N</t>
    </r>
    <r>
      <rPr>
        <vertAlign val="subscript"/>
        <sz val="11"/>
        <color theme="1"/>
        <rFont val="Calibri"/>
        <family val="2"/>
        <scheme val="minor"/>
      </rPr>
      <t>smolt1</t>
    </r>
  </si>
  <si>
    <r>
      <rPr>
        <i/>
        <sz val="11"/>
        <color theme="1"/>
        <rFont val="Calibri"/>
        <family val="2"/>
        <scheme val="minor"/>
      </rPr>
      <t>N</t>
    </r>
    <r>
      <rPr>
        <vertAlign val="subscript"/>
        <sz val="11"/>
        <color theme="1"/>
        <rFont val="Calibri"/>
        <family val="2"/>
        <scheme val="minor"/>
      </rPr>
      <t>smolt2</t>
    </r>
  </si>
  <si>
    <r>
      <rPr>
        <i/>
        <sz val="11"/>
        <color theme="1"/>
        <rFont val="Calibri"/>
        <family val="2"/>
        <scheme val="minor"/>
      </rPr>
      <t>N</t>
    </r>
    <r>
      <rPr>
        <vertAlign val="subscript"/>
        <sz val="11"/>
        <color theme="1"/>
        <rFont val="Calibri"/>
        <family val="2"/>
        <scheme val="minor"/>
      </rPr>
      <t>smolt3</t>
    </r>
  </si>
  <si>
    <r>
      <t>Egg-parr survival (</t>
    </r>
    <r>
      <rPr>
        <i/>
        <sz val="11"/>
        <color theme="1"/>
        <rFont val="Calibri"/>
        <family val="2"/>
        <scheme val="minor"/>
      </rPr>
      <t>S</t>
    </r>
    <r>
      <rPr>
        <vertAlign val="subscript"/>
        <sz val="11"/>
        <color theme="1"/>
        <rFont val="Calibri"/>
        <family val="2"/>
        <scheme val="minor"/>
      </rPr>
      <t>1</t>
    </r>
    <r>
      <rPr>
        <i/>
        <sz val="11"/>
        <color theme="1"/>
        <rFont val="Calibri"/>
        <family val="2"/>
        <scheme val="minor"/>
      </rPr>
      <t>S</t>
    </r>
    <r>
      <rPr>
        <vertAlign val="subscript"/>
        <sz val="11"/>
        <color theme="1"/>
        <rFont val="Calibri"/>
        <family val="2"/>
        <scheme val="minor"/>
      </rPr>
      <t>2</t>
    </r>
    <r>
      <rPr>
        <sz val="11"/>
        <color theme="1"/>
        <rFont val="Calibri"/>
        <family val="2"/>
        <scheme val="minor"/>
      </rPr>
      <t>)</t>
    </r>
  </si>
  <si>
    <r>
      <rPr>
        <i/>
        <sz val="11"/>
        <color theme="1"/>
        <rFont val="Calibri"/>
        <family val="2"/>
        <scheme val="minor"/>
      </rPr>
      <t>S</t>
    </r>
    <r>
      <rPr>
        <vertAlign val="subscript"/>
        <sz val="11"/>
        <color theme="1"/>
        <rFont val="Calibri"/>
        <family val="2"/>
        <scheme val="minor"/>
      </rPr>
      <t>3</t>
    </r>
  </si>
  <si>
    <r>
      <rPr>
        <i/>
        <sz val="11"/>
        <color theme="1"/>
        <rFont val="Calibri"/>
        <family val="2"/>
        <scheme val="minor"/>
      </rPr>
      <t>S</t>
    </r>
    <r>
      <rPr>
        <vertAlign val="subscript"/>
        <sz val="11"/>
        <color theme="1"/>
        <rFont val="Calibri"/>
        <family val="2"/>
        <scheme val="minor"/>
      </rPr>
      <t>4</t>
    </r>
  </si>
  <si>
    <r>
      <rPr>
        <i/>
        <sz val="11"/>
        <color theme="1"/>
        <rFont val="Calibri"/>
        <family val="2"/>
        <scheme val="minor"/>
      </rPr>
      <t>S</t>
    </r>
    <r>
      <rPr>
        <vertAlign val="subscript"/>
        <sz val="11"/>
        <color theme="1"/>
        <rFont val="Calibri"/>
        <family val="2"/>
        <scheme val="minor"/>
      </rPr>
      <t>5</t>
    </r>
  </si>
  <si>
    <r>
      <rPr>
        <i/>
        <sz val="11"/>
        <color theme="1"/>
        <rFont val="Calibri"/>
        <family val="2"/>
        <scheme val="minor"/>
      </rPr>
      <t>e</t>
    </r>
    <r>
      <rPr>
        <vertAlign val="subscript"/>
        <sz val="11"/>
        <color theme="1"/>
        <rFont val="Calibri"/>
        <family val="2"/>
        <scheme val="minor"/>
      </rPr>
      <t>1</t>
    </r>
  </si>
  <si>
    <r>
      <rPr>
        <i/>
        <sz val="11"/>
        <color theme="1"/>
        <rFont val="Calibri"/>
        <family val="2"/>
        <scheme val="minor"/>
      </rPr>
      <t>e</t>
    </r>
    <r>
      <rPr>
        <vertAlign val="subscript"/>
        <sz val="11"/>
        <color theme="1"/>
        <rFont val="Calibri"/>
        <family val="2"/>
        <scheme val="minor"/>
      </rPr>
      <t>2</t>
    </r>
  </si>
  <si>
    <r>
      <rPr>
        <i/>
        <sz val="11"/>
        <color theme="1"/>
        <rFont val="Calibri"/>
        <family val="2"/>
        <scheme val="minor"/>
      </rPr>
      <t>e</t>
    </r>
    <r>
      <rPr>
        <vertAlign val="subscript"/>
        <sz val="11"/>
        <color theme="1"/>
        <rFont val="Calibri"/>
        <family val="2"/>
        <scheme val="minor"/>
      </rPr>
      <t>3</t>
    </r>
  </si>
  <si>
    <t>S3</t>
  </si>
  <si>
    <t>S3*S4</t>
  </si>
  <si>
    <t>e2</t>
  </si>
  <si>
    <t>1-e2</t>
  </si>
  <si>
    <t>Weighted parr-smolt survival</t>
  </si>
  <si>
    <r>
      <t>2005</t>
    </r>
    <r>
      <rPr>
        <i/>
        <vertAlign val="superscript"/>
        <sz val="10"/>
        <color rgb="FF000000"/>
        <rFont val="Times New Roman"/>
        <family val="1"/>
      </rPr>
      <t>f</t>
    </r>
  </si>
  <si>
    <r>
      <t>2006</t>
    </r>
    <r>
      <rPr>
        <i/>
        <vertAlign val="superscript"/>
        <sz val="10"/>
        <color rgb="FF000000"/>
        <rFont val="Times New Roman"/>
        <family val="1"/>
      </rPr>
      <t>c</t>
    </r>
  </si>
  <si>
    <t>Mean:</t>
  </si>
  <si>
    <t>STL, SAWT</t>
  </si>
  <si>
    <t>CV:</t>
  </si>
  <si>
    <r>
      <t>2012</t>
    </r>
    <r>
      <rPr>
        <i/>
        <vertAlign val="superscript"/>
        <sz val="10"/>
        <color rgb="FF000000"/>
        <rFont val="Times New Roman"/>
        <family val="1"/>
      </rPr>
      <t>f</t>
    </r>
  </si>
  <si>
    <t>Upper Salmon River mainstem</t>
  </si>
  <si>
    <t>YFK, VC1, VC2, STL, SAWT</t>
  </si>
  <si>
    <r>
      <t>2014</t>
    </r>
    <r>
      <rPr>
        <i/>
        <vertAlign val="superscript"/>
        <sz val="10"/>
        <color rgb="FF000000"/>
        <rFont val="Times New Roman"/>
        <family val="1"/>
      </rPr>
      <t>d</t>
    </r>
  </si>
  <si>
    <r>
      <t>2015</t>
    </r>
    <r>
      <rPr>
        <i/>
        <vertAlign val="superscript"/>
        <sz val="10"/>
        <color rgb="FF000000"/>
        <rFont val="Times New Roman"/>
        <family val="1"/>
      </rPr>
      <t>e</t>
    </r>
  </si>
  <si>
    <t>Average:</t>
  </si>
  <si>
    <t>Median:</t>
  </si>
  <si>
    <t>VC1, VC1</t>
  </si>
  <si>
    <t>Sawtooth Hatchery</t>
  </si>
  <si>
    <t>Green Eggs/Female</t>
  </si>
  <si>
    <t>Eye Up Rate</t>
  </si>
  <si>
    <t>Viable Eggs</t>
  </si>
  <si>
    <t>PAHH, PAHTRP</t>
  </si>
  <si>
    <t>LLR, KEN, AGC, LRW, HYC, WPC, WIMPYC, BHC, LLS, BTC, HEC, CAC, HAYDNC</t>
  </si>
  <si>
    <t>Carmen Creek</t>
  </si>
  <si>
    <t>CRC, CARMEC</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</si>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</sst>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0"/>
    <numFmt numFmtId="166" formatCode="0.000"/>
    <numFmt numFmtId="167" formatCode="0.0%"/>
    <numFmt numFmtId="168" formatCode="0.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0"/>
      <name val="Arial"/>
      <family val="2"/>
    </font>
    <font>
      <sz val="9"/>
      <color indexed="81"/>
      <name val="Tahoma"/>
      <family val="2"/>
    </font>
    <font>
      <b/>
      <sz val="9"/>
      <color indexed="81"/>
      <name val="Tahoma"/>
      <family val="2"/>
    </font>
    <font>
      <sz val="11"/>
      <color rgb="FFFF0000"/>
      <name val="Calibri"/>
      <family val="2"/>
      <scheme val="minor"/>
    </font>
    <font>
      <sz val="10"/>
      <color theme="1"/>
      <name val="Times New Roman"/>
      <family val="1"/>
    </font>
    <font>
      <sz val="10"/>
      <color rgb="FF000000"/>
      <name val="Times New Roman"/>
      <family val="1"/>
    </font>
    <font>
      <i/>
      <vertAlign val="superscript"/>
      <sz val="10"/>
      <color rgb="FF000000"/>
      <name val="Times New Roman"/>
      <family val="1"/>
    </font>
    <font>
      <sz val="10"/>
      <color rgb="FF000000"/>
      <name val="Arial"/>
      <family val="2"/>
    </font>
    <font>
      <sz val="10"/>
      <color theme="1"/>
      <name val="Arial"/>
      <family val="2"/>
    </font>
    <font>
      <b/>
      <sz val="10"/>
      <color theme="1"/>
      <name val="Arial"/>
      <family val="2"/>
    </font>
    <font>
      <i/>
      <sz val="11"/>
      <color theme="1"/>
      <name val="Calibri"/>
      <family val="2"/>
      <scheme val="minor"/>
    </font>
    <font>
      <vertAlign val="subscript"/>
      <sz val="11"/>
      <color theme="1"/>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9.9978637043366805E-2"/>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4">
    <xf numFmtId="0" fontId="0" fillId="0" borderId="0"/>
    <xf numFmtId="0" fontId="2" fillId="0" borderId="0"/>
    <xf numFmtId="0" fontId="4" fillId="0" borderId="0"/>
    <xf numFmtId="9" fontId="2" fillId="0" borderId="0" applyFont="0" applyFill="0" applyBorder="0" applyAlignment="0" applyProtection="0"/>
  </cellStyleXfs>
  <cellXfs count="151">
    <xf numFmtId="0" fontId="0" fillId="0" borderId="0" xfId="0"/>
    <xf numFmtId="0" fontId="1" fillId="0" borderId="1" xfId="0" applyFont="1" applyBorder="1"/>
    <xf numFmtId="0" fontId="1" fillId="0" borderId="2" xfId="0" applyFont="1" applyBorder="1"/>
    <xf numFmtId="0" fontId="0" fillId="0" borderId="2" xfId="0" applyBorder="1"/>
    <xf numFmtId="0" fontId="0" fillId="0" borderId="0" xfId="0" applyAlignment="1">
      <alignment horizontal="center"/>
    </xf>
    <xf numFmtId="0" fontId="1" fillId="0" borderId="2" xfId="0" applyFont="1" applyBorder="1" applyAlignment="1">
      <alignment horizontal="center"/>
    </xf>
    <xf numFmtId="0" fontId="0" fillId="0" borderId="2" xfId="0" applyBorder="1" applyAlignment="1">
      <alignment horizontal="center"/>
    </xf>
    <xf numFmtId="3" fontId="0" fillId="0" borderId="0" xfId="0" applyNumberFormat="1" applyAlignment="1">
      <alignment horizontal="center"/>
    </xf>
    <xf numFmtId="0" fontId="0" fillId="0" borderId="0" xfId="0" applyFont="1" applyAlignment="1">
      <alignment horizontal="center"/>
    </xf>
    <xf numFmtId="1" fontId="0" fillId="0" borderId="0" xfId="0" applyNumberFormat="1" applyFont="1" applyAlignment="1">
      <alignment horizontal="center"/>
    </xf>
    <xf numFmtId="0" fontId="0" fillId="0" borderId="2" xfId="0" applyFont="1" applyBorder="1" applyAlignment="1">
      <alignment horizontal="center"/>
    </xf>
    <xf numFmtId="0" fontId="0" fillId="0" borderId="1" xfId="0" applyBorder="1"/>
    <xf numFmtId="0" fontId="1" fillId="0" borderId="3" xfId="0" applyFont="1" applyBorder="1"/>
    <xf numFmtId="0" fontId="1" fillId="0" borderId="3" xfId="0" applyFont="1" applyBorder="1" applyAlignment="1">
      <alignment horizontal="center"/>
    </xf>
    <xf numFmtId="0" fontId="0" fillId="0" borderId="0" xfId="0" applyBorder="1"/>
    <xf numFmtId="0" fontId="1" fillId="0" borderId="0" xfId="0" applyFont="1" applyBorder="1"/>
    <xf numFmtId="1" fontId="1" fillId="0" borderId="0" xfId="0" applyNumberFormat="1" applyFont="1" applyBorder="1" applyAlignment="1">
      <alignment horizontal="center"/>
    </xf>
    <xf numFmtId="0" fontId="1" fillId="0" borderId="0" xfId="0" applyFont="1"/>
    <xf numFmtId="0" fontId="1" fillId="0" borderId="2" xfId="0" applyFont="1" applyBorder="1" applyAlignment="1">
      <alignment horizontal="center" vertical="center"/>
    </xf>
    <xf numFmtId="0" fontId="0" fillId="2" borderId="0" xfId="0" applyFill="1" applyAlignment="1">
      <alignment horizontal="center"/>
    </xf>
    <xf numFmtId="0" fontId="0" fillId="2" borderId="2" xfId="0" applyFill="1" applyBorder="1" applyAlignment="1">
      <alignment horizontal="center"/>
    </xf>
    <xf numFmtId="3" fontId="0" fillId="4" borderId="0" xfId="0" applyNumberFormat="1" applyFill="1" applyAlignment="1">
      <alignment horizontal="center"/>
    </xf>
    <xf numFmtId="3" fontId="0" fillId="5" borderId="0" xfId="0" applyNumberFormat="1" applyFill="1" applyAlignment="1">
      <alignment horizontal="center"/>
    </xf>
    <xf numFmtId="3" fontId="0" fillId="5" borderId="2" xfId="0" applyNumberFormat="1" applyFill="1" applyBorder="1" applyAlignment="1">
      <alignment horizontal="center"/>
    </xf>
    <xf numFmtId="0" fontId="0" fillId="4" borderId="0" xfId="0" applyFill="1" applyAlignment="1">
      <alignment horizontal="center"/>
    </xf>
    <xf numFmtId="3" fontId="1" fillId="5" borderId="3" xfId="0" applyNumberFormat="1" applyFont="1" applyFill="1" applyBorder="1" applyAlignment="1">
      <alignment horizontal="center"/>
    </xf>
    <xf numFmtId="4" fontId="1" fillId="5" borderId="3" xfId="0" applyNumberFormat="1" applyFont="1" applyFill="1" applyBorder="1" applyAlignment="1">
      <alignment horizontal="center"/>
    </xf>
    <xf numFmtId="2" fontId="0" fillId="5" borderId="0" xfId="0" applyNumberFormat="1" applyFont="1" applyFill="1" applyAlignment="1">
      <alignment horizontal="center"/>
    </xf>
    <xf numFmtId="2" fontId="0" fillId="5" borderId="2" xfId="0" applyNumberFormat="1" applyFont="1" applyFill="1" applyBorder="1" applyAlignment="1">
      <alignment horizontal="center"/>
    </xf>
    <xf numFmtId="0" fontId="0" fillId="5" borderId="3" xfId="0" applyFill="1" applyBorder="1"/>
    <xf numFmtId="0" fontId="0" fillId="5" borderId="2" xfId="0" applyFill="1" applyBorder="1"/>
    <xf numFmtId="2" fontId="0" fillId="5" borderId="0" xfId="0" applyNumberFormat="1" applyFill="1" applyAlignment="1">
      <alignment horizontal="center"/>
    </xf>
    <xf numFmtId="2" fontId="0" fillId="5" borderId="2" xfId="0" applyNumberFormat="1" applyFill="1" applyBorder="1" applyAlignment="1">
      <alignment horizontal="center"/>
    </xf>
    <xf numFmtId="0" fontId="0" fillId="5" borderId="0" xfId="0" applyFill="1"/>
    <xf numFmtId="1" fontId="1" fillId="5" borderId="2" xfId="0" applyNumberFormat="1" applyFont="1" applyFill="1" applyBorder="1" applyAlignment="1">
      <alignment horizontal="center"/>
    </xf>
    <xf numFmtId="1" fontId="1" fillId="5" borderId="3" xfId="0" applyNumberFormat="1" applyFont="1" applyFill="1" applyBorder="1" applyAlignment="1">
      <alignment horizontal="center"/>
    </xf>
    <xf numFmtId="0" fontId="1" fillId="5" borderId="3" xfId="0" applyFont="1" applyFill="1" applyBorder="1" applyAlignment="1">
      <alignment horizontal="center"/>
    </xf>
    <xf numFmtId="3" fontId="1" fillId="5" borderId="2" xfId="0" applyNumberFormat="1" applyFont="1" applyFill="1" applyBorder="1" applyAlignment="1">
      <alignment horizontal="center"/>
    </xf>
    <xf numFmtId="4" fontId="1" fillId="5" borderId="2" xfId="0" applyNumberFormat="1" applyFont="1" applyFill="1" applyBorder="1" applyAlignment="1">
      <alignment horizontal="center"/>
    </xf>
    <xf numFmtId="4" fontId="0" fillId="5" borderId="0" xfId="0" applyNumberFormat="1" applyFill="1" applyAlignment="1">
      <alignment horizontal="center"/>
    </xf>
    <xf numFmtId="4" fontId="0" fillId="5" borderId="2" xfId="0" applyNumberFormat="1" applyFill="1" applyBorder="1" applyAlignment="1">
      <alignment horizontal="center"/>
    </xf>
    <xf numFmtId="0" fontId="1" fillId="0" borderId="2" xfId="0" applyFont="1" applyFill="1" applyBorder="1"/>
    <xf numFmtId="0" fontId="1" fillId="0" borderId="3" xfId="0" applyFont="1" applyFill="1" applyBorder="1"/>
    <xf numFmtId="3" fontId="0" fillId="4" borderId="0" xfId="0" applyNumberFormat="1" applyFont="1" applyFill="1" applyAlignment="1">
      <alignment horizontal="center"/>
    </xf>
    <xf numFmtId="3" fontId="3" fillId="4" borderId="0" xfId="1" applyNumberFormat="1" applyFont="1" applyFill="1" applyBorder="1" applyAlignment="1">
      <alignment horizontal="center"/>
    </xf>
    <xf numFmtId="3" fontId="0" fillId="4" borderId="0" xfId="0" applyNumberFormat="1" applyFont="1" applyFill="1" applyBorder="1" applyAlignment="1">
      <alignment horizontal="center"/>
    </xf>
    <xf numFmtId="3" fontId="3" fillId="4" borderId="0" xfId="0" applyNumberFormat="1" applyFont="1" applyFill="1" applyAlignment="1">
      <alignment horizontal="center"/>
    </xf>
    <xf numFmtId="3" fontId="0" fillId="4" borderId="2" xfId="0" applyNumberFormat="1" applyFont="1" applyFill="1" applyBorder="1" applyAlignment="1">
      <alignment horizontal="center"/>
    </xf>
    <xf numFmtId="3" fontId="3" fillId="4" borderId="0" xfId="2" applyNumberFormat="1" applyFont="1" applyFill="1" applyBorder="1" applyAlignment="1">
      <alignment horizontal="center"/>
    </xf>
    <xf numFmtId="3" fontId="3" fillId="4" borderId="0" xfId="2" applyNumberFormat="1" applyFont="1" applyFill="1" applyBorder="1" applyAlignment="1">
      <alignment horizontal="center" vertical="top" wrapText="1"/>
    </xf>
    <xf numFmtId="3" fontId="3" fillId="4" borderId="0" xfId="0" applyNumberFormat="1" applyFont="1" applyFill="1" applyBorder="1" applyAlignment="1">
      <alignment horizontal="center"/>
    </xf>
    <xf numFmtId="3" fontId="2" fillId="4" borderId="0" xfId="0" applyNumberFormat="1" applyFont="1" applyFill="1" applyBorder="1" applyAlignment="1">
      <alignment horizontal="center"/>
    </xf>
    <xf numFmtId="3" fontId="3" fillId="4" borderId="2" xfId="0" applyNumberFormat="1" applyFont="1" applyFill="1" applyBorder="1" applyAlignment="1">
      <alignment horizontal="center"/>
    </xf>
    <xf numFmtId="0" fontId="0" fillId="4" borderId="0" xfId="0" applyFill="1"/>
    <xf numFmtId="0" fontId="0" fillId="4" borderId="2" xfId="0" applyFill="1" applyBorder="1" applyAlignment="1">
      <alignment horizontal="center"/>
    </xf>
    <xf numFmtId="0" fontId="0" fillId="4" borderId="2" xfId="0" applyFill="1" applyBorder="1"/>
    <xf numFmtId="1" fontId="0" fillId="4" borderId="0" xfId="0" applyNumberFormat="1" applyFont="1" applyFill="1" applyAlignment="1">
      <alignment horizontal="center"/>
    </xf>
    <xf numFmtId="1" fontId="0" fillId="4" borderId="2" xfId="0" applyNumberFormat="1" applyFont="1" applyFill="1" applyBorder="1" applyAlignment="1">
      <alignment horizontal="center"/>
    </xf>
    <xf numFmtId="3" fontId="3" fillId="4" borderId="0" xfId="2" applyNumberFormat="1" applyFont="1" applyFill="1" applyBorder="1" applyAlignment="1">
      <alignment horizontal="center" wrapText="1"/>
    </xf>
    <xf numFmtId="3" fontId="2" fillId="4" borderId="0" xfId="2" applyNumberFormat="1" applyFont="1" applyFill="1" applyBorder="1" applyAlignment="1">
      <alignment horizontal="center"/>
    </xf>
    <xf numFmtId="3" fontId="2" fillId="4" borderId="2" xfId="2" applyNumberFormat="1" applyFont="1" applyFill="1" applyBorder="1" applyAlignment="1" applyProtection="1">
      <alignment horizontal="center"/>
      <protection locked="0"/>
    </xf>
    <xf numFmtId="0" fontId="0" fillId="4" borderId="2" xfId="0" applyFont="1" applyFill="1" applyBorder="1" applyAlignment="1">
      <alignment horizontal="center"/>
    </xf>
    <xf numFmtId="0" fontId="0" fillId="4" borderId="0" xfId="0" applyFont="1" applyFill="1" applyAlignment="1">
      <alignment horizontal="center"/>
    </xf>
    <xf numFmtId="1" fontId="0" fillId="4" borderId="0" xfId="0" applyNumberFormat="1" applyFill="1" applyBorder="1" applyAlignment="1">
      <alignment horizontal="center"/>
    </xf>
    <xf numFmtId="3" fontId="0" fillId="4" borderId="0" xfId="0" applyNumberFormat="1" applyFill="1" applyBorder="1" applyAlignment="1">
      <alignment horizontal="center"/>
    </xf>
    <xf numFmtId="1" fontId="0" fillId="4" borderId="0" xfId="0" applyNumberFormat="1" applyFill="1" applyAlignment="1">
      <alignment horizontal="center"/>
    </xf>
    <xf numFmtId="1" fontId="0" fillId="4" borderId="2" xfId="0" applyNumberFormat="1" applyFill="1" applyBorder="1" applyAlignment="1">
      <alignment horizontal="center"/>
    </xf>
    <xf numFmtId="3" fontId="0" fillId="4" borderId="2" xfId="0" applyNumberFormat="1" applyFill="1" applyBorder="1" applyAlignment="1">
      <alignment horizontal="center"/>
    </xf>
    <xf numFmtId="165" fontId="0" fillId="0" borderId="2" xfId="0" applyNumberFormat="1" applyBorder="1" applyAlignment="1">
      <alignment horizontal="center"/>
    </xf>
    <xf numFmtId="0" fontId="0" fillId="0" borderId="2" xfId="0" applyFont="1" applyFill="1" applyBorder="1" applyAlignment="1">
      <alignment horizontal="center"/>
    </xf>
    <xf numFmtId="3" fontId="0" fillId="0" borderId="2" xfId="0" applyNumberFormat="1" applyFont="1" applyFill="1" applyBorder="1" applyAlignment="1">
      <alignment horizontal="center"/>
    </xf>
    <xf numFmtId="3" fontId="3" fillId="0" borderId="2" xfId="0" applyNumberFormat="1" applyFont="1" applyFill="1" applyBorder="1" applyAlignment="1">
      <alignment horizontal="center"/>
    </xf>
    <xf numFmtId="4" fontId="0" fillId="0" borderId="2" xfId="0" applyNumberFormat="1" applyFill="1" applyBorder="1" applyAlignment="1">
      <alignment horizontal="center"/>
    </xf>
    <xf numFmtId="3" fontId="3" fillId="0" borderId="2" xfId="2" applyNumberFormat="1" applyFont="1" applyFill="1" applyBorder="1" applyAlignment="1">
      <alignment horizont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Alignment="1">
      <alignment horizontal="center"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9" fillId="0" borderId="0" xfId="0" applyFont="1" applyFill="1" applyBorder="1" applyAlignment="1">
      <alignment horizontal="center" vertical="center"/>
    </xf>
    <xf numFmtId="165" fontId="0" fillId="0" borderId="0" xfId="0" applyNumberFormat="1"/>
    <xf numFmtId="2" fontId="7" fillId="0" borderId="0" xfId="0" applyNumberFormat="1" applyFont="1" applyAlignment="1">
      <alignment horizontal="center"/>
    </xf>
    <xf numFmtId="0" fontId="12" fillId="0" borderId="0" xfId="0" applyFont="1" applyAlignment="1">
      <alignment horizontal="center"/>
    </xf>
    <xf numFmtId="0" fontId="12" fillId="0" borderId="0" xfId="0" applyFont="1" applyAlignment="1"/>
    <xf numFmtId="0" fontId="12" fillId="0" borderId="0" xfId="0" applyFont="1" applyAlignment="1">
      <alignment vertical="center"/>
    </xf>
    <xf numFmtId="0" fontId="12" fillId="0" borderId="0" xfId="0" applyFont="1" applyAlignment="1">
      <alignment vertical="center" wrapText="1"/>
    </xf>
    <xf numFmtId="0" fontId="12" fillId="0" borderId="2" xfId="0" applyFont="1" applyBorder="1" applyAlignment="1"/>
    <xf numFmtId="0" fontId="12" fillId="0" borderId="2" xfId="0" applyFont="1" applyBorder="1" applyAlignment="1">
      <alignment horizontal="center"/>
    </xf>
    <xf numFmtId="0" fontId="12" fillId="0" borderId="2" xfId="0" applyFont="1" applyBorder="1" applyAlignment="1">
      <alignment horizontal="center" vertical="center" wrapText="1"/>
    </xf>
    <xf numFmtId="167" fontId="12" fillId="0" borderId="0" xfId="3" applyNumberFormat="1" applyFont="1" applyAlignment="1">
      <alignment horizontal="center"/>
    </xf>
    <xf numFmtId="167" fontId="12" fillId="0" borderId="2" xfId="3" applyNumberFormat="1" applyFont="1" applyBorder="1" applyAlignment="1">
      <alignment horizontal="center"/>
    </xf>
    <xf numFmtId="0" fontId="12" fillId="6" borderId="2" xfId="0" applyFont="1" applyFill="1" applyBorder="1" applyAlignment="1">
      <alignment horizontal="left" vertical="center"/>
    </xf>
    <xf numFmtId="1" fontId="0" fillId="0" borderId="0" xfId="0" applyNumberFormat="1" applyAlignment="1">
      <alignment horizontal="center"/>
    </xf>
    <xf numFmtId="1" fontId="0" fillId="0" borderId="2" xfId="0" applyNumberFormat="1" applyBorder="1" applyAlignment="1">
      <alignment horizontal="center"/>
    </xf>
    <xf numFmtId="1" fontId="1" fillId="0" borderId="0" xfId="0" applyNumberFormat="1" applyFont="1" applyAlignment="1">
      <alignment horizontal="center"/>
    </xf>
    <xf numFmtId="166" fontId="1" fillId="0" borderId="0" xfId="0" applyNumberFormat="1" applyFont="1" applyAlignment="1">
      <alignment horizontal="center"/>
    </xf>
    <xf numFmtId="0" fontId="13" fillId="0" borderId="2" xfId="0" applyFont="1" applyBorder="1"/>
    <xf numFmtId="0" fontId="13" fillId="0" borderId="3" xfId="0" applyFont="1" applyBorder="1" applyAlignment="1">
      <alignment horizontal="center"/>
    </xf>
    <xf numFmtId="1" fontId="0" fillId="5" borderId="0" xfId="0" applyNumberFormat="1" applyFill="1" applyAlignment="1">
      <alignment horizontal="center"/>
    </xf>
    <xf numFmtId="166" fontId="0" fillId="0" borderId="0" xfId="0" applyNumberFormat="1" applyAlignment="1">
      <alignment horizontal="center"/>
    </xf>
    <xf numFmtId="166" fontId="0" fillId="0" borderId="2" xfId="0" applyNumberFormat="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167" fontId="0" fillId="0" borderId="0" xfId="3" applyNumberFormat="1" applyFont="1" applyAlignment="1">
      <alignment horizontal="center"/>
    </xf>
    <xf numFmtId="167" fontId="0" fillId="0" borderId="2" xfId="3" applyNumberFormat="1" applyFont="1" applyBorder="1" applyAlignment="1">
      <alignment horizontal="center"/>
    </xf>
    <xf numFmtId="167" fontId="0" fillId="0" borderId="0" xfId="3" applyNumberFormat="1" applyFont="1" applyBorder="1" applyAlignment="1">
      <alignment horizontal="center"/>
    </xf>
    <xf numFmtId="167" fontId="0" fillId="7" borderId="0" xfId="3" applyNumberFormat="1" applyFont="1" applyFill="1" applyBorder="1" applyAlignment="1">
      <alignment horizontal="center"/>
    </xf>
    <xf numFmtId="167" fontId="12" fillId="8" borderId="0" xfId="3" applyNumberFormat="1" applyFont="1" applyFill="1" applyAlignment="1">
      <alignment horizontal="center"/>
    </xf>
    <xf numFmtId="0" fontId="1" fillId="5" borderId="2" xfId="0" applyFont="1" applyFill="1" applyBorder="1" applyAlignment="1">
      <alignment horizontal="center"/>
    </xf>
    <xf numFmtId="3" fontId="0" fillId="9" borderId="0" xfId="0" applyNumberFormat="1" applyFill="1" applyAlignment="1">
      <alignment horizontal="center"/>
    </xf>
    <xf numFmtId="167" fontId="0" fillId="9" borderId="0" xfId="3" applyNumberFormat="1" applyFont="1" applyFill="1" applyAlignment="1">
      <alignment horizontal="center"/>
    </xf>
    <xf numFmtId="167" fontId="0" fillId="0" borderId="0" xfId="0" applyNumberFormat="1" applyAlignment="1">
      <alignment horizontal="center"/>
    </xf>
    <xf numFmtId="0" fontId="0" fillId="0" borderId="2" xfId="0" applyBorder="1" applyAlignment="1">
      <alignment horizontal="center" wrapText="1"/>
    </xf>
    <xf numFmtId="3" fontId="0" fillId="9" borderId="2" xfId="0" applyNumberFormat="1" applyFill="1" applyBorder="1" applyAlignment="1">
      <alignment horizontal="center"/>
    </xf>
    <xf numFmtId="3" fontId="0" fillId="0" borderId="2" xfId="0" applyNumberFormat="1" applyBorder="1" applyAlignment="1">
      <alignment horizontal="center"/>
    </xf>
    <xf numFmtId="167" fontId="0" fillId="9" borderId="2" xfId="3" applyNumberFormat="1" applyFont="1" applyFill="1" applyBorder="1" applyAlignment="1">
      <alignment horizontal="center"/>
    </xf>
    <xf numFmtId="0" fontId="0" fillId="5" borderId="0" xfId="0" applyFill="1" applyAlignment="1">
      <alignment horizontal="center"/>
    </xf>
    <xf numFmtId="167" fontId="0" fillId="0" borderId="2" xfId="0" applyNumberFormat="1" applyBorder="1" applyAlignment="1">
      <alignment horizontal="center"/>
    </xf>
    <xf numFmtId="167" fontId="0" fillId="0" borderId="2" xfId="3" applyNumberFormat="1" applyFont="1" applyFill="1" applyBorder="1" applyAlignment="1">
      <alignment horizontal="center"/>
    </xf>
    <xf numFmtId="167" fontId="0" fillId="0" borderId="2" xfId="0" applyNumberFormat="1" applyFill="1" applyBorder="1" applyAlignment="1">
      <alignment horizont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left" vertical="center" wrapText="1"/>
    </xf>
    <xf numFmtId="0" fontId="11" fillId="0" borderId="3" xfId="0" applyFont="1" applyFill="1" applyBorder="1" applyAlignment="1">
      <alignment horizontal="center" vertical="center"/>
    </xf>
    <xf numFmtId="168" fontId="0" fillId="0" borderId="0" xfId="0" applyNumberFormat="1"/>
    <xf numFmtId="167" fontId="0" fillId="0" borderId="0" xfId="0" applyNumberFormat="1" applyFill="1" applyBorder="1" applyAlignment="1">
      <alignment horizontal="center"/>
    </xf>
    <xf numFmtId="165" fontId="0" fillId="3" borderId="2" xfId="0" applyNumberFormat="1" applyFill="1" applyBorder="1" applyAlignment="1">
      <alignment horizont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7" borderId="0" xfId="0" applyFill="1" applyAlignment="1">
      <alignment horizontal="left" vertical="center" wrapText="1"/>
    </xf>
    <xf numFmtId="0" fontId="0" fillId="7" borderId="0" xfId="0" applyFill="1" applyBorder="1" applyAlignment="1">
      <alignment horizontal="left" vertical="center" wrapText="1"/>
    </xf>
    <xf numFmtId="0" fontId="0" fillId="7" borderId="2"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7" borderId="1" xfId="0" applyFill="1" applyBorder="1" applyAlignment="1">
      <alignment horizontal="left" vertical="center" wrapText="1"/>
    </xf>
    <xf numFmtId="0" fontId="11" fillId="0" borderId="3" xfId="0" applyFont="1" applyFill="1" applyBorder="1" applyAlignment="1">
      <alignment horizontal="center" vertical="center"/>
    </xf>
    <xf numFmtId="0" fontId="0" fillId="0" borderId="3" xfId="0" applyBorder="1" applyAlignment="1">
      <alignment horizontal="center"/>
    </xf>
    <xf numFmtId="0" fontId="0" fillId="0" borderId="2" xfId="0" applyBorder="1" applyAlignment="1">
      <alignment wrapText="1"/>
    </xf>
    <xf numFmtId="0" fontId="12" fillId="0" borderId="0" xfId="0" applyFont="1" applyAlignment="1">
      <alignment horizontal="center" vertical="center" wrapText="1"/>
    </xf>
    <xf numFmtId="0" fontId="12" fillId="6" borderId="0" xfId="0" applyFont="1" applyFill="1" applyAlignment="1">
      <alignment horizontal="left" vertical="center"/>
    </xf>
    <xf numFmtId="0" fontId="12" fillId="0" borderId="0" xfId="0" applyFont="1" applyAlignment="1">
      <alignment horizontal="left" vertical="center"/>
    </xf>
    <xf numFmtId="0" fontId="11" fillId="6" borderId="0" xfId="0" applyFont="1" applyFill="1" applyBorder="1" applyAlignment="1">
      <alignment horizontal="left" vertical="center"/>
    </xf>
  </cellXfs>
  <cellStyles count="4">
    <cellStyle name="Normal" xfId="0" builtinId="0"/>
    <cellStyle name="Normal 2" xfId="2" xr:uid="{00000000-0005-0000-0000-000002000000}"/>
    <cellStyle name="Normal 3" xfId="1"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B2:V110"/>
  <sheetViews>
    <sheetView workbookViewId="0">
      <selection activeCell="B9" sqref="B9:C9"/>
    </sheetView>
  </sheetViews>
  <sheetFormatPr defaultRowHeight="15" x14ac:dyDescent="0.25"/>
  <cols>
    <col min="1" max="1" width="4.85546875" customWidth="1"/>
    <col min="2" max="2" width="12.5703125" bestFit="1" customWidth="1"/>
    <col min="3" max="3" width="8" bestFit="1" customWidth="1"/>
    <col min="4" max="4" width="5.140625" customWidth="1"/>
    <col min="5" max="5" width="10.5703125" customWidth="1"/>
    <col min="6" max="6" width="11.28515625" bestFit="1" customWidth="1"/>
    <col min="7" max="7" width="7.7109375" bestFit="1" customWidth="1"/>
    <col min="8" max="8" width="6.140625" bestFit="1" customWidth="1"/>
    <col min="9" max="10" width="13.140625" bestFit="1" customWidth="1"/>
    <col min="11" max="12" width="7.5703125" bestFit="1" customWidth="1"/>
    <col min="13" max="13" width="9.140625" customWidth="1"/>
    <col min="14" max="14" width="6.5703125" bestFit="1" customWidth="1"/>
    <col min="15" max="15" width="5.5703125" customWidth="1"/>
    <col min="16" max="16" width="15" bestFit="1" customWidth="1"/>
    <col min="17" max="20" width="10.85546875" customWidth="1"/>
    <col min="21" max="21" width="13.42578125" customWidth="1"/>
    <col min="22" max="22" width="13.28515625" customWidth="1"/>
  </cols>
  <sheetData>
    <row r="2" spans="2:22" x14ac:dyDescent="0.25">
      <c r="B2" s="13" t="s">
        <v>30</v>
      </c>
      <c r="C2" s="13" t="s">
        <v>31</v>
      </c>
      <c r="E2" s="1" t="s">
        <v>32</v>
      </c>
      <c r="F2" s="11"/>
      <c r="G2" s="11"/>
      <c r="H2" s="11"/>
      <c r="I2" s="11"/>
      <c r="J2" s="11"/>
      <c r="K2" s="11"/>
      <c r="L2" s="11"/>
      <c r="M2" s="11"/>
      <c r="N2" s="11"/>
      <c r="P2" s="17" t="s">
        <v>10</v>
      </c>
    </row>
    <row r="3" spans="2:22" x14ac:dyDescent="0.25">
      <c r="B3" t="s">
        <v>33</v>
      </c>
      <c r="C3" s="4">
        <v>0.49</v>
      </c>
      <c r="E3" s="5" t="s">
        <v>34</v>
      </c>
      <c r="F3" s="5" t="s">
        <v>35</v>
      </c>
      <c r="G3" s="5" t="s">
        <v>36</v>
      </c>
      <c r="H3" s="5" t="s">
        <v>9</v>
      </c>
      <c r="I3" s="5" t="s">
        <v>37</v>
      </c>
      <c r="J3" s="5" t="s">
        <v>38</v>
      </c>
      <c r="K3" s="5" t="s">
        <v>39</v>
      </c>
      <c r="L3" s="5" t="s">
        <v>40</v>
      </c>
      <c r="M3" s="5" t="s">
        <v>41</v>
      </c>
      <c r="N3" s="5" t="s">
        <v>42</v>
      </c>
      <c r="P3" s="130" t="s">
        <v>43</v>
      </c>
      <c r="Q3" s="132" t="s">
        <v>44</v>
      </c>
      <c r="R3" s="132"/>
      <c r="S3" s="132"/>
      <c r="T3" s="132"/>
      <c r="U3" s="133" t="s">
        <v>45</v>
      </c>
      <c r="V3" s="133" t="s">
        <v>46</v>
      </c>
    </row>
    <row r="4" spans="2:22" x14ac:dyDescent="0.25">
      <c r="B4" t="s">
        <v>38</v>
      </c>
      <c r="C4" s="4">
        <v>1</v>
      </c>
      <c r="E4" s="8">
        <v>2000</v>
      </c>
      <c r="F4" s="43">
        <v>553.11310190369545</v>
      </c>
      <c r="G4" s="43">
        <v>167.84994400895857</v>
      </c>
      <c r="H4" s="43">
        <v>126</v>
      </c>
      <c r="I4" s="39">
        <f>G4/H4</f>
        <v>1.3321424127695125</v>
      </c>
      <c r="J4" s="39">
        <f>H4/G4</f>
        <v>0.75067049169390887</v>
      </c>
      <c r="K4" s="48">
        <v>18674</v>
      </c>
      <c r="L4" s="48">
        <v>24538</v>
      </c>
      <c r="M4" s="48">
        <v>35289</v>
      </c>
      <c r="N4" s="48">
        <v>28096</v>
      </c>
      <c r="P4" s="131"/>
      <c r="Q4" s="18" t="s">
        <v>47</v>
      </c>
      <c r="R4" s="18" t="s">
        <v>48</v>
      </c>
      <c r="S4" s="18" t="s">
        <v>49</v>
      </c>
      <c r="T4" s="18" t="s">
        <v>50</v>
      </c>
      <c r="U4" s="134"/>
      <c r="V4" s="134"/>
    </row>
    <row r="5" spans="2:22" x14ac:dyDescent="0.25">
      <c r="B5" t="s">
        <v>51</v>
      </c>
      <c r="C5" s="4">
        <v>5290</v>
      </c>
      <c r="E5" s="8">
        <v>2001</v>
      </c>
      <c r="F5" s="43">
        <v>1304</v>
      </c>
      <c r="G5" s="43">
        <v>484.37849944008963</v>
      </c>
      <c r="H5" s="43">
        <v>275</v>
      </c>
      <c r="I5" s="39">
        <f t="shared" ref="I5:I20" si="0">G5/H5</f>
        <v>1.761376361600326</v>
      </c>
      <c r="J5" s="39">
        <f t="shared" ref="J5:J20" si="1">H5/G5</f>
        <v>0.56773783377644194</v>
      </c>
      <c r="K5" s="48">
        <v>158479</v>
      </c>
      <c r="L5" s="48">
        <v>120538</v>
      </c>
      <c r="M5" s="48">
        <v>44452</v>
      </c>
      <c r="N5" s="48">
        <v>28182</v>
      </c>
      <c r="P5" t="s">
        <v>35</v>
      </c>
      <c r="Q5" s="22">
        <f>$F$21</f>
        <v>655.98247939484429</v>
      </c>
      <c r="R5" s="22">
        <f>$F$22</f>
        <v>1419.1186375259324</v>
      </c>
      <c r="S5" s="21">
        <v>1000</v>
      </c>
      <c r="T5" s="22">
        <f>S5*1.25</f>
        <v>1250</v>
      </c>
      <c r="U5" s="19"/>
      <c r="V5" s="19"/>
    </row>
    <row r="6" spans="2:22" x14ac:dyDescent="0.25">
      <c r="B6" t="s">
        <v>52</v>
      </c>
      <c r="C6" s="4">
        <v>0.28999999999999998</v>
      </c>
      <c r="E6" s="8">
        <v>2002</v>
      </c>
      <c r="F6" s="43">
        <v>1419.1186375259324</v>
      </c>
      <c r="G6" s="43">
        <v>662.58112352817204</v>
      </c>
      <c r="H6" s="44">
        <v>378</v>
      </c>
      <c r="I6" s="39">
        <f t="shared" si="0"/>
        <v>1.7528601151538943</v>
      </c>
      <c r="J6" s="39">
        <f t="shared" si="1"/>
        <v>0.5704961801314099</v>
      </c>
      <c r="K6" s="48">
        <v>213696</v>
      </c>
      <c r="L6" s="48">
        <v>74005</v>
      </c>
      <c r="M6" s="48">
        <v>119332</v>
      </c>
      <c r="N6" s="48">
        <v>34049</v>
      </c>
      <c r="P6" t="s">
        <v>12</v>
      </c>
      <c r="Q6" s="22">
        <f>Q5*femaleRatio*reddsPerFemale</f>
        <v>321.43141490347369</v>
      </c>
      <c r="R6" s="22">
        <f>R5*femaleRatio*reddsPerFemale</f>
        <v>695.36813238770685</v>
      </c>
      <c r="S6" s="22">
        <f>S5*femaleRatio*reddsPerFemale</f>
        <v>490</v>
      </c>
      <c r="T6" s="22">
        <f>T5*femaleRatio*reddsPerFemale</f>
        <v>612.5</v>
      </c>
      <c r="U6" s="22" t="e">
        <f>#REF!</f>
        <v>#REF!</v>
      </c>
      <c r="V6" s="22" t="e">
        <f>IF(T6&lt;U6,0,T6-U6)</f>
        <v>#REF!</v>
      </c>
    </row>
    <row r="7" spans="2:22" x14ac:dyDescent="0.25">
      <c r="B7" s="3" t="s">
        <v>53</v>
      </c>
      <c r="C7" s="68">
        <v>0.40516999999999997</v>
      </c>
      <c r="E7" s="8">
        <v>2003</v>
      </c>
      <c r="F7" s="43">
        <v>774.87407250531351</v>
      </c>
      <c r="G7" s="43">
        <v>400</v>
      </c>
      <c r="H7" s="45">
        <v>227</v>
      </c>
      <c r="I7" s="39">
        <f t="shared" si="0"/>
        <v>1.7621145374449338</v>
      </c>
      <c r="J7" s="39">
        <f t="shared" si="1"/>
        <v>0.5675</v>
      </c>
      <c r="K7" s="49">
        <v>50533</v>
      </c>
      <c r="L7" s="49">
        <v>62877</v>
      </c>
      <c r="M7" s="49">
        <v>74409</v>
      </c>
      <c r="N7" s="49">
        <v>47435</v>
      </c>
      <c r="P7" t="s">
        <v>54</v>
      </c>
      <c r="Q7" s="22">
        <f>Q6*fecundity</f>
        <v>1700372.1848393758</v>
      </c>
      <c r="R7" s="22">
        <f>R6*fecundity</f>
        <v>3678497.4203309692</v>
      </c>
      <c r="S7" s="22">
        <f>S6*fecundity</f>
        <v>2592100</v>
      </c>
      <c r="T7" s="22">
        <f>T6*fecundity</f>
        <v>3240125</v>
      </c>
      <c r="U7" s="19"/>
      <c r="V7" s="19"/>
    </row>
    <row r="8" spans="2:22" x14ac:dyDescent="0.25">
      <c r="E8" s="8">
        <v>2004</v>
      </c>
      <c r="F8" s="43">
        <v>748.42553191489367</v>
      </c>
      <c r="G8" s="43">
        <v>267.42441209406496</v>
      </c>
      <c r="H8" s="45">
        <v>139</v>
      </c>
      <c r="I8" s="39">
        <f t="shared" si="0"/>
        <v>1.9239166337702516</v>
      </c>
      <c r="J8" s="39">
        <f t="shared" si="1"/>
        <v>0.51977304132992752</v>
      </c>
      <c r="K8" s="48">
        <v>41511</v>
      </c>
      <c r="L8" s="48">
        <v>79575</v>
      </c>
      <c r="M8" s="48">
        <v>98146</v>
      </c>
      <c r="N8" s="48">
        <v>17682</v>
      </c>
      <c r="P8" t="s">
        <v>11</v>
      </c>
      <c r="Q8" s="22">
        <f>Q7*eggToParr</f>
        <v>493107.93360341893</v>
      </c>
      <c r="R8" s="22">
        <f>R7*eggToParr</f>
        <v>1066764.2518959809</v>
      </c>
      <c r="S8" s="22">
        <f>S7*eggToParr</f>
        <v>751709</v>
      </c>
      <c r="T8" s="22">
        <f>T7*eggToParr</f>
        <v>939636.24999999988</v>
      </c>
      <c r="U8" s="22" t="e">
        <f>#REF!</f>
        <v>#REF!</v>
      </c>
      <c r="V8" s="22" t="e">
        <f>IF(T8&lt;U8,0,T8-U8)</f>
        <v>#REF!</v>
      </c>
    </row>
    <row r="9" spans="2:22" x14ac:dyDescent="0.25">
      <c r="E9" s="8">
        <v>2005</v>
      </c>
      <c r="F9" s="43">
        <v>457</v>
      </c>
      <c r="G9" s="43">
        <v>186</v>
      </c>
      <c r="H9" s="45">
        <v>144</v>
      </c>
      <c r="I9" s="39">
        <f t="shared" si="0"/>
        <v>1.2916666666666667</v>
      </c>
      <c r="J9" s="39">
        <f t="shared" si="1"/>
        <v>0.77419354838709675</v>
      </c>
      <c r="K9" s="48">
        <v>25713</v>
      </c>
      <c r="L9" s="48">
        <v>121373</v>
      </c>
      <c r="M9" s="48">
        <v>136300</v>
      </c>
      <c r="N9" s="48">
        <v>12010</v>
      </c>
      <c r="P9" s="3" t="s">
        <v>55</v>
      </c>
      <c r="Q9" s="23">
        <f>Q8*parrToPresmolt</f>
        <v>199792.54145809723</v>
      </c>
      <c r="R9" s="23">
        <f>R8*parrToPresmolt</f>
        <v>432220.87194069457</v>
      </c>
      <c r="S9" s="23">
        <f>S8*parrToPresmolt</f>
        <v>304569.93552999996</v>
      </c>
      <c r="T9" s="23">
        <f>T8*parrToPresmolt</f>
        <v>380712.41941249993</v>
      </c>
      <c r="U9" s="20" t="s">
        <v>56</v>
      </c>
      <c r="V9" s="20" t="s">
        <v>56</v>
      </c>
    </row>
    <row r="10" spans="2:22" x14ac:dyDescent="0.25">
      <c r="E10" s="8">
        <v>2006</v>
      </c>
      <c r="F10" s="43">
        <v>441</v>
      </c>
      <c r="G10" s="43">
        <v>128.21052631578948</v>
      </c>
      <c r="H10" s="45">
        <v>93</v>
      </c>
      <c r="I10" s="39">
        <f t="shared" si="0"/>
        <v>1.3786078098471988</v>
      </c>
      <c r="J10" s="39">
        <f t="shared" si="1"/>
        <v>0.72536945812807874</v>
      </c>
      <c r="K10" s="48">
        <v>12959</v>
      </c>
      <c r="L10" s="48">
        <v>16293</v>
      </c>
      <c r="M10" s="48">
        <v>96331</v>
      </c>
      <c r="N10" s="48">
        <v>9964</v>
      </c>
    </row>
    <row r="11" spans="2:22" x14ac:dyDescent="0.25">
      <c r="E11" s="8">
        <v>2007</v>
      </c>
      <c r="F11" s="43">
        <v>215</v>
      </c>
      <c r="G11" s="43">
        <v>64</v>
      </c>
      <c r="H11" s="46">
        <v>48</v>
      </c>
      <c r="I11" s="39">
        <f t="shared" si="0"/>
        <v>1.3333333333333333</v>
      </c>
      <c r="J11" s="39">
        <f t="shared" si="1"/>
        <v>0.75</v>
      </c>
      <c r="K11" s="48" t="s">
        <v>1</v>
      </c>
      <c r="L11" s="48">
        <v>27500</v>
      </c>
      <c r="M11" s="48">
        <v>47483</v>
      </c>
      <c r="N11" s="48">
        <v>5728</v>
      </c>
    </row>
    <row r="12" spans="2:22" x14ac:dyDescent="0.25">
      <c r="E12" s="8">
        <v>2008</v>
      </c>
      <c r="F12" s="43">
        <v>592.23365836041899</v>
      </c>
      <c r="G12" s="43">
        <v>118.39039364391476</v>
      </c>
      <c r="H12" s="43">
        <v>99</v>
      </c>
      <c r="I12" s="39">
        <f t="shared" si="0"/>
        <v>1.1958625620597452</v>
      </c>
      <c r="J12" s="39">
        <f t="shared" si="1"/>
        <v>0.8362164948768086</v>
      </c>
      <c r="K12" s="48">
        <v>11640</v>
      </c>
      <c r="L12" s="48">
        <v>41787</v>
      </c>
      <c r="M12" s="48">
        <v>29245</v>
      </c>
      <c r="N12" s="48">
        <v>12015</v>
      </c>
    </row>
    <row r="13" spans="2:22" x14ac:dyDescent="0.25">
      <c r="E13" s="8">
        <v>2009</v>
      </c>
      <c r="F13" s="43">
        <v>447.28449014567269</v>
      </c>
      <c r="G13" s="43">
        <v>166.28449014567266</v>
      </c>
      <c r="H13" s="43">
        <v>103</v>
      </c>
      <c r="I13" s="39">
        <f t="shared" si="0"/>
        <v>1.6144125256861424</v>
      </c>
      <c r="J13" s="39">
        <f t="shared" si="1"/>
        <v>0.61942036752656482</v>
      </c>
      <c r="K13" s="50">
        <v>45619</v>
      </c>
      <c r="L13" s="50">
        <v>31640</v>
      </c>
      <c r="M13" s="50">
        <v>58200</v>
      </c>
      <c r="N13" s="50">
        <v>15270</v>
      </c>
    </row>
    <row r="14" spans="2:22" x14ac:dyDescent="0.25">
      <c r="E14" s="8">
        <v>2010</v>
      </c>
      <c r="F14" s="43">
        <v>771</v>
      </c>
      <c r="G14" s="43">
        <v>189.18518518518519</v>
      </c>
      <c r="H14" s="43">
        <v>164</v>
      </c>
      <c r="I14" s="39">
        <f t="shared" si="0"/>
        <v>1.1535682023486902</v>
      </c>
      <c r="J14" s="39">
        <f t="shared" si="1"/>
        <v>0.86687548942834769</v>
      </c>
      <c r="K14" s="44">
        <v>5662</v>
      </c>
      <c r="L14" s="44">
        <v>96413</v>
      </c>
      <c r="M14" s="44">
        <v>34307</v>
      </c>
      <c r="N14" s="44">
        <v>8386</v>
      </c>
    </row>
    <row r="15" spans="2:22" x14ac:dyDescent="0.25">
      <c r="E15" s="9">
        <v>2011</v>
      </c>
      <c r="F15" s="43">
        <v>657.13564929693962</v>
      </c>
      <c r="G15" s="21">
        <v>228.16129032258064</v>
      </c>
      <c r="H15" s="43">
        <v>118</v>
      </c>
      <c r="I15" s="39">
        <f t="shared" si="0"/>
        <v>1.9335702569710225</v>
      </c>
      <c r="J15" s="39">
        <f t="shared" si="1"/>
        <v>0.51717800084829635</v>
      </c>
      <c r="K15" s="45" t="s">
        <v>1</v>
      </c>
      <c r="L15" s="51">
        <v>76712</v>
      </c>
      <c r="M15" s="51">
        <v>62954</v>
      </c>
      <c r="N15" s="51">
        <v>13481</v>
      </c>
    </row>
    <row r="16" spans="2:22" x14ac:dyDescent="0.25">
      <c r="E16" s="8">
        <v>2012</v>
      </c>
      <c r="F16" s="43">
        <v>816.13239267487234</v>
      </c>
      <c r="G16" s="43">
        <v>283.76299773477797</v>
      </c>
      <c r="H16" s="43">
        <v>215</v>
      </c>
      <c r="I16" s="39">
        <f t="shared" si="0"/>
        <v>1.3198278964408277</v>
      </c>
      <c r="J16" s="39">
        <f t="shared" si="1"/>
        <v>0.75767454430740111</v>
      </c>
      <c r="K16" s="51">
        <v>20425</v>
      </c>
      <c r="L16" s="51">
        <v>36377</v>
      </c>
      <c r="M16" s="51">
        <v>48528</v>
      </c>
      <c r="N16" s="51">
        <v>29701</v>
      </c>
    </row>
    <row r="17" spans="5:22" x14ac:dyDescent="0.25">
      <c r="E17" s="8">
        <v>2013</v>
      </c>
      <c r="F17" s="43">
        <v>413.38461538461536</v>
      </c>
      <c r="G17" s="43">
        <v>73</v>
      </c>
      <c r="H17" s="43">
        <v>58</v>
      </c>
      <c r="I17" s="39">
        <f t="shared" si="0"/>
        <v>1.2586206896551724</v>
      </c>
      <c r="J17" s="39">
        <f t="shared" si="1"/>
        <v>0.79452054794520544</v>
      </c>
      <c r="K17" s="51">
        <v>5289</v>
      </c>
      <c r="L17" s="51">
        <v>12106</v>
      </c>
      <c r="M17" s="51">
        <v>7719</v>
      </c>
      <c r="N17" s="51">
        <v>5240</v>
      </c>
    </row>
    <row r="18" spans="5:22" x14ac:dyDescent="0.25">
      <c r="E18" s="8">
        <v>2014</v>
      </c>
      <c r="F18" s="43">
        <v>705</v>
      </c>
      <c r="G18" s="43">
        <v>268</v>
      </c>
      <c r="H18" s="43">
        <v>141</v>
      </c>
      <c r="I18" s="39">
        <f t="shared" si="0"/>
        <v>1.9007092198581561</v>
      </c>
      <c r="J18" s="39">
        <f t="shared" si="1"/>
        <v>0.52611940298507465</v>
      </c>
      <c r="K18" s="51">
        <v>17546</v>
      </c>
      <c r="L18" s="50">
        <v>18872</v>
      </c>
      <c r="M18" s="50">
        <v>14717</v>
      </c>
      <c r="N18" s="46">
        <v>5904</v>
      </c>
    </row>
    <row r="19" spans="5:22" x14ac:dyDescent="0.25">
      <c r="E19" s="8">
        <v>2015</v>
      </c>
      <c r="F19" s="43">
        <v>399</v>
      </c>
      <c r="G19" s="43">
        <v>121</v>
      </c>
      <c r="H19" s="43">
        <v>73</v>
      </c>
      <c r="I19" s="39">
        <f t="shared" si="0"/>
        <v>1.6575342465753424</v>
      </c>
      <c r="J19" s="39">
        <f t="shared" si="1"/>
        <v>0.60330578512396693</v>
      </c>
      <c r="K19" s="46">
        <v>14908</v>
      </c>
      <c r="L19" s="46">
        <v>30451</v>
      </c>
      <c r="M19" s="46">
        <v>23907</v>
      </c>
      <c r="N19" s="46" t="s">
        <v>1</v>
      </c>
    </row>
    <row r="20" spans="5:22" x14ac:dyDescent="0.25">
      <c r="E20" s="10">
        <v>2016</v>
      </c>
      <c r="F20" s="47">
        <v>438</v>
      </c>
      <c r="G20" s="47">
        <v>229.24242424242425</v>
      </c>
      <c r="H20" s="47">
        <v>125</v>
      </c>
      <c r="I20" s="40">
        <f t="shared" si="0"/>
        <v>1.833939393939394</v>
      </c>
      <c r="J20" s="40">
        <f t="shared" si="1"/>
        <v>0.54527428949107737</v>
      </c>
      <c r="K20" s="52" t="s">
        <v>1</v>
      </c>
      <c r="L20" s="52" t="s">
        <v>1</v>
      </c>
      <c r="M20" s="52" t="s">
        <v>1</v>
      </c>
      <c r="N20" s="52" t="s">
        <v>1</v>
      </c>
    </row>
    <row r="21" spans="5:22" x14ac:dyDescent="0.25">
      <c r="E21" s="41" t="s">
        <v>47</v>
      </c>
      <c r="F21" s="37">
        <f>AVERAGE(F4:F20)</f>
        <v>655.98247939484429</v>
      </c>
      <c r="G21" s="37">
        <f t="shared" ref="G21:N21" si="2">AVERAGE(G4:G20)</f>
        <v>237.49831098009588</v>
      </c>
      <c r="H21" s="37">
        <f t="shared" si="2"/>
        <v>148.58823529411765</v>
      </c>
      <c r="I21" s="38">
        <f t="shared" si="2"/>
        <v>1.5531801684776829</v>
      </c>
      <c r="J21" s="38">
        <f t="shared" si="2"/>
        <v>0.66425443976350618</v>
      </c>
      <c r="K21" s="37">
        <f t="shared" si="2"/>
        <v>45903.857142857145</v>
      </c>
      <c r="L21" s="37">
        <f t="shared" si="2"/>
        <v>54441.0625</v>
      </c>
      <c r="M21" s="37">
        <f t="shared" si="2"/>
        <v>58207.4375</v>
      </c>
      <c r="N21" s="37">
        <f t="shared" si="2"/>
        <v>18209.533333333333</v>
      </c>
    </row>
    <row r="22" spans="5:22" x14ac:dyDescent="0.25">
      <c r="E22" s="42" t="s">
        <v>57</v>
      </c>
      <c r="F22" s="25">
        <f>MAX(F4:F20)</f>
        <v>1419.1186375259324</v>
      </c>
      <c r="G22" s="25">
        <f t="shared" ref="G22:N22" si="3">MAX(G4:G20)</f>
        <v>662.58112352817204</v>
      </c>
      <c r="H22" s="25">
        <f t="shared" si="3"/>
        <v>378</v>
      </c>
      <c r="I22" s="26">
        <f t="shared" si="3"/>
        <v>1.9335702569710225</v>
      </c>
      <c r="J22" s="26">
        <f t="shared" si="3"/>
        <v>0.86687548942834769</v>
      </c>
      <c r="K22" s="25">
        <f t="shared" si="3"/>
        <v>213696</v>
      </c>
      <c r="L22" s="25">
        <f t="shared" si="3"/>
        <v>121373</v>
      </c>
      <c r="M22" s="25">
        <f t="shared" si="3"/>
        <v>136300</v>
      </c>
      <c r="N22" s="25">
        <f t="shared" si="3"/>
        <v>47435</v>
      </c>
    </row>
    <row r="25" spans="5:22" x14ac:dyDescent="0.25">
      <c r="E25" s="1" t="s">
        <v>58</v>
      </c>
      <c r="F25" s="11"/>
      <c r="G25" s="11"/>
      <c r="H25" s="11"/>
      <c r="I25" s="11"/>
      <c r="J25" s="11"/>
      <c r="K25" s="11"/>
      <c r="L25" s="11"/>
      <c r="M25" s="11"/>
      <c r="N25" s="11"/>
      <c r="P25" s="17" t="s">
        <v>16</v>
      </c>
    </row>
    <row r="26" spans="5:22" x14ac:dyDescent="0.25">
      <c r="E26" s="5" t="s">
        <v>34</v>
      </c>
      <c r="F26" s="5" t="s">
        <v>35</v>
      </c>
      <c r="G26" s="5" t="s">
        <v>36</v>
      </c>
      <c r="H26" s="5" t="s">
        <v>9</v>
      </c>
      <c r="I26" s="5" t="s">
        <v>37</v>
      </c>
      <c r="J26" s="5" t="s">
        <v>38</v>
      </c>
      <c r="K26" s="5" t="s">
        <v>39</v>
      </c>
      <c r="L26" s="5" t="s">
        <v>40</v>
      </c>
      <c r="M26" s="5" t="s">
        <v>41</v>
      </c>
      <c r="N26" s="5" t="s">
        <v>42</v>
      </c>
      <c r="P26" s="130" t="s">
        <v>43</v>
      </c>
      <c r="Q26" s="132" t="s">
        <v>44</v>
      </c>
      <c r="R26" s="132"/>
      <c r="S26" s="132"/>
      <c r="T26" s="132"/>
      <c r="U26" s="133" t="s">
        <v>45</v>
      </c>
      <c r="V26" s="133" t="s">
        <v>46</v>
      </c>
    </row>
    <row r="27" spans="5:22" x14ac:dyDescent="0.25">
      <c r="E27" s="4">
        <v>2010</v>
      </c>
      <c r="F27" s="24">
        <v>329</v>
      </c>
      <c r="G27" s="53"/>
      <c r="H27" s="53"/>
      <c r="I27" s="33"/>
      <c r="J27" s="33"/>
      <c r="K27" s="53"/>
      <c r="L27" s="53"/>
      <c r="M27" s="53"/>
      <c r="N27" s="53"/>
      <c r="P27" s="131"/>
      <c r="Q27" s="18" t="s">
        <v>47</v>
      </c>
      <c r="R27" s="18" t="s">
        <v>48</v>
      </c>
      <c r="S27" s="18" t="s">
        <v>49</v>
      </c>
      <c r="T27" s="18" t="s">
        <v>50</v>
      </c>
      <c r="U27" s="134"/>
      <c r="V27" s="134"/>
    </row>
    <row r="28" spans="5:22" x14ac:dyDescent="0.25">
      <c r="E28" s="4">
        <v>2011</v>
      </c>
      <c r="F28" s="24">
        <v>452</v>
      </c>
      <c r="G28" s="53"/>
      <c r="H28" s="53"/>
      <c r="I28" s="33"/>
      <c r="J28" s="33"/>
      <c r="K28" s="53"/>
      <c r="L28" s="53"/>
      <c r="M28" s="53"/>
      <c r="N28" s="53"/>
      <c r="P28" t="s">
        <v>35</v>
      </c>
      <c r="Q28" s="22">
        <f>$F$33</f>
        <v>506</v>
      </c>
      <c r="R28" s="22">
        <f>$F$34</f>
        <v>739</v>
      </c>
      <c r="S28" s="21">
        <v>500</v>
      </c>
      <c r="T28" s="22">
        <f>S28*1.25</f>
        <v>625</v>
      </c>
      <c r="U28" s="19"/>
      <c r="V28" s="19"/>
    </row>
    <row r="29" spans="5:22" x14ac:dyDescent="0.25">
      <c r="E29" s="4">
        <v>2012</v>
      </c>
      <c r="F29" s="24">
        <v>675</v>
      </c>
      <c r="G29" s="53"/>
      <c r="H29" s="53"/>
      <c r="I29" s="33"/>
      <c r="J29" s="33"/>
      <c r="K29" s="53"/>
      <c r="L29" s="53"/>
      <c r="M29" s="53"/>
      <c r="N29" s="53"/>
      <c r="P29" t="s">
        <v>12</v>
      </c>
      <c r="Q29" s="22">
        <f>Q28*femaleRatio*reddsPerFemale</f>
        <v>247.94</v>
      </c>
      <c r="R29" s="22">
        <f>R28*femaleRatio*reddsPerFemale</f>
        <v>362.11</v>
      </c>
      <c r="S29" s="22">
        <f>S28*femaleRatio*reddsPerFemale</f>
        <v>245</v>
      </c>
      <c r="T29" s="22">
        <f>T28*femaleRatio*reddsPerFemale</f>
        <v>306.25</v>
      </c>
      <c r="U29" s="22" t="e">
        <f>#REF!</f>
        <v>#REF!</v>
      </c>
      <c r="V29" s="22" t="e">
        <f>IF(T29&lt;U29,0,T29-U29)</f>
        <v>#REF!</v>
      </c>
    </row>
    <row r="30" spans="5:22" x14ac:dyDescent="0.25">
      <c r="E30" s="4">
        <v>2013</v>
      </c>
      <c r="F30" s="24">
        <v>389</v>
      </c>
      <c r="G30" s="53"/>
      <c r="H30" s="53"/>
      <c r="I30" s="33"/>
      <c r="J30" s="33"/>
      <c r="K30" s="53"/>
      <c r="L30" s="53"/>
      <c r="M30" s="53"/>
      <c r="N30" s="53"/>
      <c r="P30" t="s">
        <v>54</v>
      </c>
      <c r="Q30" s="22">
        <f>Q29*fecundity</f>
        <v>1311602.6000000001</v>
      </c>
      <c r="R30" s="22">
        <f>R29*fecundity</f>
        <v>1915561.9000000001</v>
      </c>
      <c r="S30" s="22">
        <f>S29*fecundity</f>
        <v>1296050</v>
      </c>
      <c r="T30" s="22">
        <f>T29*fecundity</f>
        <v>1620062.5</v>
      </c>
      <c r="U30" s="19"/>
      <c r="V30" s="19"/>
    </row>
    <row r="31" spans="5:22" x14ac:dyDescent="0.25">
      <c r="E31" s="4">
        <v>2014</v>
      </c>
      <c r="F31" s="24">
        <v>739</v>
      </c>
      <c r="G31" s="53"/>
      <c r="H31" s="53"/>
      <c r="I31" s="33"/>
      <c r="J31" s="33"/>
      <c r="K31" s="53"/>
      <c r="L31" s="53"/>
      <c r="M31" s="53"/>
      <c r="N31" s="53"/>
      <c r="P31" t="s">
        <v>11</v>
      </c>
      <c r="Q31" s="22">
        <f>Q30*eggToParr</f>
        <v>380364.75400000002</v>
      </c>
      <c r="R31" s="22">
        <f>R30*eggToParr</f>
        <v>555512.951</v>
      </c>
      <c r="S31" s="22">
        <f>S30*eggToParr</f>
        <v>375854.5</v>
      </c>
      <c r="T31" s="22">
        <f>T30*eggToParr</f>
        <v>469818.12499999994</v>
      </c>
      <c r="U31" s="22" t="e">
        <f>#REF!</f>
        <v>#REF!</v>
      </c>
      <c r="V31" s="22" t="e">
        <f>IF(T31&lt;U31,0,T31-U31)</f>
        <v>#REF!</v>
      </c>
    </row>
    <row r="32" spans="5:22" x14ac:dyDescent="0.25">
      <c r="E32" s="6">
        <v>2015</v>
      </c>
      <c r="F32" s="54">
        <v>452</v>
      </c>
      <c r="G32" s="55"/>
      <c r="H32" s="55"/>
      <c r="I32" s="30"/>
      <c r="J32" s="30"/>
      <c r="K32" s="55"/>
      <c r="L32" s="55"/>
      <c r="M32" s="55"/>
      <c r="N32" s="55"/>
      <c r="P32" s="3" t="s">
        <v>55</v>
      </c>
      <c r="Q32" s="23">
        <f>Q31*parrToPresmolt</f>
        <v>154112.38737817999</v>
      </c>
      <c r="R32" s="23">
        <f>R31*parrToPresmolt</f>
        <v>225077.18235666997</v>
      </c>
      <c r="S32" s="23">
        <f>S31*parrToPresmolt</f>
        <v>152284.96776499998</v>
      </c>
      <c r="T32" s="23">
        <f>T31*parrToPresmolt</f>
        <v>190356.20970624997</v>
      </c>
      <c r="U32" s="20" t="s">
        <v>56</v>
      </c>
      <c r="V32" s="20" t="s">
        <v>56</v>
      </c>
    </row>
    <row r="33" spans="5:22" x14ac:dyDescent="0.25">
      <c r="E33" s="42" t="s">
        <v>47</v>
      </c>
      <c r="F33" s="36">
        <f>AVERAGE(F27:F32)</f>
        <v>506</v>
      </c>
      <c r="G33" s="29"/>
      <c r="H33" s="29"/>
      <c r="I33" s="29"/>
      <c r="J33" s="29"/>
      <c r="K33" s="29"/>
      <c r="L33" s="29"/>
      <c r="M33" s="29"/>
      <c r="N33" s="29"/>
    </row>
    <row r="34" spans="5:22" x14ac:dyDescent="0.25">
      <c r="E34" s="42" t="s">
        <v>57</v>
      </c>
      <c r="F34" s="36">
        <f>MAX(F27:F32)</f>
        <v>739</v>
      </c>
      <c r="G34" s="29"/>
      <c r="H34" s="29"/>
      <c r="I34" s="29"/>
      <c r="J34" s="29"/>
      <c r="K34" s="29"/>
      <c r="L34" s="29"/>
      <c r="M34" s="29"/>
      <c r="N34" s="29"/>
    </row>
    <row r="37" spans="5:22" x14ac:dyDescent="0.25">
      <c r="E37" s="1" t="s">
        <v>59</v>
      </c>
      <c r="F37" s="11"/>
      <c r="G37" s="11"/>
      <c r="H37" s="11"/>
      <c r="I37" s="11"/>
      <c r="J37" s="11"/>
      <c r="K37" s="11"/>
      <c r="L37" s="11"/>
      <c r="M37" s="11"/>
      <c r="N37" s="11"/>
      <c r="P37" s="17" t="s">
        <v>18</v>
      </c>
    </row>
    <row r="38" spans="5:22" x14ac:dyDescent="0.25">
      <c r="E38" s="5" t="s">
        <v>34</v>
      </c>
      <c r="F38" s="5" t="s">
        <v>35</v>
      </c>
      <c r="G38" s="5" t="s">
        <v>36</v>
      </c>
      <c r="H38" s="5" t="s">
        <v>9</v>
      </c>
      <c r="I38" s="5" t="s">
        <v>37</v>
      </c>
      <c r="J38" s="5" t="s">
        <v>38</v>
      </c>
      <c r="K38" s="5" t="s">
        <v>39</v>
      </c>
      <c r="L38" s="5" t="s">
        <v>40</v>
      </c>
      <c r="M38" s="5" t="s">
        <v>41</v>
      </c>
      <c r="N38" s="5" t="s">
        <v>42</v>
      </c>
      <c r="P38" s="130" t="s">
        <v>43</v>
      </c>
      <c r="Q38" s="132" t="s">
        <v>44</v>
      </c>
      <c r="R38" s="132"/>
      <c r="S38" s="132"/>
      <c r="T38" s="132"/>
      <c r="U38" s="133" t="s">
        <v>45</v>
      </c>
      <c r="V38" s="133" t="s">
        <v>46</v>
      </c>
    </row>
    <row r="39" spans="5:22" x14ac:dyDescent="0.25">
      <c r="E39" s="4">
        <v>2012</v>
      </c>
      <c r="F39" s="24">
        <v>307</v>
      </c>
      <c r="G39" s="53"/>
      <c r="H39" s="53"/>
      <c r="I39" s="33"/>
      <c r="J39" s="33"/>
      <c r="K39" s="53"/>
      <c r="L39" s="53"/>
      <c r="M39" s="53"/>
      <c r="N39" s="53"/>
      <c r="P39" s="131"/>
      <c r="Q39" s="18" t="s">
        <v>47</v>
      </c>
      <c r="R39" s="18" t="s">
        <v>48</v>
      </c>
      <c r="S39" s="18" t="s">
        <v>49</v>
      </c>
      <c r="T39" s="18" t="s">
        <v>50</v>
      </c>
      <c r="U39" s="134"/>
      <c r="V39" s="134"/>
    </row>
    <row r="40" spans="5:22" x14ac:dyDescent="0.25">
      <c r="E40" s="4">
        <v>2013</v>
      </c>
      <c r="F40" s="24">
        <v>343</v>
      </c>
      <c r="G40" s="53"/>
      <c r="H40" s="53"/>
      <c r="I40" s="33"/>
      <c r="J40" s="33"/>
      <c r="K40" s="53"/>
      <c r="L40" s="53"/>
      <c r="M40" s="53"/>
      <c r="N40" s="53"/>
      <c r="P40" t="s">
        <v>35</v>
      </c>
      <c r="Q40" s="22">
        <f>$F$43</f>
        <v>247.5</v>
      </c>
      <c r="R40" s="22">
        <f>$F$44</f>
        <v>343</v>
      </c>
      <c r="S40" s="21">
        <v>500</v>
      </c>
      <c r="T40" s="22">
        <f>S40*1.25</f>
        <v>625</v>
      </c>
      <c r="U40" s="19"/>
      <c r="V40" s="19"/>
    </row>
    <row r="41" spans="5:22" x14ac:dyDescent="0.25">
      <c r="E41" s="4">
        <v>2014</v>
      </c>
      <c r="F41" s="24">
        <v>213</v>
      </c>
      <c r="G41" s="53"/>
      <c r="H41" s="53"/>
      <c r="I41" s="33"/>
      <c r="J41" s="33"/>
      <c r="K41" s="53"/>
      <c r="L41" s="53"/>
      <c r="M41" s="53"/>
      <c r="N41" s="53"/>
      <c r="P41" t="s">
        <v>12</v>
      </c>
      <c r="Q41" s="22">
        <f>Q40*femaleRatio*reddsPerFemale</f>
        <v>121.27499999999999</v>
      </c>
      <c r="R41" s="22">
        <f>R40*femaleRatio*reddsPerFemale</f>
        <v>168.07</v>
      </c>
      <c r="S41" s="22">
        <f>S40*femaleRatio*reddsPerFemale</f>
        <v>245</v>
      </c>
      <c r="T41" s="22">
        <f>T40*femaleRatio*reddsPerFemale</f>
        <v>306.25</v>
      </c>
      <c r="U41" s="22" t="e">
        <f>#REF!</f>
        <v>#REF!</v>
      </c>
      <c r="V41" s="22" t="e">
        <f>IF(T41&lt;U41,0,T41-U41)</f>
        <v>#REF!</v>
      </c>
    </row>
    <row r="42" spans="5:22" x14ac:dyDescent="0.25">
      <c r="E42" s="6">
        <v>2015</v>
      </c>
      <c r="F42" s="24">
        <v>127</v>
      </c>
      <c r="G42" s="55"/>
      <c r="H42" s="55"/>
      <c r="I42" s="30"/>
      <c r="J42" s="30"/>
      <c r="K42" s="55"/>
      <c r="L42" s="55"/>
      <c r="M42" s="55"/>
      <c r="N42" s="55"/>
      <c r="P42" t="s">
        <v>54</v>
      </c>
      <c r="Q42" s="22">
        <f>Q41*fecundity</f>
        <v>641544.75</v>
      </c>
      <c r="R42" s="22">
        <f>R41*fecundity</f>
        <v>889090.29999999993</v>
      </c>
      <c r="S42" s="22">
        <f>S41*fecundity</f>
        <v>1296050</v>
      </c>
      <c r="T42" s="22">
        <f>T41*fecundity</f>
        <v>1620062.5</v>
      </c>
      <c r="U42" s="19"/>
      <c r="V42" s="19"/>
    </row>
    <row r="43" spans="5:22" x14ac:dyDescent="0.25">
      <c r="E43" s="42" t="s">
        <v>47</v>
      </c>
      <c r="F43" s="35">
        <f>AVERAGE(F39:F42)</f>
        <v>247.5</v>
      </c>
      <c r="G43" s="29"/>
      <c r="H43" s="29"/>
      <c r="I43" s="29"/>
      <c r="J43" s="29"/>
      <c r="K43" s="29"/>
      <c r="L43" s="29"/>
      <c r="M43" s="29"/>
      <c r="N43" s="29"/>
      <c r="P43" t="s">
        <v>11</v>
      </c>
      <c r="Q43" s="22">
        <f>Q42*eggToParr</f>
        <v>186047.97749999998</v>
      </c>
      <c r="R43" s="22">
        <f>R42*eggToParr</f>
        <v>257836.18699999998</v>
      </c>
      <c r="S43" s="22">
        <f>S42*eggToParr</f>
        <v>375854.5</v>
      </c>
      <c r="T43" s="22">
        <f>T42*eggToParr</f>
        <v>469818.12499999994</v>
      </c>
      <c r="U43" s="22" t="e">
        <f>#REF!</f>
        <v>#REF!</v>
      </c>
      <c r="V43" s="22" t="e">
        <f>IF(T43&lt;U43,0,T43-U43)</f>
        <v>#REF!</v>
      </c>
    </row>
    <row r="44" spans="5:22" x14ac:dyDescent="0.25">
      <c r="E44" s="42" t="s">
        <v>57</v>
      </c>
      <c r="F44" s="36">
        <f>MAX(F39:F42)</f>
        <v>343</v>
      </c>
      <c r="G44" s="29"/>
      <c r="H44" s="29"/>
      <c r="I44" s="29"/>
      <c r="J44" s="29"/>
      <c r="K44" s="29"/>
      <c r="L44" s="29"/>
      <c r="M44" s="29"/>
      <c r="N44" s="29"/>
      <c r="P44" s="3" t="s">
        <v>55</v>
      </c>
      <c r="Q44" s="23">
        <f>Q43*parrToPresmolt</f>
        <v>75381.059043674992</v>
      </c>
      <c r="R44" s="23">
        <f>R43*parrToPresmolt</f>
        <v>104467.48788678998</v>
      </c>
      <c r="S44" s="23">
        <f>S43*parrToPresmolt</f>
        <v>152284.96776499998</v>
      </c>
      <c r="T44" s="23">
        <f>T43*parrToPresmolt</f>
        <v>190356.20970624997</v>
      </c>
      <c r="U44" s="20" t="s">
        <v>56</v>
      </c>
      <c r="V44" s="20" t="s">
        <v>56</v>
      </c>
    </row>
    <row r="47" spans="5:22" x14ac:dyDescent="0.25">
      <c r="E47" s="1" t="s">
        <v>60</v>
      </c>
      <c r="F47" s="11"/>
      <c r="G47" s="11"/>
      <c r="H47" s="11"/>
      <c r="I47" s="11"/>
      <c r="J47" s="11"/>
      <c r="K47" s="11"/>
      <c r="L47" s="11"/>
      <c r="M47" s="11"/>
      <c r="N47" s="11"/>
      <c r="P47" s="17" t="s">
        <v>20</v>
      </c>
    </row>
    <row r="48" spans="5:22" x14ac:dyDescent="0.25">
      <c r="E48" s="5" t="s">
        <v>34</v>
      </c>
      <c r="F48" s="5" t="s">
        <v>35</v>
      </c>
      <c r="G48" s="5" t="s">
        <v>36</v>
      </c>
      <c r="H48" s="5" t="s">
        <v>9</v>
      </c>
      <c r="I48" s="5" t="s">
        <v>37</v>
      </c>
      <c r="J48" s="5" t="s">
        <v>38</v>
      </c>
      <c r="K48" s="5" t="s">
        <v>39</v>
      </c>
      <c r="L48" s="5" t="s">
        <v>40</v>
      </c>
      <c r="M48" s="5" t="s">
        <v>41</v>
      </c>
      <c r="N48" s="5" t="s">
        <v>42</v>
      </c>
      <c r="P48" s="130" t="s">
        <v>43</v>
      </c>
      <c r="Q48" s="132" t="s">
        <v>44</v>
      </c>
      <c r="R48" s="132"/>
      <c r="S48" s="132"/>
      <c r="T48" s="132"/>
      <c r="U48" s="133" t="s">
        <v>45</v>
      </c>
      <c r="V48" s="133" t="s">
        <v>46</v>
      </c>
    </row>
    <row r="49" spans="5:22" x14ac:dyDescent="0.25">
      <c r="E49" s="4">
        <v>2010</v>
      </c>
      <c r="F49" s="24">
        <v>343</v>
      </c>
      <c r="G49" s="53"/>
      <c r="H49" s="53"/>
      <c r="I49" s="33"/>
      <c r="J49" s="33"/>
      <c r="K49" s="53"/>
      <c r="L49" s="53"/>
      <c r="M49" s="53"/>
      <c r="N49" s="53"/>
      <c r="P49" s="131"/>
      <c r="Q49" s="18" t="s">
        <v>47</v>
      </c>
      <c r="R49" s="18" t="s">
        <v>48</v>
      </c>
      <c r="S49" s="18" t="s">
        <v>49</v>
      </c>
      <c r="T49" s="18" t="s">
        <v>50</v>
      </c>
      <c r="U49" s="134"/>
      <c r="V49" s="134"/>
    </row>
    <row r="50" spans="5:22" x14ac:dyDescent="0.25">
      <c r="E50" s="4">
        <v>2011</v>
      </c>
      <c r="F50" s="24">
        <v>161</v>
      </c>
      <c r="G50" s="53"/>
      <c r="H50" s="53"/>
      <c r="I50" s="33"/>
      <c r="J50" s="33"/>
      <c r="K50" s="53"/>
      <c r="L50" s="53"/>
      <c r="M50" s="53"/>
      <c r="N50" s="53"/>
      <c r="P50" t="s">
        <v>35</v>
      </c>
      <c r="Q50" s="22">
        <f>$F$55</f>
        <v>282.8</v>
      </c>
      <c r="R50" s="22">
        <f>$F$56</f>
        <v>343</v>
      </c>
      <c r="S50" s="21">
        <v>1000</v>
      </c>
      <c r="T50" s="22">
        <f>S50*1.25</f>
        <v>1250</v>
      </c>
      <c r="U50" s="19"/>
      <c r="V50" s="19"/>
    </row>
    <row r="51" spans="5:22" x14ac:dyDescent="0.25">
      <c r="E51" s="4">
        <v>2012</v>
      </c>
      <c r="F51" s="24">
        <v>283</v>
      </c>
      <c r="G51" s="53"/>
      <c r="H51" s="53"/>
      <c r="I51" s="33"/>
      <c r="J51" s="33"/>
      <c r="K51" s="53"/>
      <c r="L51" s="53"/>
      <c r="M51" s="53"/>
      <c r="N51" s="53"/>
      <c r="P51" t="s">
        <v>12</v>
      </c>
      <c r="Q51" s="22">
        <f>Q50*femaleRatio*reddsPerFemale</f>
        <v>138.572</v>
      </c>
      <c r="R51" s="22">
        <f>R50*femaleRatio*reddsPerFemale</f>
        <v>168.07</v>
      </c>
      <c r="S51" s="22">
        <f>S50*femaleRatio*reddsPerFemale</f>
        <v>490</v>
      </c>
      <c r="T51" s="22">
        <f>T50*femaleRatio*reddsPerFemale</f>
        <v>612.5</v>
      </c>
      <c r="U51" s="22" t="e">
        <f>#REF!</f>
        <v>#REF!</v>
      </c>
      <c r="V51" s="22" t="e">
        <f>IF(T51&lt;U51,0,T51-U51)</f>
        <v>#REF!</v>
      </c>
    </row>
    <row r="52" spans="5:22" x14ac:dyDescent="0.25">
      <c r="E52" s="4">
        <v>2013</v>
      </c>
      <c r="F52" s="24">
        <v>307</v>
      </c>
      <c r="G52" s="53"/>
      <c r="H52" s="53"/>
      <c r="I52" s="33"/>
      <c r="J52" s="33"/>
      <c r="K52" s="53"/>
      <c r="L52" s="53"/>
      <c r="M52" s="53"/>
      <c r="N52" s="53"/>
      <c r="P52" t="s">
        <v>54</v>
      </c>
      <c r="Q52" s="22">
        <f>Q51*fecundity</f>
        <v>733045.88</v>
      </c>
      <c r="R52" s="22">
        <f>R51*fecundity</f>
        <v>889090.29999999993</v>
      </c>
      <c r="S52" s="22">
        <f>S51*fecundity</f>
        <v>2592100</v>
      </c>
      <c r="T52" s="22">
        <f>T51*fecundity</f>
        <v>3240125</v>
      </c>
      <c r="U52" s="19"/>
      <c r="V52" s="19"/>
    </row>
    <row r="53" spans="5:22" x14ac:dyDescent="0.25">
      <c r="E53" s="4">
        <v>2014</v>
      </c>
      <c r="F53" s="24">
        <v>320</v>
      </c>
      <c r="G53" s="53"/>
      <c r="H53" s="53"/>
      <c r="I53" s="33"/>
      <c r="J53" s="33"/>
      <c r="K53" s="53"/>
      <c r="L53" s="53"/>
      <c r="M53" s="53"/>
      <c r="N53" s="53"/>
      <c r="P53" t="s">
        <v>11</v>
      </c>
      <c r="Q53" s="22">
        <f>Q52*eggToParr</f>
        <v>212583.30519999997</v>
      </c>
      <c r="R53" s="22">
        <f>R52*eggToParr</f>
        <v>257836.18699999998</v>
      </c>
      <c r="S53" s="22">
        <f>S52*eggToParr</f>
        <v>751709</v>
      </c>
      <c r="T53" s="22">
        <f>T52*eggToParr</f>
        <v>939636.24999999988</v>
      </c>
      <c r="U53" s="22" t="e">
        <f>#REF!</f>
        <v>#REF!</v>
      </c>
      <c r="V53" s="22" t="e">
        <f>IF(T53&lt;U53,0,T53-U53)</f>
        <v>#REF!</v>
      </c>
    </row>
    <row r="54" spans="5:22" x14ac:dyDescent="0.25">
      <c r="E54" s="6">
        <v>2015</v>
      </c>
      <c r="F54" s="54" t="s">
        <v>1</v>
      </c>
      <c r="G54" s="55"/>
      <c r="H54" s="55"/>
      <c r="I54" s="30"/>
      <c r="J54" s="30"/>
      <c r="K54" s="55"/>
      <c r="L54" s="55"/>
      <c r="M54" s="55"/>
      <c r="N54" s="55"/>
      <c r="P54" s="3" t="s">
        <v>55</v>
      </c>
      <c r="Q54" s="23">
        <f>Q53*parrToPresmolt</f>
        <v>86132.377767883983</v>
      </c>
      <c r="R54" s="23">
        <f>R53*parrToPresmolt</f>
        <v>104467.48788678998</v>
      </c>
      <c r="S54" s="23">
        <f>S53*parrToPresmolt</f>
        <v>304569.93552999996</v>
      </c>
      <c r="T54" s="23">
        <f>T53*parrToPresmolt</f>
        <v>380712.41941249993</v>
      </c>
      <c r="U54" s="20" t="s">
        <v>56</v>
      </c>
      <c r="V54" s="20" t="s">
        <v>56</v>
      </c>
    </row>
    <row r="55" spans="5:22" x14ac:dyDescent="0.25">
      <c r="E55" s="41" t="s">
        <v>47</v>
      </c>
      <c r="F55" s="34">
        <f>AVERAGE(F49:F54)</f>
        <v>282.8</v>
      </c>
      <c r="G55" s="30"/>
      <c r="H55" s="30"/>
      <c r="I55" s="30"/>
      <c r="J55" s="30"/>
      <c r="K55" s="30"/>
      <c r="L55" s="30"/>
      <c r="M55" s="30"/>
      <c r="N55" s="30"/>
    </row>
    <row r="56" spans="5:22" x14ac:dyDescent="0.25">
      <c r="E56" s="42" t="s">
        <v>57</v>
      </c>
      <c r="F56" s="35">
        <f>MAX(F49:F54)</f>
        <v>343</v>
      </c>
      <c r="G56" s="29"/>
      <c r="H56" s="29"/>
      <c r="I56" s="29"/>
      <c r="J56" s="29"/>
      <c r="K56" s="29"/>
      <c r="L56" s="29"/>
      <c r="M56" s="29"/>
      <c r="N56" s="29"/>
    </row>
    <row r="57" spans="5:22" x14ac:dyDescent="0.25">
      <c r="E57" s="15"/>
      <c r="F57" s="16"/>
      <c r="G57" s="14"/>
      <c r="H57" s="14"/>
      <c r="I57" s="14"/>
      <c r="J57" s="14"/>
      <c r="K57" s="14"/>
      <c r="L57" s="14"/>
      <c r="M57" s="14"/>
      <c r="N57" s="14"/>
    </row>
    <row r="59" spans="5:22" x14ac:dyDescent="0.25">
      <c r="E59" s="1" t="s">
        <v>61</v>
      </c>
      <c r="F59" s="11"/>
      <c r="G59" s="11"/>
      <c r="H59" s="11"/>
      <c r="I59" s="11"/>
      <c r="J59" s="11"/>
      <c r="K59" s="11"/>
      <c r="L59" s="11"/>
      <c r="M59" s="11"/>
      <c r="N59" s="11"/>
      <c r="P59" s="17" t="s">
        <v>22</v>
      </c>
    </row>
    <row r="60" spans="5:22" x14ac:dyDescent="0.25">
      <c r="E60" s="5" t="s">
        <v>34</v>
      </c>
      <c r="F60" s="5" t="s">
        <v>35</v>
      </c>
      <c r="G60" s="5" t="s">
        <v>36</v>
      </c>
      <c r="H60" s="5" t="s">
        <v>9</v>
      </c>
      <c r="I60" s="5" t="s">
        <v>37</v>
      </c>
      <c r="J60" s="5" t="s">
        <v>38</v>
      </c>
      <c r="K60" s="5" t="s">
        <v>39</v>
      </c>
      <c r="L60" s="5" t="s">
        <v>40</v>
      </c>
      <c r="M60" s="5" t="s">
        <v>41</v>
      </c>
      <c r="N60" s="5" t="s">
        <v>42</v>
      </c>
      <c r="P60" s="130" t="s">
        <v>43</v>
      </c>
      <c r="Q60" s="132" t="s">
        <v>44</v>
      </c>
      <c r="R60" s="132"/>
      <c r="S60" s="132"/>
      <c r="T60" s="132"/>
      <c r="U60" s="133" t="s">
        <v>45</v>
      </c>
      <c r="V60" s="133" t="s">
        <v>46</v>
      </c>
    </row>
    <row r="61" spans="5:22" x14ac:dyDescent="0.25">
      <c r="E61" s="8">
        <v>2000</v>
      </c>
      <c r="F61" s="56">
        <v>105.37634408602152</v>
      </c>
      <c r="G61" s="56">
        <v>48.387096774193552</v>
      </c>
      <c r="H61" s="56">
        <v>51</v>
      </c>
      <c r="I61" s="31">
        <f>G61/H61</f>
        <v>0.94876660341555985</v>
      </c>
      <c r="J61" s="31">
        <f>H61/G61</f>
        <v>1.0539999999999998</v>
      </c>
      <c r="K61" s="48">
        <v>7595</v>
      </c>
      <c r="L61" s="48">
        <v>336</v>
      </c>
      <c r="M61" s="48">
        <v>5274</v>
      </c>
      <c r="N61" s="48">
        <v>4083</v>
      </c>
      <c r="P61" s="131"/>
      <c r="Q61" s="18" t="s">
        <v>47</v>
      </c>
      <c r="R61" s="18" t="s">
        <v>48</v>
      </c>
      <c r="S61" s="18" t="s">
        <v>49</v>
      </c>
      <c r="T61" s="18" t="s">
        <v>50</v>
      </c>
      <c r="U61" s="134"/>
      <c r="V61" s="134"/>
    </row>
    <row r="62" spans="5:22" x14ac:dyDescent="0.25">
      <c r="E62" s="8">
        <v>2001</v>
      </c>
      <c r="F62" s="56">
        <v>329.0322580645161</v>
      </c>
      <c r="G62" s="56">
        <v>167.74193548387098</v>
      </c>
      <c r="H62" s="56">
        <v>173</v>
      </c>
      <c r="I62" s="31">
        <f t="shared" ref="I62:I76" si="4">G62/H62</f>
        <v>0.96960656349058372</v>
      </c>
      <c r="J62" s="31">
        <f t="shared" ref="J62:J76" si="5">H62/G62</f>
        <v>1.0313461538461537</v>
      </c>
      <c r="K62" s="48">
        <v>20202</v>
      </c>
      <c r="L62" s="48">
        <v>8904</v>
      </c>
      <c r="M62" s="48">
        <v>27272</v>
      </c>
      <c r="N62" s="48">
        <v>6189</v>
      </c>
      <c r="P62" t="s">
        <v>35</v>
      </c>
      <c r="Q62" s="22">
        <f>$F$77</f>
        <v>401.79633261421918</v>
      </c>
      <c r="R62" s="22">
        <f>$F$78</f>
        <v>821.5053763440859</v>
      </c>
      <c r="S62" s="21">
        <v>1000</v>
      </c>
      <c r="T62" s="22">
        <f>S62*1.25</f>
        <v>1250</v>
      </c>
      <c r="U62" s="19"/>
      <c r="V62" s="19"/>
    </row>
    <row r="63" spans="5:22" x14ac:dyDescent="0.25">
      <c r="E63" s="8">
        <v>2002</v>
      </c>
      <c r="F63" s="56">
        <v>321.50537634408596</v>
      </c>
      <c r="G63" s="56">
        <v>174.19354838709677</v>
      </c>
      <c r="H63" s="56">
        <v>125</v>
      </c>
      <c r="I63" s="31">
        <f t="shared" si="4"/>
        <v>1.3935483870967742</v>
      </c>
      <c r="J63" s="31">
        <f t="shared" si="5"/>
        <v>0.71759259259259267</v>
      </c>
      <c r="K63" s="48">
        <v>12681</v>
      </c>
      <c r="L63" s="48">
        <v>162</v>
      </c>
      <c r="M63" s="48">
        <v>26232</v>
      </c>
      <c r="N63" s="48">
        <v>3433</v>
      </c>
      <c r="P63" t="s">
        <v>12</v>
      </c>
      <c r="Q63" s="22">
        <f>Q62*femaleRatio*reddsPerFemale</f>
        <v>196.8802029809674</v>
      </c>
      <c r="R63" s="22">
        <f>R62*femaleRatio*reddsPerFemale</f>
        <v>402.53763440860206</v>
      </c>
      <c r="S63" s="22">
        <f>S62*femaleRatio*reddsPerFemale</f>
        <v>490</v>
      </c>
      <c r="T63" s="22">
        <f>T62*femaleRatio*reddsPerFemale</f>
        <v>612.5</v>
      </c>
      <c r="U63" s="22" t="e">
        <f>#REF!</f>
        <v>#REF!</v>
      </c>
      <c r="V63" s="22" t="e">
        <f>IF(T63&lt;U63,0,T63-U63)</f>
        <v>#REF!</v>
      </c>
    </row>
    <row r="64" spans="5:22" x14ac:dyDescent="0.25">
      <c r="E64" s="8">
        <v>2003</v>
      </c>
      <c r="F64" s="56">
        <v>821.5053763440859</v>
      </c>
      <c r="G64" s="56">
        <v>438.70967741935482</v>
      </c>
      <c r="H64" s="56">
        <v>354</v>
      </c>
      <c r="I64" s="31">
        <f t="shared" si="4"/>
        <v>1.2392928740659741</v>
      </c>
      <c r="J64" s="31">
        <f t="shared" si="5"/>
        <v>0.80691176470588244</v>
      </c>
      <c r="K64" s="58">
        <v>28560</v>
      </c>
      <c r="L64" s="58">
        <v>1069</v>
      </c>
      <c r="M64" s="58">
        <v>36908</v>
      </c>
      <c r="N64" s="58">
        <v>6187</v>
      </c>
      <c r="P64" t="s">
        <v>54</v>
      </c>
      <c r="Q64" s="22">
        <f>Q63*fecundity</f>
        <v>1041496.2737693175</v>
      </c>
      <c r="R64" s="22">
        <f>R63*fecundity</f>
        <v>2129424.0860215048</v>
      </c>
      <c r="S64" s="22">
        <f>S63*fecundity</f>
        <v>2592100</v>
      </c>
      <c r="T64" s="22">
        <f>T63*fecundity</f>
        <v>3240125</v>
      </c>
      <c r="U64" s="19"/>
      <c r="V64" s="19"/>
    </row>
    <row r="65" spans="5:22" x14ac:dyDescent="0.25">
      <c r="E65" s="8">
        <v>2004</v>
      </c>
      <c r="F65" s="56">
        <v>517.20430107526875</v>
      </c>
      <c r="G65" s="56">
        <v>250.53763440860212</v>
      </c>
      <c r="H65" s="56">
        <v>235</v>
      </c>
      <c r="I65" s="31">
        <f t="shared" si="4"/>
        <v>1.0661175932280942</v>
      </c>
      <c r="J65" s="31">
        <f t="shared" si="5"/>
        <v>0.93798283261802584</v>
      </c>
      <c r="K65" s="48">
        <v>16229</v>
      </c>
      <c r="L65" s="48">
        <v>1003</v>
      </c>
      <c r="M65" s="48">
        <v>13026</v>
      </c>
      <c r="N65" s="48">
        <v>6731</v>
      </c>
      <c r="P65" t="s">
        <v>11</v>
      </c>
      <c r="Q65" s="22">
        <f>Q64*eggToParr</f>
        <v>302033.91939310206</v>
      </c>
      <c r="R65" s="22">
        <f>R64*eggToParr</f>
        <v>617532.98494623636</v>
      </c>
      <c r="S65" s="22">
        <f>S64*eggToParr</f>
        <v>751709</v>
      </c>
      <c r="T65" s="22">
        <f>T64*eggToParr</f>
        <v>939636.24999999988</v>
      </c>
      <c r="U65" s="22" t="e">
        <f>#REF!</f>
        <v>#REF!</v>
      </c>
      <c r="V65" s="22" t="e">
        <f>IF(T65&lt;U65,0,T65-U65)</f>
        <v>#REF!</v>
      </c>
    </row>
    <row r="66" spans="5:22" x14ac:dyDescent="0.25">
      <c r="E66" s="8">
        <v>2005</v>
      </c>
      <c r="F66" s="56">
        <v>680.64516129032245</v>
      </c>
      <c r="G66" s="56">
        <v>355.91397849462362</v>
      </c>
      <c r="H66" s="56">
        <v>273</v>
      </c>
      <c r="I66" s="31">
        <f t="shared" si="4"/>
        <v>1.3037142069400132</v>
      </c>
      <c r="J66" s="31">
        <f t="shared" si="5"/>
        <v>0.76703927492447133</v>
      </c>
      <c r="K66" s="48">
        <v>26449</v>
      </c>
      <c r="L66" s="48">
        <v>446</v>
      </c>
      <c r="M66" s="48">
        <v>45619</v>
      </c>
      <c r="N66" s="48">
        <v>6595</v>
      </c>
      <c r="P66" s="3" t="s">
        <v>55</v>
      </c>
      <c r="Q66" s="23">
        <f>Q65*parrToPresmolt</f>
        <v>122375.08312050316</v>
      </c>
      <c r="R66" s="23">
        <f>R65*parrToPresmolt</f>
        <v>250205.83951066658</v>
      </c>
      <c r="S66" s="23">
        <f>S65*parrToPresmolt</f>
        <v>304569.93552999996</v>
      </c>
      <c r="T66" s="23">
        <f>T65*parrToPresmolt</f>
        <v>380712.41941249993</v>
      </c>
      <c r="U66" s="20" t="s">
        <v>56</v>
      </c>
      <c r="V66" s="20" t="s">
        <v>56</v>
      </c>
    </row>
    <row r="67" spans="5:22" x14ac:dyDescent="0.25">
      <c r="E67" s="8">
        <v>2006</v>
      </c>
      <c r="F67" s="56">
        <v>186.02150537634407</v>
      </c>
      <c r="G67" s="56">
        <v>93.548387096774178</v>
      </c>
      <c r="H67" s="56">
        <v>64</v>
      </c>
      <c r="I67" s="31">
        <f t="shared" si="4"/>
        <v>1.4616935483870965</v>
      </c>
      <c r="J67" s="31">
        <f t="shared" si="5"/>
        <v>0.68413793103448284</v>
      </c>
      <c r="K67" s="48">
        <v>4995</v>
      </c>
      <c r="L67" s="48">
        <v>338</v>
      </c>
      <c r="M67" s="48">
        <v>6069</v>
      </c>
      <c r="N67" s="48">
        <v>1853</v>
      </c>
    </row>
    <row r="68" spans="5:22" x14ac:dyDescent="0.25">
      <c r="E68" s="8">
        <v>2007</v>
      </c>
      <c r="F68" s="56">
        <v>165.59139784946234</v>
      </c>
      <c r="G68" s="56">
        <v>72.043010752688161</v>
      </c>
      <c r="H68" s="56">
        <v>77</v>
      </c>
      <c r="I68" s="31">
        <f t="shared" si="4"/>
        <v>0.93562351626867746</v>
      </c>
      <c r="J68" s="31">
        <f t="shared" si="5"/>
        <v>1.0688059701492538</v>
      </c>
      <c r="K68" s="48">
        <v>2443</v>
      </c>
      <c r="L68" s="48">
        <v>747</v>
      </c>
      <c r="M68" s="48">
        <v>9863</v>
      </c>
      <c r="N68" s="48">
        <v>1080</v>
      </c>
    </row>
    <row r="69" spans="5:22" x14ac:dyDescent="0.25">
      <c r="E69" s="8">
        <v>2008</v>
      </c>
      <c r="F69" s="56">
        <v>224.25</v>
      </c>
      <c r="G69" s="56">
        <v>92.25</v>
      </c>
      <c r="H69" s="56">
        <v>82</v>
      </c>
      <c r="I69" s="31">
        <f t="shared" si="4"/>
        <v>1.125</v>
      </c>
      <c r="J69" s="31">
        <f t="shared" si="5"/>
        <v>0.88888888888888884</v>
      </c>
      <c r="K69" s="48">
        <v>5034</v>
      </c>
      <c r="L69" s="48" t="s">
        <v>1</v>
      </c>
      <c r="M69" s="48">
        <v>13217</v>
      </c>
      <c r="N69" s="48">
        <v>4090</v>
      </c>
    </row>
    <row r="70" spans="5:22" x14ac:dyDescent="0.25">
      <c r="E70" s="8">
        <v>2009</v>
      </c>
      <c r="F70" s="56">
        <v>338.24501424501426</v>
      </c>
      <c r="G70" s="56">
        <v>159.24501424501423</v>
      </c>
      <c r="H70" s="56">
        <v>199</v>
      </c>
      <c r="I70" s="31">
        <f t="shared" si="4"/>
        <v>0.8002262022362524</v>
      </c>
      <c r="J70" s="31">
        <f t="shared" si="5"/>
        <v>1.2496466589140354</v>
      </c>
      <c r="K70" s="50">
        <v>15543</v>
      </c>
      <c r="L70" s="50">
        <v>2747</v>
      </c>
      <c r="M70" s="50">
        <v>24672</v>
      </c>
      <c r="N70" s="50">
        <v>7934</v>
      </c>
    </row>
    <row r="71" spans="5:22" x14ac:dyDescent="0.25">
      <c r="E71" s="8">
        <v>2010</v>
      </c>
      <c r="F71" s="56">
        <v>327.51782273603084</v>
      </c>
      <c r="G71" s="56">
        <v>146.51782273603084</v>
      </c>
      <c r="H71" s="56">
        <v>100</v>
      </c>
      <c r="I71" s="31">
        <f t="shared" si="4"/>
        <v>1.4651782273603084</v>
      </c>
      <c r="J71" s="31">
        <f t="shared" si="5"/>
        <v>0.68251082450332212</v>
      </c>
      <c r="K71" s="44">
        <v>3531</v>
      </c>
      <c r="L71" s="44">
        <v>12060</v>
      </c>
      <c r="M71" s="44">
        <v>20978</v>
      </c>
      <c r="N71" s="44">
        <v>7678</v>
      </c>
    </row>
    <row r="72" spans="5:22" x14ac:dyDescent="0.25">
      <c r="E72" s="8">
        <v>2011</v>
      </c>
      <c r="F72" s="56">
        <v>435.80599922607848</v>
      </c>
      <c r="G72" s="56">
        <v>208.98781740789667</v>
      </c>
      <c r="H72" s="56">
        <v>113</v>
      </c>
      <c r="I72" s="31">
        <f t="shared" si="4"/>
        <v>1.8494497115743069</v>
      </c>
      <c r="J72" s="31">
        <f t="shared" si="5"/>
        <v>0.54070137389611428</v>
      </c>
      <c r="K72" s="51">
        <v>15946</v>
      </c>
      <c r="L72" s="51">
        <v>5513</v>
      </c>
      <c r="M72" s="51">
        <v>22001</v>
      </c>
      <c r="N72" s="51">
        <v>8253</v>
      </c>
    </row>
    <row r="73" spans="5:22" x14ac:dyDescent="0.25">
      <c r="E73" s="8">
        <v>2012</v>
      </c>
      <c r="F73" s="56">
        <v>234</v>
      </c>
      <c r="G73" s="56">
        <v>89</v>
      </c>
      <c r="H73" s="56">
        <v>78</v>
      </c>
      <c r="I73" s="31">
        <f t="shared" si="4"/>
        <v>1.141025641025641</v>
      </c>
      <c r="J73" s="31">
        <f t="shared" si="5"/>
        <v>0.8764044943820225</v>
      </c>
      <c r="K73" s="51">
        <v>5931</v>
      </c>
      <c r="L73" s="45" t="s">
        <v>1</v>
      </c>
      <c r="M73" s="51">
        <v>37374</v>
      </c>
      <c r="N73" s="51">
        <v>6693</v>
      </c>
    </row>
    <row r="74" spans="5:22" x14ac:dyDescent="0.25">
      <c r="E74" s="8">
        <v>2013</v>
      </c>
      <c r="F74" s="56">
        <v>386.58163865052308</v>
      </c>
      <c r="G74" s="56">
        <v>73.879510990948631</v>
      </c>
      <c r="H74" s="56">
        <v>56</v>
      </c>
      <c r="I74" s="31">
        <f t="shared" si="4"/>
        <v>1.3192769819812256</v>
      </c>
      <c r="J74" s="31">
        <f t="shared" si="5"/>
        <v>0.75799094023322455</v>
      </c>
      <c r="K74" s="59">
        <v>6377</v>
      </c>
      <c r="L74" s="59">
        <v>2209</v>
      </c>
      <c r="M74" s="59">
        <v>5991</v>
      </c>
      <c r="N74" s="59">
        <v>3486</v>
      </c>
    </row>
    <row r="75" spans="5:22" x14ac:dyDescent="0.25">
      <c r="E75" s="8">
        <v>2014</v>
      </c>
      <c r="F75" s="56">
        <v>775.84210526315792</v>
      </c>
      <c r="G75" s="56">
        <v>326.84210526315792</v>
      </c>
      <c r="H75" s="56">
        <v>291</v>
      </c>
      <c r="I75" s="31">
        <f t="shared" si="4"/>
        <v>1.1231687466087901</v>
      </c>
      <c r="J75" s="31">
        <f t="shared" si="5"/>
        <v>0.89033816425120771</v>
      </c>
      <c r="K75" s="59">
        <v>33672</v>
      </c>
      <c r="L75" s="59">
        <v>5290</v>
      </c>
      <c r="M75" s="59">
        <v>18806</v>
      </c>
      <c r="N75" s="59">
        <v>3679</v>
      </c>
    </row>
    <row r="76" spans="5:22" x14ac:dyDescent="0.25">
      <c r="E76" s="10">
        <v>2015</v>
      </c>
      <c r="F76" s="57">
        <v>579.61702127659578</v>
      </c>
      <c r="G76" s="57">
        <v>186.17021276595744</v>
      </c>
      <c r="H76" s="57">
        <v>172</v>
      </c>
      <c r="I76" s="32">
        <f t="shared" si="4"/>
        <v>1.0823849579416132</v>
      </c>
      <c r="J76" s="32">
        <f t="shared" si="5"/>
        <v>0.92388571428571431</v>
      </c>
      <c r="K76" s="60">
        <v>11578</v>
      </c>
      <c r="L76" s="60">
        <v>2426</v>
      </c>
      <c r="M76" s="60">
        <v>11226</v>
      </c>
      <c r="N76" s="61" t="s">
        <v>1</v>
      </c>
    </row>
    <row r="77" spans="5:22" x14ac:dyDescent="0.25">
      <c r="E77" s="2" t="s">
        <v>47</v>
      </c>
      <c r="F77" s="25">
        <f>AVERAGE(F61:F76)</f>
        <v>401.79633261421918</v>
      </c>
      <c r="G77" s="25">
        <f t="shared" ref="G77:N77" si="6">AVERAGE(G61:G76)</f>
        <v>180.24798451413812</v>
      </c>
      <c r="H77" s="25">
        <f t="shared" si="6"/>
        <v>152.6875</v>
      </c>
      <c r="I77" s="26">
        <f t="shared" si="6"/>
        <v>1.2015046101013069</v>
      </c>
      <c r="J77" s="26">
        <f t="shared" si="6"/>
        <v>0.86738647370158684</v>
      </c>
      <c r="K77" s="25">
        <f t="shared" si="6"/>
        <v>13547.875</v>
      </c>
      <c r="L77" s="25">
        <f t="shared" si="6"/>
        <v>3089.2857142857142</v>
      </c>
      <c r="M77" s="25">
        <f t="shared" si="6"/>
        <v>20283</v>
      </c>
      <c r="N77" s="25">
        <f t="shared" si="6"/>
        <v>5197.6000000000004</v>
      </c>
    </row>
    <row r="78" spans="5:22" x14ac:dyDescent="0.25">
      <c r="E78" s="12" t="s">
        <v>57</v>
      </c>
      <c r="F78" s="25">
        <f>MAX(F61:F76)</f>
        <v>821.5053763440859</v>
      </c>
      <c r="G78" s="25">
        <f t="shared" ref="G78:N78" si="7">MAX(G61:G76)</f>
        <v>438.70967741935482</v>
      </c>
      <c r="H78" s="25">
        <f t="shared" si="7"/>
        <v>354</v>
      </c>
      <c r="I78" s="26">
        <f t="shared" si="7"/>
        <v>1.8494497115743069</v>
      </c>
      <c r="J78" s="26">
        <f t="shared" si="7"/>
        <v>1.2496466589140354</v>
      </c>
      <c r="K78" s="25">
        <f t="shared" si="7"/>
        <v>33672</v>
      </c>
      <c r="L78" s="25">
        <f t="shared" si="7"/>
        <v>12060</v>
      </c>
      <c r="M78" s="25">
        <f t="shared" si="7"/>
        <v>45619</v>
      </c>
      <c r="N78" s="25">
        <f t="shared" si="7"/>
        <v>8253</v>
      </c>
    </row>
    <row r="81" spans="5:22" x14ac:dyDescent="0.25">
      <c r="E81" s="1" t="s">
        <v>62</v>
      </c>
      <c r="F81" s="11"/>
      <c r="G81" s="11"/>
      <c r="H81" s="11"/>
      <c r="I81" s="11"/>
      <c r="J81" s="11"/>
      <c r="K81" s="11"/>
      <c r="L81" s="11"/>
      <c r="M81" s="11"/>
      <c r="N81" s="11"/>
      <c r="P81" s="17" t="s">
        <v>24</v>
      </c>
    </row>
    <row r="82" spans="5:22" x14ac:dyDescent="0.25">
      <c r="E82" s="5" t="s">
        <v>34</v>
      </c>
      <c r="F82" s="5" t="s">
        <v>35</v>
      </c>
      <c r="G82" s="5" t="s">
        <v>36</v>
      </c>
      <c r="H82" s="5" t="s">
        <v>9</v>
      </c>
      <c r="I82" s="5" t="s">
        <v>37</v>
      </c>
      <c r="J82" s="5" t="s">
        <v>38</v>
      </c>
      <c r="K82" s="5" t="s">
        <v>39</v>
      </c>
      <c r="L82" s="5" t="s">
        <v>40</v>
      </c>
      <c r="M82" s="5" t="s">
        <v>41</v>
      </c>
      <c r="N82" s="5" t="s">
        <v>42</v>
      </c>
      <c r="P82" s="130" t="s">
        <v>43</v>
      </c>
      <c r="Q82" s="132" t="s">
        <v>44</v>
      </c>
      <c r="R82" s="132"/>
      <c r="S82" s="132"/>
      <c r="T82" s="132"/>
      <c r="U82" s="133" t="s">
        <v>45</v>
      </c>
      <c r="V82" s="133" t="s">
        <v>46</v>
      </c>
    </row>
    <row r="83" spans="5:22" x14ac:dyDescent="0.25">
      <c r="E83" s="8">
        <v>2010</v>
      </c>
      <c r="F83" s="62">
        <v>156</v>
      </c>
      <c r="G83" s="56">
        <v>51.480000000000004</v>
      </c>
      <c r="H83" s="24">
        <v>126</v>
      </c>
      <c r="I83" s="27">
        <f>G83/H83</f>
        <v>0.40857142857142859</v>
      </c>
      <c r="J83" s="27">
        <f>H83/G83</f>
        <v>2.4475524475524475</v>
      </c>
      <c r="K83" s="62" t="s">
        <v>1</v>
      </c>
      <c r="L83" s="43" t="s">
        <v>1</v>
      </c>
      <c r="M83" s="43" t="s">
        <v>1</v>
      </c>
      <c r="N83" s="43" t="s">
        <v>1</v>
      </c>
      <c r="P83" s="131"/>
      <c r="Q83" s="18" t="s">
        <v>47</v>
      </c>
      <c r="R83" s="18" t="s">
        <v>48</v>
      </c>
      <c r="S83" s="18" t="s">
        <v>49</v>
      </c>
      <c r="T83" s="18" t="s">
        <v>50</v>
      </c>
      <c r="U83" s="134"/>
      <c r="V83" s="134"/>
    </row>
    <row r="84" spans="5:22" x14ac:dyDescent="0.25">
      <c r="E84" s="8">
        <v>2011</v>
      </c>
      <c r="F84" s="62">
        <v>267</v>
      </c>
      <c r="G84" s="56">
        <v>101.46000000000001</v>
      </c>
      <c r="H84" s="24">
        <v>184</v>
      </c>
      <c r="I84" s="27">
        <f>G84/H84</f>
        <v>0.55141304347826092</v>
      </c>
      <c r="J84" s="27">
        <f>H84/G84</f>
        <v>1.8135225704711215</v>
      </c>
      <c r="K84" s="63" t="s">
        <v>1</v>
      </c>
      <c r="L84" s="64" t="s">
        <v>1</v>
      </c>
      <c r="M84" s="64" t="s">
        <v>1</v>
      </c>
      <c r="N84" s="21">
        <v>16842.3</v>
      </c>
      <c r="P84" t="s">
        <v>35</v>
      </c>
      <c r="Q84" s="22">
        <f>$F$89</f>
        <v>346.83333333333331</v>
      </c>
      <c r="R84" s="22">
        <f>$F$90</f>
        <v>718</v>
      </c>
      <c r="S84" s="21">
        <v>2000</v>
      </c>
      <c r="T84" s="22">
        <f>S84*1.25</f>
        <v>2500</v>
      </c>
      <c r="U84" s="19"/>
      <c r="V84" s="19"/>
    </row>
    <row r="85" spans="5:22" x14ac:dyDescent="0.25">
      <c r="E85" s="8">
        <v>2012</v>
      </c>
      <c r="F85" s="62">
        <v>83</v>
      </c>
      <c r="G85" s="56" t="s">
        <v>1</v>
      </c>
      <c r="H85" s="24">
        <v>98</v>
      </c>
      <c r="I85" s="27" t="s">
        <v>1</v>
      </c>
      <c r="J85" s="27" t="s">
        <v>1</v>
      </c>
      <c r="K85" s="65">
        <v>0</v>
      </c>
      <c r="L85" s="21">
        <v>0</v>
      </c>
      <c r="M85" s="21">
        <v>15306.5</v>
      </c>
      <c r="N85" s="21">
        <v>6519</v>
      </c>
      <c r="P85" t="s">
        <v>12</v>
      </c>
      <c r="Q85" s="22">
        <f>Q84*femaleRatio*reddsPerFemale</f>
        <v>169.94833333333332</v>
      </c>
      <c r="R85" s="22">
        <f>R84*femaleRatio*reddsPerFemale</f>
        <v>351.82</v>
      </c>
      <c r="S85" s="22">
        <f>S84*femaleRatio*reddsPerFemale</f>
        <v>980</v>
      </c>
      <c r="T85" s="22">
        <f>T84*femaleRatio*reddsPerFemale</f>
        <v>1225</v>
      </c>
      <c r="U85" s="22" t="e">
        <f>#REF!</f>
        <v>#REF!</v>
      </c>
      <c r="V85" s="22" t="e">
        <f>IF(T85&lt;U85,0,T85-U85)</f>
        <v>#REF!</v>
      </c>
    </row>
    <row r="86" spans="5:22" x14ac:dyDescent="0.25">
      <c r="E86" s="8">
        <v>2013</v>
      </c>
      <c r="F86" s="62">
        <v>393</v>
      </c>
      <c r="G86" s="56">
        <v>98.25</v>
      </c>
      <c r="H86" s="24">
        <v>131</v>
      </c>
      <c r="I86" s="27">
        <f>G86/H86</f>
        <v>0.75</v>
      </c>
      <c r="J86" s="27">
        <f>H86/G86</f>
        <v>1.3333333333333333</v>
      </c>
      <c r="K86" s="65">
        <v>0</v>
      </c>
      <c r="L86" s="21">
        <v>0</v>
      </c>
      <c r="M86" s="21">
        <v>17056</v>
      </c>
      <c r="N86" s="21">
        <v>14440</v>
      </c>
      <c r="P86" t="s">
        <v>54</v>
      </c>
      <c r="Q86" s="22">
        <f>Q85*fecundity</f>
        <v>899026.68333333323</v>
      </c>
      <c r="R86" s="22">
        <f>R85*fecundity</f>
        <v>1861127.8</v>
      </c>
      <c r="S86" s="22">
        <f>S85*fecundity</f>
        <v>5184200</v>
      </c>
      <c r="T86" s="22">
        <f>T85*fecundity</f>
        <v>6480250</v>
      </c>
      <c r="U86" s="19"/>
      <c r="V86" s="19"/>
    </row>
    <row r="87" spans="5:22" x14ac:dyDescent="0.25">
      <c r="E87" s="8">
        <v>2014</v>
      </c>
      <c r="F87" s="62">
        <v>464</v>
      </c>
      <c r="G87" s="56">
        <v>269.12</v>
      </c>
      <c r="H87" s="24">
        <v>288</v>
      </c>
      <c r="I87" s="27">
        <f>G87/H87</f>
        <v>0.93444444444444441</v>
      </c>
      <c r="J87" s="27">
        <f>H87/G87</f>
        <v>1.070154577883472</v>
      </c>
      <c r="K87" s="65">
        <v>0</v>
      </c>
      <c r="L87" s="21">
        <v>2878</v>
      </c>
      <c r="M87" s="21">
        <v>56436</v>
      </c>
      <c r="N87" s="21">
        <v>19816</v>
      </c>
      <c r="P87" t="s">
        <v>11</v>
      </c>
      <c r="Q87" s="22">
        <f>Q86*eggToParr</f>
        <v>260717.73816666662</v>
      </c>
      <c r="R87" s="22">
        <f>R86*eggToParr</f>
        <v>539727.06200000003</v>
      </c>
      <c r="S87" s="22">
        <f>S86*eggToParr</f>
        <v>1503418</v>
      </c>
      <c r="T87" s="22">
        <f>T86*eggToParr</f>
        <v>1879272.4999999998</v>
      </c>
      <c r="U87" s="22" t="e">
        <f>#REF!</f>
        <v>#REF!</v>
      </c>
      <c r="V87" s="22" t="e">
        <f>IF(T87&lt;U87,0,T87-U87)</f>
        <v>#REF!</v>
      </c>
    </row>
    <row r="88" spans="5:22" x14ac:dyDescent="0.25">
      <c r="E88" s="10">
        <v>2015</v>
      </c>
      <c r="F88" s="61">
        <v>718</v>
      </c>
      <c r="G88" s="57">
        <v>337.46</v>
      </c>
      <c r="H88" s="61">
        <v>310</v>
      </c>
      <c r="I88" s="28">
        <f>G88/H88</f>
        <v>1.0885806451612903</v>
      </c>
      <c r="J88" s="28">
        <f>H88/G88</f>
        <v>0.91862739287619277</v>
      </c>
      <c r="K88" s="66">
        <v>0</v>
      </c>
      <c r="L88" s="67">
        <v>862</v>
      </c>
      <c r="M88" s="67">
        <v>52523</v>
      </c>
      <c r="N88" s="67" t="s">
        <v>1</v>
      </c>
      <c r="P88" s="3" t="s">
        <v>55</v>
      </c>
      <c r="Q88" s="23">
        <f>Q87*parrToPresmolt</f>
        <v>105635.00597298831</v>
      </c>
      <c r="R88" s="23">
        <f>R87*parrToPresmolt</f>
        <v>218681.21371054</v>
      </c>
      <c r="S88" s="23">
        <f>S87*parrToPresmolt</f>
        <v>609139.87105999992</v>
      </c>
      <c r="T88" s="23">
        <f>T87*parrToPresmolt</f>
        <v>761424.83882499987</v>
      </c>
      <c r="U88" s="20" t="s">
        <v>56</v>
      </c>
      <c r="V88" s="20" t="s">
        <v>56</v>
      </c>
    </row>
    <row r="89" spans="5:22" x14ac:dyDescent="0.25">
      <c r="E89" s="12" t="s">
        <v>47</v>
      </c>
      <c r="F89" s="25">
        <f>AVERAGE(F83:F88)</f>
        <v>346.83333333333331</v>
      </c>
      <c r="G89" s="25">
        <f t="shared" ref="G89:N89" si="8">AVERAGE(G83:G88)</f>
        <v>171.554</v>
      </c>
      <c r="H89" s="25">
        <f t="shared" si="8"/>
        <v>189.5</v>
      </c>
      <c r="I89" s="26">
        <f t="shared" si="8"/>
        <v>0.74660191233108486</v>
      </c>
      <c r="J89" s="26">
        <f t="shared" si="8"/>
        <v>1.5166380644233135</v>
      </c>
      <c r="K89" s="25">
        <f t="shared" si="8"/>
        <v>0</v>
      </c>
      <c r="L89" s="25">
        <f t="shared" si="8"/>
        <v>935</v>
      </c>
      <c r="M89" s="25">
        <f t="shared" si="8"/>
        <v>35330.375</v>
      </c>
      <c r="N89" s="25">
        <f t="shared" si="8"/>
        <v>14404.325000000001</v>
      </c>
    </row>
    <row r="90" spans="5:22" x14ac:dyDescent="0.25">
      <c r="E90" s="12" t="s">
        <v>57</v>
      </c>
      <c r="F90" s="25">
        <f>MAX(F83:F88)</f>
        <v>718</v>
      </c>
      <c r="G90" s="25">
        <f t="shared" ref="G90:N90" si="9">MAX(G83:G88)</f>
        <v>337.46</v>
      </c>
      <c r="H90" s="25">
        <f t="shared" si="9"/>
        <v>310</v>
      </c>
      <c r="I90" s="26">
        <f t="shared" si="9"/>
        <v>1.0885806451612903</v>
      </c>
      <c r="J90" s="26">
        <f t="shared" si="9"/>
        <v>2.4475524475524475</v>
      </c>
      <c r="K90" s="25">
        <f t="shared" si="9"/>
        <v>0</v>
      </c>
      <c r="L90" s="25">
        <f t="shared" si="9"/>
        <v>2878</v>
      </c>
      <c r="M90" s="25">
        <f t="shared" si="9"/>
        <v>56436</v>
      </c>
      <c r="N90" s="25">
        <f t="shared" si="9"/>
        <v>19816</v>
      </c>
    </row>
    <row r="93" spans="5:22" x14ac:dyDescent="0.25">
      <c r="E93" s="1" t="s">
        <v>26</v>
      </c>
      <c r="F93" s="11"/>
      <c r="G93" s="11"/>
      <c r="H93" s="11"/>
      <c r="I93" s="11"/>
      <c r="J93" s="11"/>
      <c r="K93" s="11"/>
      <c r="L93" s="11"/>
      <c r="M93" s="11"/>
      <c r="N93" s="11"/>
      <c r="P93" s="17" t="s">
        <v>26</v>
      </c>
    </row>
    <row r="94" spans="5:22" x14ac:dyDescent="0.25">
      <c r="E94" s="5" t="s">
        <v>34</v>
      </c>
      <c r="F94" s="5" t="s">
        <v>35</v>
      </c>
      <c r="G94" s="5" t="s">
        <v>36</v>
      </c>
      <c r="H94" s="5" t="s">
        <v>9</v>
      </c>
      <c r="I94" s="5" t="s">
        <v>37</v>
      </c>
      <c r="J94" s="5" t="s">
        <v>38</v>
      </c>
      <c r="K94" s="5" t="s">
        <v>39</v>
      </c>
      <c r="L94" s="5" t="s">
        <v>40</v>
      </c>
      <c r="M94" s="5" t="s">
        <v>41</v>
      </c>
      <c r="N94" s="5" t="s">
        <v>42</v>
      </c>
      <c r="P94" s="130" t="s">
        <v>43</v>
      </c>
      <c r="Q94" s="132" t="s">
        <v>44</v>
      </c>
      <c r="R94" s="132"/>
      <c r="S94" s="132"/>
      <c r="T94" s="132"/>
      <c r="U94" s="133" t="s">
        <v>45</v>
      </c>
      <c r="V94" s="133" t="s">
        <v>46</v>
      </c>
    </row>
    <row r="95" spans="5:22" x14ac:dyDescent="0.25">
      <c r="F95" s="53"/>
      <c r="G95" s="53"/>
      <c r="H95" s="53"/>
      <c r="I95" s="33"/>
      <c r="J95" s="33"/>
      <c r="K95" s="53"/>
      <c r="L95" s="53"/>
      <c r="M95" s="53"/>
      <c r="N95" s="53"/>
      <c r="P95" s="131"/>
      <c r="Q95" s="18" t="s">
        <v>47</v>
      </c>
      <c r="R95" s="18" t="s">
        <v>48</v>
      </c>
      <c r="S95" s="18" t="s">
        <v>49</v>
      </c>
      <c r="T95" s="18" t="s">
        <v>50</v>
      </c>
      <c r="U95" s="134"/>
      <c r="V95" s="134"/>
    </row>
    <row r="96" spans="5:22" x14ac:dyDescent="0.25">
      <c r="F96" s="53"/>
      <c r="G96" s="53"/>
      <c r="H96" s="53"/>
      <c r="I96" s="33"/>
      <c r="J96" s="33"/>
      <c r="K96" s="53"/>
      <c r="L96" s="53"/>
      <c r="M96" s="53"/>
      <c r="N96" s="53"/>
      <c r="P96" t="s">
        <v>35</v>
      </c>
      <c r="Q96" s="22">
        <f>$F$99</f>
        <v>0</v>
      </c>
      <c r="R96" s="22">
        <f>$F$100</f>
        <v>0</v>
      </c>
      <c r="S96" s="21">
        <v>500</v>
      </c>
      <c r="T96" s="22">
        <f>S96*1.25</f>
        <v>625</v>
      </c>
      <c r="U96" s="19"/>
      <c r="V96" s="19"/>
    </row>
    <row r="97" spans="5:22" x14ac:dyDescent="0.25">
      <c r="F97" s="53"/>
      <c r="G97" s="53"/>
      <c r="H97" s="53"/>
      <c r="I97" s="33"/>
      <c r="J97" s="33"/>
      <c r="K97" s="53"/>
      <c r="L97" s="53"/>
      <c r="M97" s="53"/>
      <c r="N97" s="53"/>
      <c r="P97" t="s">
        <v>12</v>
      </c>
      <c r="Q97" s="22">
        <f>Q96*femaleRatio*reddsPerFemale</f>
        <v>0</v>
      </c>
      <c r="R97" s="22">
        <f>R96*femaleRatio*reddsPerFemale</f>
        <v>0</v>
      </c>
      <c r="S97" s="22">
        <f>S96*femaleRatio*reddsPerFemale</f>
        <v>245</v>
      </c>
      <c r="T97" s="22">
        <f>T96*femaleRatio*reddsPerFemale</f>
        <v>306.25</v>
      </c>
      <c r="U97" s="22" t="e">
        <f>#REF!</f>
        <v>#REF!</v>
      </c>
      <c r="V97" s="22" t="e">
        <f>IF(T97&lt;U97,0,T97-U97)</f>
        <v>#REF!</v>
      </c>
    </row>
    <row r="98" spans="5:22" x14ac:dyDescent="0.25">
      <c r="E98" s="3"/>
      <c r="F98" s="55"/>
      <c r="G98" s="55"/>
      <c r="H98" s="55"/>
      <c r="I98" s="30"/>
      <c r="J98" s="30"/>
      <c r="K98" s="55"/>
      <c r="L98" s="55"/>
      <c r="M98" s="55"/>
      <c r="N98" s="55"/>
      <c r="P98" t="s">
        <v>54</v>
      </c>
      <c r="Q98" s="22">
        <f>Q97*fecundity</f>
        <v>0</v>
      </c>
      <c r="R98" s="22">
        <f>R97*fecundity</f>
        <v>0</v>
      </c>
      <c r="S98" s="22">
        <f>S97*fecundity</f>
        <v>1296050</v>
      </c>
      <c r="T98" s="22">
        <f>T97*fecundity</f>
        <v>1620062.5</v>
      </c>
      <c r="U98" s="19"/>
      <c r="V98" s="19"/>
    </row>
    <row r="99" spans="5:22" x14ac:dyDescent="0.25">
      <c r="E99" s="12" t="s">
        <v>47</v>
      </c>
      <c r="F99" s="29"/>
      <c r="G99" s="29"/>
      <c r="H99" s="29"/>
      <c r="I99" s="29"/>
      <c r="J99" s="29"/>
      <c r="K99" s="29"/>
      <c r="L99" s="29"/>
      <c r="M99" s="29"/>
      <c r="N99" s="29"/>
      <c r="P99" t="s">
        <v>11</v>
      </c>
      <c r="Q99" s="22">
        <f>Q98*eggToParr</f>
        <v>0</v>
      </c>
      <c r="R99" s="22">
        <f>R98*eggToParr</f>
        <v>0</v>
      </c>
      <c r="S99" s="22">
        <f>S98*eggToParr</f>
        <v>375854.5</v>
      </c>
      <c r="T99" s="22">
        <f>T98*eggToParr</f>
        <v>469818.12499999994</v>
      </c>
      <c r="U99" s="22" t="e">
        <f>#REF!</f>
        <v>#REF!</v>
      </c>
      <c r="V99" s="22" t="e">
        <f>IF(T99&lt;U99,0,T99-U99)</f>
        <v>#REF!</v>
      </c>
    </row>
    <row r="100" spans="5:22" x14ac:dyDescent="0.25">
      <c r="E100" s="2" t="s">
        <v>57</v>
      </c>
      <c r="F100" s="30"/>
      <c r="G100" s="30"/>
      <c r="H100" s="30"/>
      <c r="I100" s="30"/>
      <c r="J100" s="30"/>
      <c r="K100" s="30"/>
      <c r="L100" s="30"/>
      <c r="M100" s="30"/>
      <c r="N100" s="30"/>
      <c r="P100" s="3" t="s">
        <v>55</v>
      </c>
      <c r="Q100" s="23">
        <f>Q99*parrToPresmolt</f>
        <v>0</v>
      </c>
      <c r="R100" s="23">
        <f>R99*parrToPresmolt</f>
        <v>0</v>
      </c>
      <c r="S100" s="23">
        <f>S99*parrToPresmolt</f>
        <v>152284.96776499998</v>
      </c>
      <c r="T100" s="23">
        <f>T99*parrToPresmolt</f>
        <v>190356.20970624997</v>
      </c>
      <c r="U100" s="20" t="s">
        <v>56</v>
      </c>
      <c r="V100" s="20" t="s">
        <v>56</v>
      </c>
    </row>
    <row r="103" spans="5:22" x14ac:dyDescent="0.25">
      <c r="E103" s="1" t="s">
        <v>28</v>
      </c>
      <c r="F103" s="11"/>
      <c r="G103" s="11"/>
      <c r="H103" s="11"/>
      <c r="I103" s="11"/>
      <c r="J103" s="11"/>
      <c r="K103" s="11"/>
      <c r="L103" s="11"/>
      <c r="M103" s="11"/>
      <c r="N103" s="11"/>
      <c r="P103" s="17" t="s">
        <v>28</v>
      </c>
    </row>
    <row r="104" spans="5:22" x14ac:dyDescent="0.25">
      <c r="E104" s="5" t="s">
        <v>34</v>
      </c>
      <c r="F104" s="5" t="s">
        <v>35</v>
      </c>
      <c r="G104" s="5" t="s">
        <v>36</v>
      </c>
      <c r="H104" s="5" t="s">
        <v>9</v>
      </c>
      <c r="I104" s="5" t="s">
        <v>37</v>
      </c>
      <c r="J104" s="5" t="s">
        <v>38</v>
      </c>
      <c r="K104" s="5" t="s">
        <v>39</v>
      </c>
      <c r="L104" s="5" t="s">
        <v>40</v>
      </c>
      <c r="M104" s="5" t="s">
        <v>41</v>
      </c>
      <c r="N104" s="5" t="s">
        <v>42</v>
      </c>
      <c r="P104" s="130" t="s">
        <v>43</v>
      </c>
      <c r="Q104" s="132" t="s">
        <v>44</v>
      </c>
      <c r="R104" s="132"/>
      <c r="S104" s="132"/>
      <c r="T104" s="132"/>
      <c r="U104" s="133" t="s">
        <v>45</v>
      </c>
      <c r="V104" s="133" t="s">
        <v>46</v>
      </c>
    </row>
    <row r="105" spans="5:22" x14ac:dyDescent="0.25">
      <c r="F105" s="53"/>
      <c r="G105" s="53"/>
      <c r="H105" s="53"/>
      <c r="I105" s="33"/>
      <c r="J105" s="33"/>
      <c r="K105" s="53"/>
      <c r="L105" s="53"/>
      <c r="M105" s="53"/>
      <c r="N105" s="53"/>
      <c r="P105" s="131"/>
      <c r="Q105" s="18" t="s">
        <v>47</v>
      </c>
      <c r="R105" s="18" t="s">
        <v>48</v>
      </c>
      <c r="S105" s="18" t="s">
        <v>49</v>
      </c>
      <c r="T105" s="18" t="s">
        <v>50</v>
      </c>
      <c r="U105" s="134"/>
      <c r="V105" s="134"/>
    </row>
    <row r="106" spans="5:22" x14ac:dyDescent="0.25">
      <c r="F106" s="53"/>
      <c r="G106" s="53"/>
      <c r="H106" s="53"/>
      <c r="I106" s="33"/>
      <c r="J106" s="33"/>
      <c r="K106" s="53"/>
      <c r="L106" s="53"/>
      <c r="M106" s="53"/>
      <c r="N106" s="53"/>
      <c r="P106" t="s">
        <v>35</v>
      </c>
      <c r="Q106" s="22">
        <f>$F$109</f>
        <v>0</v>
      </c>
      <c r="R106" s="22">
        <f>$F$110</f>
        <v>0</v>
      </c>
      <c r="S106" s="21">
        <v>750</v>
      </c>
      <c r="T106" s="22">
        <f>S106*1.25</f>
        <v>937.5</v>
      </c>
      <c r="U106" s="19"/>
      <c r="V106" s="19"/>
    </row>
    <row r="107" spans="5:22" x14ac:dyDescent="0.25">
      <c r="F107" s="53"/>
      <c r="G107" s="53"/>
      <c r="H107" s="53"/>
      <c r="I107" s="33"/>
      <c r="J107" s="33"/>
      <c r="K107" s="53"/>
      <c r="L107" s="53"/>
      <c r="M107" s="53"/>
      <c r="N107" s="53"/>
      <c r="P107" t="s">
        <v>12</v>
      </c>
      <c r="Q107" s="22">
        <f>Q106*femaleRatio*reddsPerFemale</f>
        <v>0</v>
      </c>
      <c r="R107" s="22">
        <f>R106*femaleRatio*reddsPerFemale</f>
        <v>0</v>
      </c>
      <c r="S107" s="22">
        <f>S106*femaleRatio*reddsPerFemale</f>
        <v>367.5</v>
      </c>
      <c r="T107" s="22">
        <f>T106*femaleRatio*reddsPerFemale</f>
        <v>459.375</v>
      </c>
      <c r="U107" s="22" t="e">
        <f>#REF!</f>
        <v>#REF!</v>
      </c>
      <c r="V107" s="22" t="e">
        <f>IF(T107&lt;U107,0,T107-U107)</f>
        <v>#REF!</v>
      </c>
    </row>
    <row r="108" spans="5:22" x14ac:dyDescent="0.25">
      <c r="E108" s="3"/>
      <c r="F108" s="55"/>
      <c r="G108" s="55"/>
      <c r="H108" s="55"/>
      <c r="I108" s="30"/>
      <c r="J108" s="30"/>
      <c r="K108" s="55"/>
      <c r="L108" s="55"/>
      <c r="M108" s="55"/>
      <c r="N108" s="55"/>
      <c r="P108" t="s">
        <v>54</v>
      </c>
      <c r="Q108" s="22">
        <f>Q107*fecundity</f>
        <v>0</v>
      </c>
      <c r="R108" s="22">
        <f>R107*fecundity</f>
        <v>0</v>
      </c>
      <c r="S108" s="22">
        <f>S107*fecundity</f>
        <v>1944075</v>
      </c>
      <c r="T108" s="22">
        <f>T107*fecundity</f>
        <v>2430093.75</v>
      </c>
      <c r="U108" s="19"/>
      <c r="V108" s="19"/>
    </row>
    <row r="109" spans="5:22" x14ac:dyDescent="0.25">
      <c r="E109" s="12" t="s">
        <v>47</v>
      </c>
      <c r="F109" s="29"/>
      <c r="G109" s="29"/>
      <c r="H109" s="29"/>
      <c r="I109" s="29"/>
      <c r="J109" s="29"/>
      <c r="K109" s="29"/>
      <c r="L109" s="29"/>
      <c r="M109" s="29"/>
      <c r="N109" s="29"/>
      <c r="P109" t="s">
        <v>11</v>
      </c>
      <c r="Q109" s="22">
        <f>Q108*eggToParr</f>
        <v>0</v>
      </c>
      <c r="R109" s="22">
        <f>R108*eggToParr</f>
        <v>0</v>
      </c>
      <c r="S109" s="22">
        <f>S108*eggToParr</f>
        <v>563781.75</v>
      </c>
      <c r="T109" s="22">
        <f>T108*eggToParr</f>
        <v>704727.1875</v>
      </c>
      <c r="U109" s="22" t="e">
        <f>#REF!</f>
        <v>#REF!</v>
      </c>
      <c r="V109" s="22" t="e">
        <f>IF(T109&lt;U109,0,T109-U109)</f>
        <v>#REF!</v>
      </c>
    </row>
    <row r="110" spans="5:22" x14ac:dyDescent="0.25">
      <c r="E110" s="2" t="s">
        <v>57</v>
      </c>
      <c r="F110" s="30"/>
      <c r="G110" s="30"/>
      <c r="H110" s="30"/>
      <c r="I110" s="30"/>
      <c r="J110" s="30"/>
      <c r="K110" s="30"/>
      <c r="L110" s="30"/>
      <c r="M110" s="30"/>
      <c r="N110" s="30"/>
      <c r="P110" s="3" t="s">
        <v>55</v>
      </c>
      <c r="Q110" s="23">
        <f>Q109*parrToPresmolt</f>
        <v>0</v>
      </c>
      <c r="R110" s="23">
        <f>R109*parrToPresmolt</f>
        <v>0</v>
      </c>
      <c r="S110" s="23">
        <f>S109*parrToPresmolt</f>
        <v>228427.45164749998</v>
      </c>
      <c r="T110" s="23">
        <f>T109*parrToPresmolt</f>
        <v>285534.31455937499</v>
      </c>
      <c r="U110" s="20" t="s">
        <v>56</v>
      </c>
      <c r="V110" s="20" t="s">
        <v>56</v>
      </c>
    </row>
  </sheetData>
  <mergeCells count="32">
    <mergeCell ref="P3:P4"/>
    <mergeCell ref="Q3:T3"/>
    <mergeCell ref="U3:U4"/>
    <mergeCell ref="V3:V4"/>
    <mergeCell ref="P26:P27"/>
    <mergeCell ref="Q26:T26"/>
    <mergeCell ref="U26:U27"/>
    <mergeCell ref="V26:V27"/>
    <mergeCell ref="P38:P39"/>
    <mergeCell ref="Q38:T38"/>
    <mergeCell ref="U38:U39"/>
    <mergeCell ref="V38:V39"/>
    <mergeCell ref="P48:P49"/>
    <mergeCell ref="Q48:T48"/>
    <mergeCell ref="U48:U49"/>
    <mergeCell ref="V48:V49"/>
    <mergeCell ref="P60:P61"/>
    <mergeCell ref="Q60:T60"/>
    <mergeCell ref="U60:U61"/>
    <mergeCell ref="V60:V61"/>
    <mergeCell ref="P82:P83"/>
    <mergeCell ref="Q82:T82"/>
    <mergeCell ref="U82:U83"/>
    <mergeCell ref="V82:V83"/>
    <mergeCell ref="P94:P95"/>
    <mergeCell ref="Q94:T94"/>
    <mergeCell ref="U94:U95"/>
    <mergeCell ref="V94:V95"/>
    <mergeCell ref="P104:P105"/>
    <mergeCell ref="Q104:T104"/>
    <mergeCell ref="U104:U105"/>
    <mergeCell ref="V104:V10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sheetPr>
  <dimension ref="B2:J54"/>
  <sheetViews>
    <sheetView workbookViewId="0">
      <selection activeCell="I53" sqref="I53"/>
    </sheetView>
  </sheetViews>
  <sheetFormatPr defaultRowHeight="15" x14ac:dyDescent="0.25"/>
  <cols>
    <col min="2" max="2" width="35.140625" bestFit="1" customWidth="1"/>
    <col min="3" max="3" width="19.85546875" customWidth="1"/>
    <col min="4" max="4" width="8.85546875" style="4"/>
    <col min="5" max="5" width="14" style="4" bestFit="1" customWidth="1"/>
    <col min="6" max="10" width="8.85546875" style="4"/>
  </cols>
  <sheetData>
    <row r="2" spans="2:10" x14ac:dyDescent="0.25">
      <c r="B2" s="126" t="s">
        <v>63</v>
      </c>
      <c r="C2" s="126" t="s">
        <v>64</v>
      </c>
      <c r="D2" s="126" t="s">
        <v>34</v>
      </c>
      <c r="E2" s="126" t="s">
        <v>65</v>
      </c>
      <c r="F2" s="126" t="s">
        <v>66</v>
      </c>
      <c r="G2" s="126" t="s">
        <v>67</v>
      </c>
      <c r="H2" s="126" t="s">
        <v>68</v>
      </c>
      <c r="I2" s="126" t="s">
        <v>69</v>
      </c>
      <c r="J2" s="126" t="s">
        <v>70</v>
      </c>
    </row>
    <row r="3" spans="2:10" ht="14.45" customHeight="1" x14ac:dyDescent="0.25">
      <c r="B3" s="143" t="s">
        <v>71</v>
      </c>
      <c r="C3" s="142" t="s">
        <v>72</v>
      </c>
      <c r="D3" s="4">
        <v>2010</v>
      </c>
      <c r="E3" s="4">
        <v>58</v>
      </c>
      <c r="F3" s="4">
        <v>20</v>
      </c>
      <c r="G3" s="4">
        <v>33</v>
      </c>
      <c r="H3" s="4">
        <v>5</v>
      </c>
      <c r="I3" s="103">
        <f>F3/(F3+G3)</f>
        <v>0.37735849056603776</v>
      </c>
      <c r="J3" s="103">
        <f>G3/(F3+G3)</f>
        <v>0.62264150943396224</v>
      </c>
    </row>
    <row r="4" spans="2:10" x14ac:dyDescent="0.25">
      <c r="B4" s="138"/>
      <c r="C4" s="135"/>
      <c r="D4" s="4">
        <v>2011</v>
      </c>
      <c r="E4" s="4">
        <v>142</v>
      </c>
      <c r="F4" s="4">
        <v>24</v>
      </c>
      <c r="G4" s="4">
        <v>94</v>
      </c>
      <c r="H4" s="4">
        <v>24</v>
      </c>
      <c r="I4" s="103">
        <f t="shared" ref="I4:I52" si="0">F4/(F4+G4)</f>
        <v>0.20338983050847459</v>
      </c>
      <c r="J4" s="103">
        <f t="shared" ref="J4:J52" si="1">G4/(F4+G4)</f>
        <v>0.79661016949152541</v>
      </c>
    </row>
    <row r="5" spans="2:10" x14ac:dyDescent="0.25">
      <c r="B5" s="138"/>
      <c r="C5" s="135"/>
      <c r="D5" s="4">
        <v>2012</v>
      </c>
      <c r="E5" s="4">
        <v>140</v>
      </c>
      <c r="F5" s="4">
        <v>49</v>
      </c>
      <c r="G5" s="4">
        <v>89</v>
      </c>
      <c r="H5" s="4">
        <v>2</v>
      </c>
      <c r="I5" s="103">
        <f t="shared" si="0"/>
        <v>0.35507246376811596</v>
      </c>
      <c r="J5" s="103">
        <f t="shared" si="1"/>
        <v>0.64492753623188404</v>
      </c>
    </row>
    <row r="6" spans="2:10" x14ac:dyDescent="0.25">
      <c r="B6" s="138"/>
      <c r="C6" s="135"/>
      <c r="D6" s="4">
        <v>2013</v>
      </c>
      <c r="E6" s="4">
        <v>384</v>
      </c>
      <c r="F6" s="4">
        <v>107</v>
      </c>
      <c r="G6" s="4">
        <v>275</v>
      </c>
      <c r="H6" s="4">
        <v>2</v>
      </c>
      <c r="I6" s="103">
        <f t="shared" si="0"/>
        <v>0.28010471204188481</v>
      </c>
      <c r="J6" s="103">
        <f t="shared" si="1"/>
        <v>0.71989528795811519</v>
      </c>
    </row>
    <row r="7" spans="2:10" x14ac:dyDescent="0.25">
      <c r="B7" s="138"/>
      <c r="C7" s="135"/>
      <c r="D7" s="4">
        <v>2014</v>
      </c>
      <c r="E7" s="4">
        <v>434</v>
      </c>
      <c r="F7" s="4">
        <v>163</v>
      </c>
      <c r="G7" s="4">
        <v>271</v>
      </c>
      <c r="H7" s="4">
        <v>0</v>
      </c>
      <c r="I7" s="103">
        <f t="shared" si="0"/>
        <v>0.37557603686635943</v>
      </c>
      <c r="J7" s="103">
        <f t="shared" si="1"/>
        <v>0.62442396313364057</v>
      </c>
    </row>
    <row r="8" spans="2:10" x14ac:dyDescent="0.25">
      <c r="B8" s="138"/>
      <c r="C8" s="135"/>
      <c r="D8" s="4">
        <v>2015</v>
      </c>
      <c r="E8" s="4">
        <v>249</v>
      </c>
      <c r="F8" s="4">
        <v>84</v>
      </c>
      <c r="G8" s="4">
        <v>165</v>
      </c>
      <c r="H8" s="4">
        <v>0</v>
      </c>
      <c r="I8" s="103">
        <f t="shared" si="0"/>
        <v>0.33734939759036142</v>
      </c>
      <c r="J8" s="103">
        <f t="shared" si="1"/>
        <v>0.66265060240963858</v>
      </c>
    </row>
    <row r="9" spans="2:10" x14ac:dyDescent="0.25">
      <c r="B9" s="141" t="s">
        <v>73</v>
      </c>
      <c r="C9" s="135" t="s">
        <v>74</v>
      </c>
      <c r="D9" s="4">
        <v>2010</v>
      </c>
      <c r="E9" s="4">
        <v>30</v>
      </c>
      <c r="F9" s="4">
        <v>11</v>
      </c>
      <c r="G9" s="4">
        <v>16</v>
      </c>
      <c r="H9" s="4">
        <v>3</v>
      </c>
      <c r="I9" s="103">
        <f t="shared" si="0"/>
        <v>0.40740740740740738</v>
      </c>
      <c r="J9" s="103">
        <f t="shared" si="1"/>
        <v>0.59259259259259256</v>
      </c>
    </row>
    <row r="10" spans="2:10" x14ac:dyDescent="0.25">
      <c r="B10" s="141"/>
      <c r="C10" s="135"/>
      <c r="D10" s="4">
        <v>2011</v>
      </c>
      <c r="E10" s="4">
        <v>80</v>
      </c>
      <c r="F10" s="4">
        <v>13</v>
      </c>
      <c r="G10" s="4">
        <v>45</v>
      </c>
      <c r="H10" s="4">
        <v>22</v>
      </c>
      <c r="I10" s="103">
        <f t="shared" si="0"/>
        <v>0.22413793103448276</v>
      </c>
      <c r="J10" s="103">
        <f t="shared" si="1"/>
        <v>0.77586206896551724</v>
      </c>
    </row>
    <row r="11" spans="2:10" x14ac:dyDescent="0.25">
      <c r="B11" s="141"/>
      <c r="C11" s="135"/>
      <c r="D11" s="4">
        <v>2012</v>
      </c>
      <c r="E11" s="4">
        <v>58</v>
      </c>
      <c r="F11" s="4">
        <v>26</v>
      </c>
      <c r="G11" s="4">
        <v>32</v>
      </c>
      <c r="H11" s="4">
        <v>0</v>
      </c>
      <c r="I11" s="103">
        <f t="shared" si="0"/>
        <v>0.44827586206896552</v>
      </c>
      <c r="J11" s="103">
        <f t="shared" si="1"/>
        <v>0.55172413793103448</v>
      </c>
    </row>
    <row r="12" spans="2:10" x14ac:dyDescent="0.25">
      <c r="B12" s="141"/>
      <c r="C12" s="135"/>
      <c r="D12" s="4">
        <v>2013</v>
      </c>
      <c r="E12" s="4">
        <v>68</v>
      </c>
      <c r="F12" s="4">
        <v>21</v>
      </c>
      <c r="G12" s="4">
        <v>47</v>
      </c>
      <c r="H12" s="4">
        <v>0</v>
      </c>
      <c r="I12" s="103">
        <f t="shared" si="0"/>
        <v>0.30882352941176472</v>
      </c>
      <c r="J12" s="103">
        <f t="shared" si="1"/>
        <v>0.69117647058823528</v>
      </c>
    </row>
    <row r="13" spans="2:10" x14ac:dyDescent="0.25">
      <c r="B13" s="141"/>
      <c r="C13" s="135"/>
      <c r="D13" s="4">
        <v>2014</v>
      </c>
      <c r="E13" s="4">
        <v>69</v>
      </c>
      <c r="F13" s="4">
        <v>25</v>
      </c>
      <c r="G13" s="4">
        <v>44</v>
      </c>
      <c r="H13" s="4">
        <v>0</v>
      </c>
      <c r="I13" s="103">
        <f t="shared" si="0"/>
        <v>0.36231884057971014</v>
      </c>
      <c r="J13" s="103">
        <f t="shared" si="1"/>
        <v>0.6376811594202898</v>
      </c>
    </row>
    <row r="14" spans="2:10" x14ac:dyDescent="0.25">
      <c r="B14" s="141"/>
      <c r="C14" s="135"/>
      <c r="D14" s="4">
        <v>2015</v>
      </c>
      <c r="E14" s="4">
        <v>40</v>
      </c>
      <c r="F14" s="4">
        <v>11</v>
      </c>
      <c r="G14" s="4">
        <v>29</v>
      </c>
      <c r="H14" s="4">
        <v>0</v>
      </c>
      <c r="I14" s="103">
        <f t="shared" si="0"/>
        <v>0.27500000000000002</v>
      </c>
      <c r="J14" s="103">
        <f t="shared" si="1"/>
        <v>0.72499999999999998</v>
      </c>
    </row>
    <row r="15" spans="2:10" x14ac:dyDescent="0.25">
      <c r="B15" s="141" t="s">
        <v>7</v>
      </c>
      <c r="C15" s="135" t="s">
        <v>75</v>
      </c>
      <c r="D15" s="4">
        <v>2010</v>
      </c>
      <c r="E15" s="4">
        <v>10</v>
      </c>
      <c r="F15" s="4">
        <v>2</v>
      </c>
      <c r="G15" s="4">
        <v>8</v>
      </c>
      <c r="H15" s="4">
        <v>0</v>
      </c>
      <c r="I15" s="103">
        <f t="shared" si="0"/>
        <v>0.2</v>
      </c>
      <c r="J15" s="103">
        <f t="shared" si="1"/>
        <v>0.8</v>
      </c>
    </row>
    <row r="16" spans="2:10" x14ac:dyDescent="0.25">
      <c r="B16" s="141"/>
      <c r="C16" s="135"/>
      <c r="D16" s="4">
        <v>2011</v>
      </c>
      <c r="E16" s="4">
        <v>44</v>
      </c>
      <c r="F16" s="4">
        <v>7</v>
      </c>
      <c r="G16" s="4">
        <v>36</v>
      </c>
      <c r="H16" s="4">
        <v>1</v>
      </c>
      <c r="I16" s="103">
        <f t="shared" si="0"/>
        <v>0.16279069767441862</v>
      </c>
      <c r="J16" s="103">
        <f t="shared" si="1"/>
        <v>0.83720930232558144</v>
      </c>
    </row>
    <row r="17" spans="2:10" x14ac:dyDescent="0.25">
      <c r="B17" s="141"/>
      <c r="C17" s="135"/>
      <c r="D17" s="4">
        <v>2012</v>
      </c>
      <c r="E17" s="4">
        <v>44</v>
      </c>
      <c r="F17" s="4">
        <v>10</v>
      </c>
      <c r="G17" s="4">
        <v>33</v>
      </c>
      <c r="H17" s="4">
        <v>1</v>
      </c>
      <c r="I17" s="103">
        <f t="shared" si="0"/>
        <v>0.23255813953488372</v>
      </c>
      <c r="J17" s="103">
        <f t="shared" si="1"/>
        <v>0.76744186046511631</v>
      </c>
    </row>
    <row r="18" spans="2:10" x14ac:dyDescent="0.25">
      <c r="B18" s="141"/>
      <c r="C18" s="135"/>
      <c r="D18" s="4">
        <v>2013</v>
      </c>
      <c r="E18" s="4">
        <v>46</v>
      </c>
      <c r="F18" s="4">
        <v>11</v>
      </c>
      <c r="G18" s="4">
        <v>34</v>
      </c>
      <c r="H18" s="4">
        <v>1</v>
      </c>
      <c r="I18" s="103">
        <f t="shared" si="0"/>
        <v>0.24444444444444444</v>
      </c>
      <c r="J18" s="103">
        <f t="shared" si="1"/>
        <v>0.75555555555555554</v>
      </c>
    </row>
    <row r="19" spans="2:10" x14ac:dyDescent="0.25">
      <c r="B19" s="141"/>
      <c r="C19" s="135"/>
      <c r="D19" s="4">
        <v>2014</v>
      </c>
      <c r="E19" s="4">
        <v>79</v>
      </c>
      <c r="F19" s="4">
        <v>24</v>
      </c>
      <c r="G19" s="4">
        <v>55</v>
      </c>
      <c r="H19" s="4">
        <v>0</v>
      </c>
      <c r="I19" s="103">
        <f t="shared" si="0"/>
        <v>0.30379746835443039</v>
      </c>
      <c r="J19" s="103">
        <f t="shared" si="1"/>
        <v>0.69620253164556967</v>
      </c>
    </row>
    <row r="20" spans="2:10" x14ac:dyDescent="0.25">
      <c r="B20" s="141"/>
      <c r="C20" s="135"/>
      <c r="D20" s="4">
        <v>2015</v>
      </c>
      <c r="E20" s="4">
        <v>34</v>
      </c>
      <c r="F20" s="4">
        <v>8</v>
      </c>
      <c r="G20" s="4">
        <v>26</v>
      </c>
      <c r="H20" s="4">
        <v>0</v>
      </c>
      <c r="I20" s="103">
        <f t="shared" si="0"/>
        <v>0.23529411764705882</v>
      </c>
      <c r="J20" s="103">
        <f t="shared" si="1"/>
        <v>0.76470588235294112</v>
      </c>
    </row>
    <row r="21" spans="2:10" x14ac:dyDescent="0.25">
      <c r="B21" s="141" t="s">
        <v>76</v>
      </c>
      <c r="C21" s="135" t="s">
        <v>77</v>
      </c>
      <c r="D21" s="4">
        <v>2012</v>
      </c>
      <c r="E21" s="4">
        <v>19</v>
      </c>
      <c r="F21" s="4">
        <v>5</v>
      </c>
      <c r="G21" s="4">
        <v>14</v>
      </c>
      <c r="H21" s="4">
        <v>0</v>
      </c>
      <c r="I21" s="103">
        <f t="shared" si="0"/>
        <v>0.26315789473684209</v>
      </c>
      <c r="J21" s="103">
        <f t="shared" si="1"/>
        <v>0.73684210526315785</v>
      </c>
    </row>
    <row r="22" spans="2:10" x14ac:dyDescent="0.25">
      <c r="B22" s="141"/>
      <c r="C22" s="135"/>
      <c r="D22" s="4">
        <v>2013</v>
      </c>
      <c r="E22" s="4">
        <v>42</v>
      </c>
      <c r="F22" s="4">
        <v>10</v>
      </c>
      <c r="G22" s="4">
        <v>32</v>
      </c>
      <c r="H22" s="4">
        <v>0</v>
      </c>
      <c r="I22" s="103">
        <f t="shared" si="0"/>
        <v>0.23809523809523808</v>
      </c>
      <c r="J22" s="103">
        <f t="shared" si="1"/>
        <v>0.76190476190476186</v>
      </c>
    </row>
    <row r="23" spans="2:10" x14ac:dyDescent="0.25">
      <c r="B23" s="141"/>
      <c r="C23" s="135"/>
      <c r="D23" s="4">
        <v>2014</v>
      </c>
      <c r="E23" s="4">
        <v>23</v>
      </c>
      <c r="F23" s="4">
        <v>7</v>
      </c>
      <c r="G23" s="4">
        <v>16</v>
      </c>
      <c r="H23" s="4">
        <v>0</v>
      </c>
      <c r="I23" s="103">
        <f t="shared" si="0"/>
        <v>0.30434782608695654</v>
      </c>
      <c r="J23" s="103">
        <f t="shared" si="1"/>
        <v>0.69565217391304346</v>
      </c>
    </row>
    <row r="24" spans="2:10" x14ac:dyDescent="0.25">
      <c r="B24" s="141"/>
      <c r="C24" s="135"/>
      <c r="D24" s="4">
        <v>2015</v>
      </c>
      <c r="E24" s="4">
        <v>9</v>
      </c>
      <c r="F24" s="4">
        <v>5</v>
      </c>
      <c r="G24" s="4">
        <v>4</v>
      </c>
      <c r="H24" s="4">
        <v>0</v>
      </c>
      <c r="I24" s="103">
        <f t="shared" si="0"/>
        <v>0.55555555555555558</v>
      </c>
      <c r="J24" s="103">
        <f t="shared" si="1"/>
        <v>0.44444444444444442</v>
      </c>
    </row>
    <row r="25" spans="2:10" x14ac:dyDescent="0.25">
      <c r="B25" s="141" t="s">
        <v>0</v>
      </c>
      <c r="C25" s="135" t="s">
        <v>78</v>
      </c>
      <c r="D25" s="4">
        <v>2010</v>
      </c>
      <c r="E25" s="4">
        <v>12</v>
      </c>
      <c r="F25" s="4">
        <v>5</v>
      </c>
      <c r="G25" s="4">
        <v>5</v>
      </c>
      <c r="H25" s="4">
        <v>2</v>
      </c>
      <c r="I25" s="103">
        <f t="shared" si="0"/>
        <v>0.5</v>
      </c>
      <c r="J25" s="103">
        <f t="shared" si="1"/>
        <v>0.5</v>
      </c>
    </row>
    <row r="26" spans="2:10" x14ac:dyDescent="0.25">
      <c r="B26" s="141"/>
      <c r="C26" s="135"/>
      <c r="D26" s="4">
        <v>2011</v>
      </c>
      <c r="E26" s="4">
        <v>14</v>
      </c>
      <c r="F26" s="4">
        <v>4</v>
      </c>
      <c r="G26" s="4">
        <v>9</v>
      </c>
      <c r="H26" s="4">
        <v>1</v>
      </c>
      <c r="I26" s="103">
        <f t="shared" si="0"/>
        <v>0.30769230769230771</v>
      </c>
      <c r="J26" s="103">
        <f t="shared" si="1"/>
        <v>0.69230769230769229</v>
      </c>
    </row>
    <row r="27" spans="2:10" x14ac:dyDescent="0.25">
      <c r="B27" s="141"/>
      <c r="C27" s="135"/>
      <c r="D27" s="4">
        <v>2012</v>
      </c>
      <c r="E27" s="4">
        <v>18</v>
      </c>
      <c r="F27" s="4">
        <v>8</v>
      </c>
      <c r="G27" s="4">
        <v>10</v>
      </c>
      <c r="H27" s="4">
        <v>0</v>
      </c>
      <c r="I27" s="103">
        <f t="shared" si="0"/>
        <v>0.44444444444444442</v>
      </c>
      <c r="J27" s="103">
        <f t="shared" si="1"/>
        <v>0.55555555555555558</v>
      </c>
    </row>
    <row r="28" spans="2:10" x14ac:dyDescent="0.25">
      <c r="B28" s="141"/>
      <c r="C28" s="135"/>
      <c r="D28" s="4">
        <v>2013</v>
      </c>
      <c r="E28" s="4">
        <v>36</v>
      </c>
      <c r="F28" s="4">
        <v>7</v>
      </c>
      <c r="G28" s="4">
        <v>29</v>
      </c>
      <c r="H28" s="4">
        <v>0</v>
      </c>
      <c r="I28" s="103">
        <f t="shared" si="0"/>
        <v>0.19444444444444445</v>
      </c>
      <c r="J28" s="103">
        <f t="shared" si="1"/>
        <v>0.80555555555555558</v>
      </c>
    </row>
    <row r="29" spans="2:10" x14ac:dyDescent="0.25">
      <c r="B29" s="141"/>
      <c r="C29" s="135"/>
      <c r="D29" s="4">
        <v>2014</v>
      </c>
      <c r="E29" s="4">
        <v>34</v>
      </c>
      <c r="F29" s="4">
        <v>9</v>
      </c>
      <c r="G29" s="4">
        <v>25</v>
      </c>
      <c r="H29" s="4">
        <v>0</v>
      </c>
      <c r="I29" s="103">
        <f t="shared" si="0"/>
        <v>0.26470588235294118</v>
      </c>
      <c r="J29" s="103">
        <f t="shared" si="1"/>
        <v>0.73529411764705888</v>
      </c>
    </row>
    <row r="30" spans="2:10" x14ac:dyDescent="0.25">
      <c r="B30" s="141"/>
      <c r="C30" s="135"/>
      <c r="D30" s="4">
        <v>2015</v>
      </c>
      <c r="E30" s="4">
        <v>9</v>
      </c>
      <c r="F30" s="4">
        <v>5</v>
      </c>
      <c r="G30" s="4">
        <v>4</v>
      </c>
      <c r="H30" s="4">
        <v>0</v>
      </c>
      <c r="I30" s="103">
        <f t="shared" si="0"/>
        <v>0.55555555555555558</v>
      </c>
      <c r="J30" s="103">
        <f t="shared" si="1"/>
        <v>0.44444444444444442</v>
      </c>
    </row>
    <row r="31" spans="2:10" x14ac:dyDescent="0.25">
      <c r="B31" s="141" t="s">
        <v>5</v>
      </c>
      <c r="C31" s="135" t="s">
        <v>79</v>
      </c>
      <c r="D31" s="4">
        <v>2010</v>
      </c>
      <c r="E31" s="4">
        <v>6</v>
      </c>
      <c r="F31" s="4">
        <v>2</v>
      </c>
      <c r="G31" s="4">
        <v>4</v>
      </c>
      <c r="H31" s="4">
        <v>0</v>
      </c>
      <c r="I31" s="103">
        <f t="shared" si="0"/>
        <v>0.33333333333333331</v>
      </c>
      <c r="J31" s="103">
        <f t="shared" si="1"/>
        <v>0.66666666666666663</v>
      </c>
    </row>
    <row r="32" spans="2:10" x14ac:dyDescent="0.25">
      <c r="B32" s="141"/>
      <c r="C32" s="135"/>
      <c r="D32" s="4">
        <v>2011</v>
      </c>
      <c r="E32" s="4">
        <v>4</v>
      </c>
      <c r="F32" s="4">
        <v>0</v>
      </c>
      <c r="G32" s="4">
        <v>4</v>
      </c>
      <c r="H32" s="4">
        <v>0</v>
      </c>
      <c r="I32" s="103">
        <f t="shared" si="0"/>
        <v>0</v>
      </c>
      <c r="J32" s="103">
        <f t="shared" si="1"/>
        <v>1</v>
      </c>
    </row>
    <row r="33" spans="2:10" x14ac:dyDescent="0.25">
      <c r="B33" s="141"/>
      <c r="C33" s="135"/>
      <c r="D33" s="4">
        <v>2014</v>
      </c>
      <c r="E33" s="4">
        <v>34</v>
      </c>
      <c r="F33" s="4">
        <v>18</v>
      </c>
      <c r="G33" s="4">
        <v>16</v>
      </c>
      <c r="H33" s="4">
        <v>0</v>
      </c>
      <c r="I33" s="103">
        <f t="shared" si="0"/>
        <v>0.52941176470588236</v>
      </c>
      <c r="J33" s="103">
        <f t="shared" si="1"/>
        <v>0.47058823529411764</v>
      </c>
    </row>
    <row r="34" spans="2:10" x14ac:dyDescent="0.25">
      <c r="B34" s="141"/>
      <c r="C34" s="135"/>
      <c r="D34" s="4">
        <v>2015</v>
      </c>
      <c r="E34" s="4">
        <v>24</v>
      </c>
      <c r="F34" s="4">
        <v>8</v>
      </c>
      <c r="G34" s="4">
        <v>16</v>
      </c>
      <c r="H34" s="4">
        <v>0</v>
      </c>
      <c r="I34" s="103">
        <f t="shared" si="0"/>
        <v>0.33333333333333331</v>
      </c>
      <c r="J34" s="103">
        <f t="shared" si="1"/>
        <v>0.66666666666666663</v>
      </c>
    </row>
    <row r="35" spans="2:10" x14ac:dyDescent="0.25">
      <c r="B35" s="138" t="s">
        <v>2</v>
      </c>
      <c r="C35" s="135" t="s">
        <v>80</v>
      </c>
      <c r="D35" s="4">
        <v>2010</v>
      </c>
      <c r="E35" s="4">
        <v>7</v>
      </c>
      <c r="F35" s="4">
        <v>2</v>
      </c>
      <c r="G35" s="4">
        <v>4</v>
      </c>
      <c r="H35" s="4">
        <v>1</v>
      </c>
      <c r="I35" s="103">
        <f t="shared" si="0"/>
        <v>0.33333333333333331</v>
      </c>
      <c r="J35" s="103">
        <f t="shared" si="1"/>
        <v>0.66666666666666663</v>
      </c>
    </row>
    <row r="36" spans="2:10" x14ac:dyDescent="0.25">
      <c r="B36" s="138"/>
      <c r="C36" s="135"/>
      <c r="D36" s="4">
        <v>2011</v>
      </c>
      <c r="E36" s="4">
        <v>32</v>
      </c>
      <c r="F36" s="4">
        <v>11</v>
      </c>
      <c r="G36" s="4">
        <v>18</v>
      </c>
      <c r="H36" s="4">
        <v>3</v>
      </c>
      <c r="I36" s="103">
        <f t="shared" si="0"/>
        <v>0.37931034482758619</v>
      </c>
      <c r="J36" s="103">
        <f t="shared" si="1"/>
        <v>0.62068965517241381</v>
      </c>
    </row>
    <row r="37" spans="2:10" x14ac:dyDescent="0.25">
      <c r="B37" s="138"/>
      <c r="C37" s="135"/>
      <c r="D37" s="4">
        <v>2012</v>
      </c>
      <c r="E37" s="4">
        <v>11</v>
      </c>
      <c r="F37" s="4">
        <v>9</v>
      </c>
      <c r="G37" s="4">
        <v>2</v>
      </c>
      <c r="H37" s="4">
        <v>0</v>
      </c>
      <c r="I37" s="103">
        <f t="shared" si="0"/>
        <v>0.81818181818181823</v>
      </c>
      <c r="J37" s="103">
        <f t="shared" si="1"/>
        <v>0.18181818181818182</v>
      </c>
    </row>
    <row r="38" spans="2:10" ht="14.45" customHeight="1" x14ac:dyDescent="0.25">
      <c r="B38" s="138"/>
      <c r="C38" s="135"/>
      <c r="D38" s="4">
        <v>2013</v>
      </c>
      <c r="E38" s="4">
        <v>72</v>
      </c>
      <c r="F38" s="4">
        <v>18</v>
      </c>
      <c r="G38" s="4">
        <v>54</v>
      </c>
      <c r="H38" s="4">
        <v>0</v>
      </c>
      <c r="I38" s="103">
        <f t="shared" si="0"/>
        <v>0.25</v>
      </c>
      <c r="J38" s="103">
        <f t="shared" si="1"/>
        <v>0.75</v>
      </c>
    </row>
    <row r="39" spans="2:10" x14ac:dyDescent="0.25">
      <c r="B39" s="138"/>
      <c r="C39" s="135"/>
      <c r="D39" s="4">
        <v>2014</v>
      </c>
      <c r="E39" s="4">
        <v>78</v>
      </c>
      <c r="F39" s="4">
        <v>45</v>
      </c>
      <c r="G39" s="4">
        <v>33</v>
      </c>
      <c r="H39" s="4">
        <v>0</v>
      </c>
      <c r="I39" s="103">
        <f t="shared" si="0"/>
        <v>0.57692307692307687</v>
      </c>
      <c r="J39" s="103">
        <f t="shared" si="1"/>
        <v>0.42307692307692307</v>
      </c>
    </row>
    <row r="40" spans="2:10" x14ac:dyDescent="0.25">
      <c r="B40" s="138"/>
      <c r="C40" s="135"/>
      <c r="D40" s="4">
        <v>2015</v>
      </c>
      <c r="E40" s="4">
        <v>63</v>
      </c>
      <c r="F40" s="4">
        <v>29</v>
      </c>
      <c r="G40" s="4">
        <v>33</v>
      </c>
      <c r="H40" s="4">
        <v>1</v>
      </c>
      <c r="I40" s="103">
        <f t="shared" si="0"/>
        <v>0.46774193548387094</v>
      </c>
      <c r="J40" s="103">
        <f t="shared" si="1"/>
        <v>0.532258064516129</v>
      </c>
    </row>
    <row r="41" spans="2:10" x14ac:dyDescent="0.25">
      <c r="B41" s="125" t="s">
        <v>81</v>
      </c>
      <c r="C41" s="124" t="s">
        <v>82</v>
      </c>
      <c r="D41" s="4">
        <v>2011</v>
      </c>
      <c r="E41" s="4">
        <v>1</v>
      </c>
      <c r="F41" s="4">
        <v>1</v>
      </c>
      <c r="G41" s="4">
        <v>0</v>
      </c>
      <c r="H41" s="4">
        <v>0</v>
      </c>
      <c r="I41" s="103">
        <f t="shared" si="0"/>
        <v>1</v>
      </c>
      <c r="J41" s="103">
        <f t="shared" si="1"/>
        <v>0</v>
      </c>
    </row>
    <row r="42" spans="2:10" x14ac:dyDescent="0.25">
      <c r="B42" s="138" t="s">
        <v>83</v>
      </c>
      <c r="C42" s="135" t="s">
        <v>84</v>
      </c>
      <c r="D42" s="4">
        <v>2010</v>
      </c>
      <c r="E42" s="4">
        <v>5</v>
      </c>
      <c r="F42" s="4">
        <v>2</v>
      </c>
      <c r="G42" s="4">
        <v>3</v>
      </c>
      <c r="H42" s="4">
        <v>0</v>
      </c>
      <c r="I42" s="103">
        <f t="shared" si="0"/>
        <v>0.4</v>
      </c>
      <c r="J42" s="103">
        <f t="shared" si="1"/>
        <v>0.6</v>
      </c>
    </row>
    <row r="43" spans="2:10" x14ac:dyDescent="0.25">
      <c r="B43" s="138"/>
      <c r="C43" s="135"/>
      <c r="D43" s="4">
        <v>2011</v>
      </c>
      <c r="E43" s="4">
        <v>1</v>
      </c>
      <c r="F43" s="4">
        <v>1</v>
      </c>
      <c r="G43" s="4">
        <v>0</v>
      </c>
      <c r="H43" s="4">
        <v>0</v>
      </c>
      <c r="I43" s="103">
        <f t="shared" si="0"/>
        <v>1</v>
      </c>
      <c r="J43" s="103">
        <f t="shared" si="1"/>
        <v>0</v>
      </c>
    </row>
    <row r="44" spans="2:10" x14ac:dyDescent="0.25">
      <c r="B44" s="138"/>
      <c r="C44" s="135"/>
      <c r="D44" s="4">
        <v>2015</v>
      </c>
      <c r="E44" s="4">
        <v>3</v>
      </c>
      <c r="F44" s="4">
        <v>2</v>
      </c>
      <c r="G44" s="4">
        <v>1</v>
      </c>
      <c r="H44" s="4">
        <v>0</v>
      </c>
      <c r="I44" s="103">
        <f t="shared" si="0"/>
        <v>0.66666666666666663</v>
      </c>
      <c r="J44" s="103">
        <f t="shared" si="1"/>
        <v>0.33333333333333331</v>
      </c>
    </row>
    <row r="45" spans="2:10" x14ac:dyDescent="0.25">
      <c r="B45" s="138" t="s">
        <v>3</v>
      </c>
      <c r="C45" s="135" t="s">
        <v>85</v>
      </c>
      <c r="D45" s="4">
        <v>2010</v>
      </c>
      <c r="E45" s="4">
        <v>1</v>
      </c>
      <c r="F45" s="4">
        <v>1</v>
      </c>
      <c r="G45" s="4">
        <v>0</v>
      </c>
      <c r="H45" s="4">
        <v>0</v>
      </c>
      <c r="I45" s="103">
        <f t="shared" si="0"/>
        <v>1</v>
      </c>
      <c r="J45" s="103">
        <f t="shared" si="1"/>
        <v>0</v>
      </c>
    </row>
    <row r="46" spans="2:10" x14ac:dyDescent="0.25">
      <c r="B46" s="138"/>
      <c r="C46" s="135"/>
      <c r="D46" s="4">
        <v>2012</v>
      </c>
      <c r="E46" s="4">
        <v>1</v>
      </c>
      <c r="F46" s="4">
        <v>1</v>
      </c>
      <c r="G46" s="4">
        <v>0</v>
      </c>
      <c r="H46" s="4">
        <v>0</v>
      </c>
      <c r="I46" s="103">
        <f t="shared" si="0"/>
        <v>1</v>
      </c>
      <c r="J46" s="103">
        <f t="shared" si="1"/>
        <v>0</v>
      </c>
    </row>
    <row r="47" spans="2:10" x14ac:dyDescent="0.25">
      <c r="B47" s="138"/>
      <c r="C47" s="135"/>
      <c r="D47" s="4">
        <v>2015</v>
      </c>
      <c r="E47" s="4">
        <v>1</v>
      </c>
      <c r="F47" s="4">
        <v>1</v>
      </c>
      <c r="G47" s="4">
        <v>0</v>
      </c>
      <c r="H47" s="4">
        <v>0</v>
      </c>
      <c r="I47" s="103">
        <f t="shared" si="0"/>
        <v>1</v>
      </c>
      <c r="J47" s="103">
        <f t="shared" si="1"/>
        <v>0</v>
      </c>
    </row>
    <row r="48" spans="2:10" x14ac:dyDescent="0.25">
      <c r="B48" s="139" t="s">
        <v>86</v>
      </c>
      <c r="C48" s="136" t="s">
        <v>87</v>
      </c>
      <c r="D48" s="101">
        <v>2010</v>
      </c>
      <c r="E48" s="101">
        <v>2</v>
      </c>
      <c r="F48" s="101">
        <v>1</v>
      </c>
      <c r="G48" s="101">
        <v>1</v>
      </c>
      <c r="H48" s="101">
        <v>0</v>
      </c>
      <c r="I48" s="103">
        <f t="shared" si="0"/>
        <v>0.5</v>
      </c>
      <c r="J48" s="103">
        <f t="shared" si="1"/>
        <v>0.5</v>
      </c>
    </row>
    <row r="49" spans="2:10" x14ac:dyDescent="0.25">
      <c r="B49" s="139"/>
      <c r="C49" s="136"/>
      <c r="D49" s="101">
        <v>2011</v>
      </c>
      <c r="E49" s="102">
        <v>6</v>
      </c>
      <c r="F49" s="101">
        <v>4</v>
      </c>
      <c r="G49" s="101">
        <v>2</v>
      </c>
      <c r="H49" s="101">
        <v>0</v>
      </c>
      <c r="I49" s="103">
        <f t="shared" si="0"/>
        <v>0.66666666666666663</v>
      </c>
      <c r="J49" s="103">
        <f t="shared" si="1"/>
        <v>0.33333333333333331</v>
      </c>
    </row>
    <row r="50" spans="2:10" x14ac:dyDescent="0.25">
      <c r="B50" s="139"/>
      <c r="C50" s="136"/>
      <c r="D50" s="101">
        <v>2012</v>
      </c>
      <c r="E50" s="101">
        <v>14</v>
      </c>
      <c r="F50" s="101">
        <v>7</v>
      </c>
      <c r="G50" s="101">
        <v>7</v>
      </c>
      <c r="H50" s="101">
        <v>0</v>
      </c>
      <c r="I50" s="103">
        <f t="shared" si="0"/>
        <v>0.5</v>
      </c>
      <c r="J50" s="103">
        <f t="shared" si="1"/>
        <v>0.5</v>
      </c>
    </row>
    <row r="51" spans="2:10" x14ac:dyDescent="0.25">
      <c r="B51" s="139"/>
      <c r="C51" s="136"/>
      <c r="D51" s="101">
        <v>2013</v>
      </c>
      <c r="E51" s="101">
        <v>1</v>
      </c>
      <c r="F51" s="101">
        <v>0</v>
      </c>
      <c r="G51" s="101">
        <v>1</v>
      </c>
      <c r="H51" s="101">
        <v>0</v>
      </c>
      <c r="I51" s="103">
        <f t="shared" si="0"/>
        <v>0</v>
      </c>
      <c r="J51" s="103">
        <f t="shared" si="1"/>
        <v>1</v>
      </c>
    </row>
    <row r="52" spans="2:10" x14ac:dyDescent="0.25">
      <c r="B52" s="140"/>
      <c r="C52" s="137"/>
      <c r="D52" s="6">
        <v>2015</v>
      </c>
      <c r="E52" s="6">
        <v>1</v>
      </c>
      <c r="F52" s="6">
        <v>1</v>
      </c>
      <c r="G52" s="6">
        <v>0</v>
      </c>
      <c r="H52" s="6">
        <v>0</v>
      </c>
      <c r="I52" s="104">
        <f t="shared" si="0"/>
        <v>1</v>
      </c>
      <c r="J52" s="104">
        <f t="shared" si="1"/>
        <v>0</v>
      </c>
    </row>
    <row r="53" spans="2:10" x14ac:dyDescent="0.25">
      <c r="E53" s="4">
        <f>SUM(E3:E8,E35:E52)</f>
        <v>1707</v>
      </c>
      <c r="F53" s="4">
        <f t="shared" ref="F53:H53" si="2">SUM(F3:F8,F35:F52)</f>
        <v>583</v>
      </c>
      <c r="G53" s="4">
        <f t="shared" si="2"/>
        <v>1086</v>
      </c>
      <c r="H53" s="4">
        <f t="shared" si="2"/>
        <v>38</v>
      </c>
      <c r="I53" s="106">
        <f t="shared" ref="I53" si="3">F53/(F53+G53)</f>
        <v>0.34931096464949074</v>
      </c>
      <c r="J53" s="105">
        <f t="shared" ref="J53" si="4">G53/(F53+G53)</f>
        <v>0.65068903535050926</v>
      </c>
    </row>
    <row r="54" spans="2:10" x14ac:dyDescent="0.25">
      <c r="I54" s="101"/>
      <c r="J54" s="101"/>
    </row>
  </sheetData>
  <mergeCells count="20">
    <mergeCell ref="B3:B8"/>
    <mergeCell ref="B9:B14"/>
    <mergeCell ref="B15:B20"/>
    <mergeCell ref="B21:B24"/>
    <mergeCell ref="B25:B30"/>
    <mergeCell ref="C3:C8"/>
    <mergeCell ref="C9:C14"/>
    <mergeCell ref="C15:C20"/>
    <mergeCell ref="C21:C24"/>
    <mergeCell ref="C25:C30"/>
    <mergeCell ref="C31:C34"/>
    <mergeCell ref="C35:C40"/>
    <mergeCell ref="C42:C44"/>
    <mergeCell ref="C48:C52"/>
    <mergeCell ref="B45:B47"/>
    <mergeCell ref="C45:C47"/>
    <mergeCell ref="B35:B40"/>
    <mergeCell ref="B42:B44"/>
    <mergeCell ref="B48:B52"/>
    <mergeCell ref="B31:B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2:Z100"/>
  <sheetViews>
    <sheetView workbookViewId="0">
      <selection activeCell="C13" sqref="C13"/>
    </sheetView>
  </sheetViews>
  <sheetFormatPr defaultRowHeight="15" x14ac:dyDescent="0.25"/>
  <cols>
    <col min="1" max="1" width="4.7109375" customWidth="1"/>
    <col min="2" max="2" width="12.5703125" bestFit="1" customWidth="1"/>
    <col min="4" max="4" width="6.140625" customWidth="1"/>
    <col min="5" max="5" width="10.140625" customWidth="1"/>
    <col min="6" max="6" width="11.28515625" bestFit="1" customWidth="1"/>
    <col min="7" max="7" width="7.7109375" bestFit="1" customWidth="1"/>
    <col min="8" max="8" width="6.140625" bestFit="1" customWidth="1"/>
    <col min="9" max="10" width="13.140625" bestFit="1" customWidth="1"/>
    <col min="11" max="12" width="7.5703125" bestFit="1" customWidth="1"/>
    <col min="13" max="13" width="9.140625" bestFit="1" customWidth="1"/>
    <col min="14" max="14" width="6.5703125" bestFit="1" customWidth="1"/>
    <col min="15" max="15" width="4.85546875" customWidth="1"/>
    <col min="16" max="16" width="24.5703125" bestFit="1" customWidth="1"/>
    <col min="17" max="17" width="9.28515625" customWidth="1"/>
    <col min="18" max="18" width="8.85546875" bestFit="1" customWidth="1"/>
    <col min="20" max="20" width="10.28515625" bestFit="1" customWidth="1"/>
    <col min="21" max="21" width="16.42578125" bestFit="1" customWidth="1"/>
    <col min="22" max="22" width="14.140625" bestFit="1" customWidth="1"/>
    <col min="24" max="24" width="12.42578125" bestFit="1" customWidth="1"/>
    <col min="25" max="25" width="17.85546875" bestFit="1" customWidth="1"/>
    <col min="26" max="26" width="14.85546875" bestFit="1" customWidth="1"/>
  </cols>
  <sheetData>
    <row r="2" spans="2:22" x14ac:dyDescent="0.25">
      <c r="B2" s="13" t="s">
        <v>30</v>
      </c>
      <c r="C2" s="13" t="s">
        <v>31</v>
      </c>
      <c r="E2" s="1" t="s">
        <v>88</v>
      </c>
      <c r="F2" s="11"/>
      <c r="G2" s="11"/>
      <c r="H2" s="11"/>
      <c r="I2" s="11"/>
      <c r="J2" s="11"/>
      <c r="K2" s="11"/>
      <c r="L2" s="11"/>
      <c r="M2" s="11"/>
      <c r="N2" s="11"/>
      <c r="P2" s="17" t="s">
        <v>13</v>
      </c>
    </row>
    <row r="3" spans="2:22" x14ac:dyDescent="0.25">
      <c r="B3" t="s">
        <v>33</v>
      </c>
      <c r="C3" s="31">
        <f>'Steelhead Parameters'!$U$45</f>
        <v>0.62228260869565222</v>
      </c>
      <c r="E3" s="5" t="s">
        <v>34</v>
      </c>
      <c r="F3" s="5" t="s">
        <v>35</v>
      </c>
      <c r="G3" s="5" t="s">
        <v>36</v>
      </c>
      <c r="H3" s="5" t="s">
        <v>9</v>
      </c>
      <c r="I3" s="5" t="s">
        <v>37</v>
      </c>
      <c r="J3" s="5" t="s">
        <v>38</v>
      </c>
      <c r="K3" s="5" t="s">
        <v>39</v>
      </c>
      <c r="L3" s="5" t="s">
        <v>40</v>
      </c>
      <c r="M3" s="5" t="s">
        <v>41</v>
      </c>
      <c r="N3" s="5" t="s">
        <v>42</v>
      </c>
      <c r="P3" s="130" t="s">
        <v>43</v>
      </c>
      <c r="Q3" s="132" t="s">
        <v>44</v>
      </c>
      <c r="R3" s="132"/>
      <c r="S3" s="132"/>
      <c r="T3" s="132"/>
      <c r="U3" s="133" t="s">
        <v>45</v>
      </c>
      <c r="V3" s="133" t="s">
        <v>46</v>
      </c>
    </row>
    <row r="4" spans="2:22" x14ac:dyDescent="0.25">
      <c r="B4" t="s">
        <v>38</v>
      </c>
      <c r="C4" s="31">
        <f>'Steelhead Parameters'!$K$20</f>
        <v>0.89187638810235537</v>
      </c>
      <c r="E4" s="4">
        <v>2010</v>
      </c>
      <c r="F4" s="24">
        <v>389</v>
      </c>
      <c r="G4" s="53"/>
      <c r="H4" s="53"/>
      <c r="I4" s="33"/>
      <c r="J4" s="33"/>
      <c r="K4" s="53"/>
      <c r="L4" s="53"/>
      <c r="M4" s="53"/>
      <c r="N4" s="53"/>
      <c r="P4" s="131"/>
      <c r="Q4" s="18" t="s">
        <v>47</v>
      </c>
      <c r="R4" s="18" t="s">
        <v>48</v>
      </c>
      <c r="S4" s="18" t="s">
        <v>49</v>
      </c>
      <c r="T4" s="18" t="s">
        <v>50</v>
      </c>
      <c r="U4" s="134"/>
      <c r="V4" s="134"/>
    </row>
    <row r="5" spans="2:22" x14ac:dyDescent="0.25">
      <c r="B5" t="s">
        <v>51</v>
      </c>
      <c r="C5" s="98">
        <f>AVERAGE('Steelhead Parameters'!$E$38,'Steelhead Parameters'!$E$41)</f>
        <v>4925.652714285714</v>
      </c>
      <c r="E5" s="4">
        <v>2011</v>
      </c>
      <c r="F5" s="24">
        <v>375</v>
      </c>
      <c r="G5" s="53"/>
      <c r="H5" s="53"/>
      <c r="I5" s="33"/>
      <c r="J5" s="33"/>
      <c r="K5" s="53"/>
      <c r="L5" s="53"/>
      <c r="M5" s="53"/>
      <c r="N5" s="53"/>
      <c r="P5" t="s">
        <v>35</v>
      </c>
      <c r="Q5" s="22">
        <f>$F$10</f>
        <v>356.33333333333331</v>
      </c>
      <c r="R5" s="22">
        <f>$F$11</f>
        <v>652</v>
      </c>
      <c r="S5" s="21">
        <v>1000</v>
      </c>
      <c r="T5" s="22">
        <f>S5*1.25</f>
        <v>1250</v>
      </c>
      <c r="U5" s="19"/>
      <c r="V5" s="19"/>
    </row>
    <row r="6" spans="2:22" x14ac:dyDescent="0.25">
      <c r="B6" t="s">
        <v>52</v>
      </c>
      <c r="C6" s="116">
        <f>'Steelhead Parameters'!AF8</f>
        <v>0.13425000000000001</v>
      </c>
      <c r="E6" s="4">
        <v>2012</v>
      </c>
      <c r="F6" s="24">
        <v>652</v>
      </c>
      <c r="G6" s="53"/>
      <c r="H6" s="53"/>
      <c r="I6" s="33"/>
      <c r="J6" s="33"/>
      <c r="K6" s="53"/>
      <c r="L6" s="53"/>
      <c r="M6" s="53"/>
      <c r="N6" s="53"/>
      <c r="P6" t="s">
        <v>12</v>
      </c>
      <c r="Q6" s="22">
        <f>Q5*femaleRatioSthd*reddsPerFemaleSthd</f>
        <v>197.76470261217818</v>
      </c>
      <c r="R6" s="22">
        <f>R5*femaleRatioSthd*reddsPerFemaleSthd</f>
        <v>361.85945585539804</v>
      </c>
      <c r="S6" s="22">
        <f>S5*femaleRatioSthd*reddsPerFemaleSthd</f>
        <v>554.99916542238964</v>
      </c>
      <c r="T6" s="22">
        <f>T5*femaleRatioSthd*reddsPerFemaleSthd</f>
        <v>693.74895677798702</v>
      </c>
      <c r="U6" s="22" t="e">
        <f>SUM(U18,U30,U42)</f>
        <v>#REF!</v>
      </c>
      <c r="V6" s="22" t="e">
        <f>IF(T6&lt;U6,0,T6-U6)</f>
        <v>#REF!</v>
      </c>
    </row>
    <row r="7" spans="2:22" x14ac:dyDescent="0.25">
      <c r="B7" s="3" t="s">
        <v>53</v>
      </c>
      <c r="C7" s="129">
        <f>'Steelhead Parameters'!$AR$8</f>
        <v>0.358627584</v>
      </c>
      <c r="E7" s="4">
        <v>2013</v>
      </c>
      <c r="F7" s="24">
        <v>192</v>
      </c>
      <c r="G7" s="53"/>
      <c r="H7" s="53"/>
      <c r="I7" s="33"/>
      <c r="J7" s="33"/>
      <c r="K7" s="53"/>
      <c r="L7" s="53"/>
      <c r="M7" s="53"/>
      <c r="N7" s="53"/>
      <c r="P7" t="s">
        <v>54</v>
      </c>
      <c r="Q7" s="22">
        <f>Q6*fecunditySthd</f>
        <v>974120.24421158247</v>
      </c>
      <c r="R7" s="22">
        <f>R6*fecunditySthd</f>
        <v>1782394.0109240927</v>
      </c>
      <c r="S7" s="22">
        <f>S6*fecunditySthd</f>
        <v>2733733.1455890993</v>
      </c>
      <c r="T7" s="22">
        <f>T6*fecunditySthd</f>
        <v>3417166.4319863743</v>
      </c>
      <c r="U7" s="19"/>
      <c r="V7" s="19"/>
    </row>
    <row r="8" spans="2:22" x14ac:dyDescent="0.25">
      <c r="E8" s="4">
        <v>2014</v>
      </c>
      <c r="F8" s="24">
        <v>183</v>
      </c>
      <c r="G8" s="53"/>
      <c r="H8" s="53"/>
      <c r="I8" s="33"/>
      <c r="J8" s="33"/>
      <c r="K8" s="53"/>
      <c r="L8" s="53"/>
      <c r="M8" s="53"/>
      <c r="N8" s="53"/>
      <c r="P8" t="s">
        <v>11</v>
      </c>
      <c r="Q8" s="22">
        <f>Q7*eggToParrSthd</f>
        <v>130775.64278540495</v>
      </c>
      <c r="R8" s="22">
        <f>R7*eggToParrSthd</f>
        <v>239286.39596655947</v>
      </c>
      <c r="S8" s="22">
        <f>S7*eggToParrSthd</f>
        <v>367003.67479533661</v>
      </c>
      <c r="T8" s="22">
        <f>T7*eggToParrSthd</f>
        <v>458754.59349417075</v>
      </c>
      <c r="U8" s="22" t="e">
        <f>SUM(U20,U32,U44)</f>
        <v>#REF!</v>
      </c>
      <c r="V8" s="22" t="e">
        <f>IF(T8&lt;U8,0,T8-U8)</f>
        <v>#REF!</v>
      </c>
    </row>
    <row r="9" spans="2:22" x14ac:dyDescent="0.25">
      <c r="E9" s="4">
        <v>2015</v>
      </c>
      <c r="F9" s="24">
        <v>347</v>
      </c>
      <c r="G9" s="55"/>
      <c r="H9" s="55"/>
      <c r="I9" s="30"/>
      <c r="J9" s="30"/>
      <c r="K9" s="55"/>
      <c r="L9" s="55"/>
      <c r="M9" s="55"/>
      <c r="N9" s="55"/>
      <c r="P9" s="3" t="s">
        <v>55</v>
      </c>
      <c r="Q9" s="23">
        <f>Q8*parrToPresmoltSthd</f>
        <v>46899.752818176807</v>
      </c>
      <c r="R9" s="23">
        <f>R8*parrToPresmoltSthd</f>
        <v>85814.702069554565</v>
      </c>
      <c r="S9" s="23">
        <f>S8*parrToPresmoltSthd</f>
        <v>131617.64121097326</v>
      </c>
      <c r="T9" s="23">
        <f>T8*parrToPresmoltSthd</f>
        <v>164522.05151371658</v>
      </c>
      <c r="U9" s="20" t="s">
        <v>56</v>
      </c>
      <c r="V9" s="20" t="s">
        <v>56</v>
      </c>
    </row>
    <row r="10" spans="2:22" x14ac:dyDescent="0.25">
      <c r="E10" s="12" t="s">
        <v>47</v>
      </c>
      <c r="F10" s="35">
        <f>AVERAGE(F4:F9)</f>
        <v>356.33333333333331</v>
      </c>
      <c r="G10" s="29"/>
      <c r="H10" s="29"/>
      <c r="I10" s="29"/>
      <c r="J10" s="29"/>
      <c r="K10" s="29"/>
      <c r="L10" s="29"/>
      <c r="M10" s="29"/>
      <c r="N10" s="29"/>
    </row>
    <row r="11" spans="2:22" x14ac:dyDescent="0.25">
      <c r="E11" s="12" t="s">
        <v>57</v>
      </c>
      <c r="F11" s="36">
        <f>MAX(F4:F9)</f>
        <v>652</v>
      </c>
      <c r="G11" s="29"/>
      <c r="H11" s="29"/>
      <c r="I11" s="29"/>
      <c r="J11" s="29"/>
      <c r="K11" s="29"/>
      <c r="L11" s="29"/>
      <c r="M11" s="29"/>
      <c r="N11" s="29"/>
    </row>
    <row r="13" spans="2:22" x14ac:dyDescent="0.25">
      <c r="E13" s="69"/>
      <c r="F13" s="70"/>
      <c r="G13" s="70"/>
      <c r="H13" s="71"/>
      <c r="I13" s="72"/>
      <c r="J13" s="72"/>
      <c r="K13" s="73"/>
      <c r="L13" s="73"/>
      <c r="M13" s="73"/>
      <c r="N13" s="73"/>
    </row>
    <row r="14" spans="2:22" x14ac:dyDescent="0.25">
      <c r="E14" s="15" t="s">
        <v>89</v>
      </c>
      <c r="F14" s="14"/>
      <c r="G14" s="14"/>
      <c r="H14" s="14"/>
      <c r="I14" s="14"/>
      <c r="J14" s="14"/>
      <c r="K14" s="14"/>
      <c r="L14" s="14"/>
      <c r="M14" s="14"/>
      <c r="N14" s="14"/>
      <c r="P14" s="17" t="s">
        <v>13</v>
      </c>
    </row>
    <row r="15" spans="2:22" x14ac:dyDescent="0.25">
      <c r="E15" s="5" t="s">
        <v>34</v>
      </c>
      <c r="F15" s="5" t="s">
        <v>35</v>
      </c>
      <c r="G15" s="5" t="s">
        <v>36</v>
      </c>
      <c r="H15" s="5" t="s">
        <v>9</v>
      </c>
      <c r="I15" s="5" t="s">
        <v>37</v>
      </c>
      <c r="J15" s="5" t="s">
        <v>38</v>
      </c>
      <c r="K15" s="5" t="s">
        <v>39</v>
      </c>
      <c r="L15" s="5" t="s">
        <v>40</v>
      </c>
      <c r="M15" s="5" t="s">
        <v>41</v>
      </c>
      <c r="N15" s="5" t="s">
        <v>42</v>
      </c>
      <c r="P15" s="130" t="s">
        <v>43</v>
      </c>
      <c r="Q15" s="132" t="s">
        <v>44</v>
      </c>
      <c r="R15" s="132"/>
      <c r="S15" s="132"/>
      <c r="T15" s="132"/>
      <c r="U15" s="133" t="s">
        <v>45</v>
      </c>
      <c r="V15" s="133" t="s">
        <v>46</v>
      </c>
    </row>
    <row r="16" spans="2:22" x14ac:dyDescent="0.25">
      <c r="E16" s="8">
        <v>2010</v>
      </c>
      <c r="F16" s="43">
        <v>154</v>
      </c>
      <c r="G16" s="43"/>
      <c r="H16" s="43"/>
      <c r="I16" s="39"/>
      <c r="J16" s="39"/>
      <c r="K16" s="44"/>
      <c r="L16" s="44"/>
      <c r="M16" s="44"/>
      <c r="N16" s="44"/>
      <c r="P16" s="131"/>
      <c r="Q16" s="18" t="s">
        <v>47</v>
      </c>
      <c r="R16" s="18" t="s">
        <v>48</v>
      </c>
      <c r="S16" s="18" t="s">
        <v>49</v>
      </c>
      <c r="T16" s="18" t="s">
        <v>50</v>
      </c>
      <c r="U16" s="134"/>
      <c r="V16" s="134"/>
    </row>
    <row r="17" spans="5:26" x14ac:dyDescent="0.25">
      <c r="E17" s="9">
        <v>2011</v>
      </c>
      <c r="F17" s="43">
        <v>90</v>
      </c>
      <c r="G17" s="21"/>
      <c r="H17" s="43"/>
      <c r="I17" s="39"/>
      <c r="J17" s="39"/>
      <c r="K17" s="45"/>
      <c r="L17" s="51"/>
      <c r="M17" s="51"/>
      <c r="N17" s="51"/>
      <c r="P17" t="s">
        <v>35</v>
      </c>
      <c r="Q17" s="22">
        <f>$F$22</f>
        <v>92.166666666666671</v>
      </c>
      <c r="R17" s="22">
        <f>$F$23</f>
        <v>154</v>
      </c>
      <c r="S17" s="21" t="e">
        <f>$S$5*$Z$27</f>
        <v>#REF!</v>
      </c>
      <c r="T17" s="22" t="e">
        <f>S17*1.25</f>
        <v>#REF!</v>
      </c>
      <c r="U17" s="19"/>
      <c r="V17" s="19"/>
    </row>
    <row r="18" spans="5:26" x14ac:dyDescent="0.25">
      <c r="E18" s="8">
        <v>2012</v>
      </c>
      <c r="F18" s="43">
        <v>140</v>
      </c>
      <c r="G18" s="43"/>
      <c r="H18" s="43"/>
      <c r="I18" s="39"/>
      <c r="J18" s="39"/>
      <c r="K18" s="51"/>
      <c r="L18" s="51"/>
      <c r="M18" s="51"/>
      <c r="N18" s="51"/>
      <c r="P18" t="s">
        <v>12</v>
      </c>
      <c r="Q18" s="22">
        <f>Q17*femaleRatioSthd*reddsPerFemaleSthd</f>
        <v>51.152423079763587</v>
      </c>
      <c r="R18" s="22">
        <f>R17*femaleRatioSthd*reddsPerFemaleSthd</f>
        <v>85.469871475048009</v>
      </c>
      <c r="S18" s="22" t="e">
        <f>S17*femaleRatioSthd*reddsPerFemaleSthd</f>
        <v>#REF!</v>
      </c>
      <c r="T18" s="22" t="e">
        <f>T17*femaleRatioSthd*reddsPerFemaleSthd</f>
        <v>#REF!</v>
      </c>
      <c r="U18" s="22" t="e">
        <f>#REF!</f>
        <v>#REF!</v>
      </c>
      <c r="V18" s="22" t="e">
        <f>IF(T18&lt;U18,0,T18-U18)</f>
        <v>#REF!</v>
      </c>
    </row>
    <row r="19" spans="5:26" x14ac:dyDescent="0.25">
      <c r="E19" s="8">
        <v>2013</v>
      </c>
      <c r="F19" s="43">
        <v>42</v>
      </c>
      <c r="G19" s="43"/>
      <c r="H19" s="43"/>
      <c r="I19" s="39"/>
      <c r="J19" s="39"/>
      <c r="K19" s="51"/>
      <c r="L19" s="51"/>
      <c r="M19" s="51"/>
      <c r="N19" s="51"/>
      <c r="P19" t="s">
        <v>54</v>
      </c>
      <c r="Q19" s="22">
        <f>Q18*fecunditySthd</f>
        <v>251959.07158512872</v>
      </c>
      <c r="R19" s="22">
        <f>R18*fecunditySthd</f>
        <v>420994.90442072134</v>
      </c>
      <c r="S19" s="22" t="e">
        <f>S18*fecunditySthd</f>
        <v>#REF!</v>
      </c>
      <c r="T19" s="22" t="e">
        <f>T18*fecunditySthd</f>
        <v>#REF!</v>
      </c>
      <c r="U19" s="19"/>
      <c r="V19" s="19"/>
    </row>
    <row r="20" spans="5:26" x14ac:dyDescent="0.25">
      <c r="E20" s="8">
        <v>2014</v>
      </c>
      <c r="F20" s="43">
        <v>74</v>
      </c>
      <c r="G20" s="43"/>
      <c r="H20" s="43"/>
      <c r="I20" s="39"/>
      <c r="J20" s="39"/>
      <c r="K20" s="51"/>
      <c r="L20" s="50"/>
      <c r="M20" s="50"/>
      <c r="N20" s="46"/>
      <c r="P20" t="s">
        <v>11</v>
      </c>
      <c r="Q20" s="22">
        <f>Q19*eggToParrSthd</f>
        <v>33825.505360303534</v>
      </c>
      <c r="R20" s="22">
        <f>R19*eggToParrSthd</f>
        <v>56518.565918481843</v>
      </c>
      <c r="S20" s="22" t="e">
        <f>S19*eggToParrSthd</f>
        <v>#REF!</v>
      </c>
      <c r="T20" s="22" t="e">
        <f>T19*eggToParrSthd</f>
        <v>#REF!</v>
      </c>
      <c r="U20" s="22" t="e">
        <f>#REF!</f>
        <v>#REF!</v>
      </c>
      <c r="V20" s="22" t="e">
        <f>IF(T20&lt;U20,0,T20-U20)</f>
        <v>#REF!</v>
      </c>
    </row>
    <row r="21" spans="5:26" x14ac:dyDescent="0.25">
      <c r="E21" s="10">
        <v>2015</v>
      </c>
      <c r="F21" s="47">
        <v>53</v>
      </c>
      <c r="G21" s="47"/>
      <c r="H21" s="47"/>
      <c r="I21" s="40"/>
      <c r="J21" s="40"/>
      <c r="K21" s="52"/>
      <c r="L21" s="52"/>
      <c r="M21" s="52"/>
      <c r="N21" s="52"/>
      <c r="P21" s="3" t="s">
        <v>55</v>
      </c>
      <c r="Q21" s="23">
        <f>Q20*parrToPresmoltSthd</f>
        <v>12130.759264944705</v>
      </c>
      <c r="R21" s="23">
        <f>R20*parrToPresmoltSthd</f>
        <v>20269.116746489883</v>
      </c>
      <c r="S21" s="23" t="e">
        <f>S20*parrToPresmoltSthd</f>
        <v>#REF!</v>
      </c>
      <c r="T21" s="23" t="e">
        <f>T20*parrToPresmoltSthd</f>
        <v>#REF!</v>
      </c>
      <c r="U21" s="20" t="s">
        <v>56</v>
      </c>
      <c r="V21" s="20" t="s">
        <v>56</v>
      </c>
    </row>
    <row r="22" spans="5:26" x14ac:dyDescent="0.25">
      <c r="E22" s="2" t="s">
        <v>47</v>
      </c>
      <c r="F22" s="37">
        <f>AVERAGE(F16:F21)</f>
        <v>92.166666666666671</v>
      </c>
      <c r="G22" s="37"/>
      <c r="H22" s="37"/>
      <c r="I22" s="38"/>
      <c r="J22" s="38"/>
      <c r="K22" s="37"/>
      <c r="L22" s="37"/>
      <c r="M22" s="37"/>
      <c r="N22" s="37"/>
    </row>
    <row r="23" spans="5:26" x14ac:dyDescent="0.25">
      <c r="E23" s="12" t="s">
        <v>57</v>
      </c>
      <c r="F23" s="25">
        <f>MAX(F16:F21)</f>
        <v>154</v>
      </c>
      <c r="G23" s="25"/>
      <c r="H23" s="25"/>
      <c r="I23" s="26"/>
      <c r="J23" s="26"/>
      <c r="K23" s="25"/>
      <c r="L23" s="25"/>
      <c r="M23" s="25"/>
      <c r="N23" s="25"/>
    </row>
    <row r="25" spans="5:26" x14ac:dyDescent="0.25">
      <c r="X25" s="3"/>
      <c r="Y25" s="3"/>
      <c r="Z25" s="3"/>
    </row>
    <row r="26" spans="5:26" x14ac:dyDescent="0.25">
      <c r="E26" s="1" t="s">
        <v>90</v>
      </c>
      <c r="F26" s="11"/>
      <c r="G26" s="11"/>
      <c r="H26" s="11"/>
      <c r="I26" s="11"/>
      <c r="J26" s="11"/>
      <c r="K26" s="11"/>
      <c r="L26" s="11"/>
      <c r="M26" s="11"/>
      <c r="N26" s="11"/>
      <c r="P26" s="17" t="s">
        <v>17</v>
      </c>
      <c r="X26" s="2" t="s">
        <v>91</v>
      </c>
      <c r="Y26" s="5" t="s">
        <v>14</v>
      </c>
      <c r="Z26" s="2" t="s">
        <v>92</v>
      </c>
    </row>
    <row r="27" spans="5:26" x14ac:dyDescent="0.25">
      <c r="E27" s="5" t="s">
        <v>34</v>
      </c>
      <c r="F27" s="5" t="s">
        <v>35</v>
      </c>
      <c r="G27" s="5" t="s">
        <v>36</v>
      </c>
      <c r="H27" s="5" t="s">
        <v>9</v>
      </c>
      <c r="I27" s="5" t="s">
        <v>37</v>
      </c>
      <c r="J27" s="5" t="s">
        <v>38</v>
      </c>
      <c r="K27" s="5" t="s">
        <v>39</v>
      </c>
      <c r="L27" s="5" t="s">
        <v>40</v>
      </c>
      <c r="M27" s="5" t="s">
        <v>41</v>
      </c>
      <c r="N27" s="5" t="s">
        <v>42</v>
      </c>
      <c r="P27" s="130" t="s">
        <v>43</v>
      </c>
      <c r="Q27" s="132" t="s">
        <v>44</v>
      </c>
      <c r="R27" s="132"/>
      <c r="S27" s="132"/>
      <c r="T27" s="132"/>
      <c r="U27" s="133" t="s">
        <v>45</v>
      </c>
      <c r="V27" s="133" t="s">
        <v>46</v>
      </c>
      <c r="X27" s="17" t="s">
        <v>6</v>
      </c>
      <c r="Y27" s="4" t="e">
        <f>#REF!</f>
        <v>#REF!</v>
      </c>
      <c r="Z27" s="99" t="e">
        <f>Y27/$Y$30</f>
        <v>#REF!</v>
      </c>
    </row>
    <row r="28" spans="5:26" x14ac:dyDescent="0.25">
      <c r="E28" s="4">
        <v>2010</v>
      </c>
      <c r="F28" s="24">
        <v>232</v>
      </c>
      <c r="G28" s="53"/>
      <c r="H28" s="53"/>
      <c r="I28" s="33"/>
      <c r="J28" s="33"/>
      <c r="K28" s="53"/>
      <c r="L28" s="53"/>
      <c r="M28" s="53"/>
      <c r="N28" s="53"/>
      <c r="P28" s="131"/>
      <c r="Q28" s="18" t="s">
        <v>47</v>
      </c>
      <c r="R28" s="18" t="s">
        <v>48</v>
      </c>
      <c r="S28" s="18" t="s">
        <v>49</v>
      </c>
      <c r="T28" s="18" t="s">
        <v>50</v>
      </c>
      <c r="U28" s="134"/>
      <c r="V28" s="134"/>
      <c r="X28" s="17" t="s">
        <v>7</v>
      </c>
      <c r="Y28" s="4" t="e">
        <f>#REF!</f>
        <v>#REF!</v>
      </c>
      <c r="Z28" s="99" t="e">
        <f t="shared" ref="Z28:Z30" si="0">Y28/$Y$30</f>
        <v>#REF!</v>
      </c>
    </row>
    <row r="29" spans="5:26" x14ac:dyDescent="0.25">
      <c r="E29" s="4">
        <v>2011</v>
      </c>
      <c r="F29" s="24">
        <v>274</v>
      </c>
      <c r="G29" s="53"/>
      <c r="H29" s="53"/>
      <c r="I29" s="33"/>
      <c r="J29" s="33"/>
      <c r="K29" s="53"/>
      <c r="L29" s="53"/>
      <c r="M29" s="53"/>
      <c r="N29" s="53"/>
      <c r="P29" t="s">
        <v>35</v>
      </c>
      <c r="Q29" s="22">
        <f>$F$34</f>
        <v>192.5</v>
      </c>
      <c r="R29" s="22">
        <f>$F$35</f>
        <v>278</v>
      </c>
      <c r="S29" s="21" t="e">
        <f>$S$5*$Z$28</f>
        <v>#REF!</v>
      </c>
      <c r="T29" s="22" t="e">
        <f>S29*1.25</f>
        <v>#REF!</v>
      </c>
      <c r="U29" s="19"/>
      <c r="V29" s="19"/>
      <c r="X29" s="2" t="s">
        <v>8</v>
      </c>
      <c r="Y29" s="6" t="e">
        <f>#REF!</f>
        <v>#REF!</v>
      </c>
      <c r="Z29" s="100" t="e">
        <f t="shared" si="0"/>
        <v>#REF!</v>
      </c>
    </row>
    <row r="30" spans="5:26" x14ac:dyDescent="0.25">
      <c r="E30" s="4">
        <v>2012</v>
      </c>
      <c r="F30" s="24">
        <v>278</v>
      </c>
      <c r="G30" s="53"/>
      <c r="H30" s="53"/>
      <c r="I30" s="33"/>
      <c r="J30" s="33"/>
      <c r="K30" s="53"/>
      <c r="L30" s="53"/>
      <c r="M30" s="53"/>
      <c r="N30" s="53"/>
      <c r="P30" t="s">
        <v>12</v>
      </c>
      <c r="Q30" s="22">
        <f>Q29*femaleRatioSthd*reddsPerFemaleSthd</f>
        <v>106.83733934381</v>
      </c>
      <c r="R30" s="22">
        <f>R29*femaleRatioSthd*reddsPerFemaleSthd</f>
        <v>154.28976798742431</v>
      </c>
      <c r="S30" s="22" t="e">
        <f>S29*femaleRatioSthd*reddsPerFemaleSthd</f>
        <v>#REF!</v>
      </c>
      <c r="T30" s="22" t="e">
        <f>T29*femaleRatioSthd*reddsPerFemaleSthd</f>
        <v>#REF!</v>
      </c>
      <c r="U30" s="22" t="e">
        <f>#REF!</f>
        <v>#REF!</v>
      </c>
      <c r="V30" s="22" t="e">
        <f>IF(T30&lt;U30,0,T30-U30)</f>
        <v>#REF!</v>
      </c>
      <c r="X30" s="17" t="s">
        <v>15</v>
      </c>
      <c r="Y30" s="4" t="e">
        <f>SUM(Y27:Y29)</f>
        <v>#REF!</v>
      </c>
      <c r="Z30" s="99" t="e">
        <f t="shared" si="0"/>
        <v>#REF!</v>
      </c>
    </row>
    <row r="31" spans="5:26" x14ac:dyDescent="0.25">
      <c r="E31" s="4">
        <v>2013</v>
      </c>
      <c r="F31" s="24">
        <v>116</v>
      </c>
      <c r="G31" s="53"/>
      <c r="H31" s="53"/>
      <c r="I31" s="33"/>
      <c r="J31" s="33"/>
      <c r="K31" s="53"/>
      <c r="L31" s="53"/>
      <c r="M31" s="53"/>
      <c r="N31" s="53"/>
      <c r="P31" t="s">
        <v>54</v>
      </c>
      <c r="Q31" s="22">
        <f>Q30*fecunditySthd</f>
        <v>526243.63052590168</v>
      </c>
      <c r="R31" s="22">
        <f>R30*fecunditySthd</f>
        <v>759977.81447376963</v>
      </c>
      <c r="S31" s="22" t="e">
        <f>S30*fecunditySthd</f>
        <v>#REF!</v>
      </c>
      <c r="T31" s="22" t="e">
        <f>T30*fecunditySthd</f>
        <v>#REF!</v>
      </c>
      <c r="U31" s="19"/>
      <c r="V31" s="19"/>
    </row>
    <row r="32" spans="5:26" x14ac:dyDescent="0.25">
      <c r="E32" s="4">
        <v>2014</v>
      </c>
      <c r="F32" s="24">
        <v>60</v>
      </c>
      <c r="G32" s="53"/>
      <c r="H32" s="53"/>
      <c r="I32" s="33"/>
      <c r="J32" s="33"/>
      <c r="K32" s="53"/>
      <c r="L32" s="53"/>
      <c r="M32" s="53"/>
      <c r="N32" s="53"/>
      <c r="P32" t="s">
        <v>11</v>
      </c>
      <c r="Q32" s="22">
        <f>Q31*eggToParrSthd</f>
        <v>70648.207398102299</v>
      </c>
      <c r="R32" s="22">
        <f>R31*eggToParrSthd</f>
        <v>102027.02159310358</v>
      </c>
      <c r="S32" s="22" t="e">
        <f>S31*eggToParrSthd</f>
        <v>#REF!</v>
      </c>
      <c r="T32" s="22" t="e">
        <f>T31*eggToParrSthd</f>
        <v>#REF!</v>
      </c>
      <c r="U32" s="22" t="e">
        <f>#REF!</f>
        <v>#REF!</v>
      </c>
      <c r="V32" s="22" t="e">
        <f>IF(T32&lt;U32,0,T32-U32)</f>
        <v>#REF!</v>
      </c>
    </row>
    <row r="33" spans="5:22" x14ac:dyDescent="0.25">
      <c r="E33" s="4">
        <v>2015</v>
      </c>
      <c r="F33" s="24">
        <v>195</v>
      </c>
      <c r="G33" s="55"/>
      <c r="H33" s="55"/>
      <c r="I33" s="30"/>
      <c r="J33" s="30"/>
      <c r="K33" s="55"/>
      <c r="L33" s="55"/>
      <c r="M33" s="55"/>
      <c r="N33" s="55"/>
      <c r="P33" s="3" t="s">
        <v>55</v>
      </c>
      <c r="Q33" s="23">
        <f>Q32*parrToPresmoltSthd</f>
        <v>25336.395933112355</v>
      </c>
      <c r="R33" s="23">
        <f>R32*parrToPresmoltSthd</f>
        <v>36589.70425665057</v>
      </c>
      <c r="S33" s="23" t="e">
        <f>S32*parrToPresmoltSthd</f>
        <v>#REF!</v>
      </c>
      <c r="T33" s="23" t="e">
        <f>T32*parrToPresmoltSthd</f>
        <v>#REF!</v>
      </c>
      <c r="U33" s="20" t="s">
        <v>56</v>
      </c>
      <c r="V33" s="20" t="s">
        <v>56</v>
      </c>
    </row>
    <row r="34" spans="5:22" x14ac:dyDescent="0.25">
      <c r="E34" s="12" t="s">
        <v>47</v>
      </c>
      <c r="F34" s="35">
        <f>AVERAGE(F28:F33)</f>
        <v>192.5</v>
      </c>
      <c r="G34" s="29"/>
      <c r="H34" s="29"/>
      <c r="I34" s="29"/>
      <c r="J34" s="29"/>
      <c r="K34" s="29"/>
      <c r="L34" s="29"/>
      <c r="M34" s="29"/>
      <c r="N34" s="29"/>
    </row>
    <row r="35" spans="5:22" x14ac:dyDescent="0.25">
      <c r="E35" s="12" t="s">
        <v>57</v>
      </c>
      <c r="F35" s="36">
        <f>MAX(F28:F33)</f>
        <v>278</v>
      </c>
      <c r="G35" s="29"/>
      <c r="H35" s="29"/>
      <c r="I35" s="29"/>
      <c r="J35" s="29"/>
      <c r="K35" s="29"/>
      <c r="L35" s="29"/>
      <c r="M35" s="29"/>
      <c r="N35" s="29"/>
    </row>
    <row r="38" spans="5:22" x14ac:dyDescent="0.25">
      <c r="E38" s="1" t="s">
        <v>93</v>
      </c>
      <c r="F38" s="11"/>
      <c r="G38" s="11"/>
      <c r="H38" s="11"/>
      <c r="I38" s="11"/>
      <c r="J38" s="11"/>
      <c r="K38" s="11"/>
      <c r="L38" s="11"/>
      <c r="M38" s="11"/>
      <c r="N38" s="11"/>
      <c r="P38" s="17" t="s">
        <v>19</v>
      </c>
    </row>
    <row r="39" spans="5:22" x14ac:dyDescent="0.25">
      <c r="E39" s="5" t="s">
        <v>34</v>
      </c>
      <c r="F39" s="5" t="s">
        <v>35</v>
      </c>
      <c r="G39" s="5" t="s">
        <v>36</v>
      </c>
      <c r="H39" s="5" t="s">
        <v>9</v>
      </c>
      <c r="I39" s="5" t="s">
        <v>37</v>
      </c>
      <c r="J39" s="5" t="s">
        <v>38</v>
      </c>
      <c r="K39" s="5" t="s">
        <v>39</v>
      </c>
      <c r="L39" s="5" t="s">
        <v>40</v>
      </c>
      <c r="M39" s="5" t="s">
        <v>41</v>
      </c>
      <c r="N39" s="5" t="s">
        <v>42</v>
      </c>
      <c r="P39" s="130" t="s">
        <v>43</v>
      </c>
      <c r="Q39" s="132" t="s">
        <v>44</v>
      </c>
      <c r="R39" s="132"/>
      <c r="S39" s="132"/>
      <c r="T39" s="132"/>
      <c r="U39" s="133" t="s">
        <v>45</v>
      </c>
      <c r="V39" s="133" t="s">
        <v>46</v>
      </c>
    </row>
    <row r="40" spans="5:22" x14ac:dyDescent="0.25">
      <c r="E40" s="4">
        <v>2012</v>
      </c>
      <c r="F40" s="24">
        <v>213</v>
      </c>
      <c r="G40" s="53"/>
      <c r="H40" s="53"/>
      <c r="I40" s="33"/>
      <c r="J40" s="33"/>
      <c r="K40" s="53"/>
      <c r="L40" s="53"/>
      <c r="M40" s="53"/>
      <c r="N40" s="53"/>
      <c r="P40" s="131"/>
      <c r="Q40" s="18" t="s">
        <v>47</v>
      </c>
      <c r="R40" s="18" t="s">
        <v>48</v>
      </c>
      <c r="S40" s="18" t="s">
        <v>49</v>
      </c>
      <c r="T40" s="18" t="s">
        <v>50</v>
      </c>
      <c r="U40" s="134"/>
      <c r="V40" s="134"/>
    </row>
    <row r="41" spans="5:22" x14ac:dyDescent="0.25">
      <c r="E41" s="4">
        <v>2013</v>
      </c>
      <c r="F41" s="24">
        <v>30</v>
      </c>
      <c r="G41" s="53"/>
      <c r="H41" s="53"/>
      <c r="I41" s="33"/>
      <c r="J41" s="33"/>
      <c r="K41" s="53"/>
      <c r="L41" s="53"/>
      <c r="M41" s="53"/>
      <c r="N41" s="53"/>
      <c r="P41" t="s">
        <v>35</v>
      </c>
      <c r="Q41" s="22">
        <f>$F$44</f>
        <v>95.25</v>
      </c>
      <c r="R41" s="22">
        <f>$F$45</f>
        <v>213</v>
      </c>
      <c r="S41" s="21" t="e">
        <f>$S$5*$Z$29</f>
        <v>#REF!</v>
      </c>
      <c r="T41" s="22" t="e">
        <f>S41*1.25</f>
        <v>#REF!</v>
      </c>
      <c r="U41" s="19"/>
      <c r="V41" s="19"/>
    </row>
    <row r="42" spans="5:22" x14ac:dyDescent="0.25">
      <c r="E42" s="4">
        <v>2014</v>
      </c>
      <c r="F42" s="24">
        <v>45</v>
      </c>
      <c r="G42" s="53"/>
      <c r="H42" s="53"/>
      <c r="I42" s="33"/>
      <c r="J42" s="33"/>
      <c r="K42" s="53"/>
      <c r="L42" s="53"/>
      <c r="M42" s="53"/>
      <c r="N42" s="53"/>
      <c r="P42" t="s">
        <v>12</v>
      </c>
      <c r="Q42" s="22">
        <f>Q41*femaleRatioSthd*reddsPerFemaleSthd</f>
        <v>52.863670506482613</v>
      </c>
      <c r="R42" s="22">
        <f>R41*femaleRatioSthd*reddsPerFemaleSthd</f>
        <v>118.21482223496901</v>
      </c>
      <c r="S42" s="22" t="e">
        <f>S41*femaleRatioSthd*reddsPerFemaleSthd</f>
        <v>#REF!</v>
      </c>
      <c r="T42" s="22" t="e">
        <f>T41*femaleRatioSthd*reddsPerFemaleSthd</f>
        <v>#REF!</v>
      </c>
      <c r="U42" s="22" t="e">
        <f>#REF!</f>
        <v>#REF!</v>
      </c>
      <c r="V42" s="22" t="e">
        <f>IF(T42&lt;U42,0,T42-U42)</f>
        <v>#REF!</v>
      </c>
    </row>
    <row r="43" spans="5:22" x14ac:dyDescent="0.25">
      <c r="E43" s="6">
        <v>2015</v>
      </c>
      <c r="F43" s="24">
        <v>93</v>
      </c>
      <c r="G43" s="55"/>
      <c r="H43" s="55"/>
      <c r="I43" s="30"/>
      <c r="J43" s="30"/>
      <c r="K43" s="55"/>
      <c r="L43" s="55"/>
      <c r="M43" s="55"/>
      <c r="N43" s="55"/>
      <c r="P43" t="s">
        <v>54</v>
      </c>
      <c r="Q43" s="22">
        <f>Q42*fecunditySthd</f>
        <v>260388.08211736172</v>
      </c>
      <c r="R43" s="22">
        <f>R42*fecunditySthd</f>
        <v>582285.16001047823</v>
      </c>
      <c r="S43" s="22" t="e">
        <f>S42*fecunditySthd</f>
        <v>#REF!</v>
      </c>
      <c r="T43" s="22" t="e">
        <f>T42*fecunditySthd</f>
        <v>#REF!</v>
      </c>
      <c r="U43" s="19"/>
      <c r="V43" s="19"/>
    </row>
    <row r="44" spans="5:22" x14ac:dyDescent="0.25">
      <c r="E44" s="12" t="s">
        <v>47</v>
      </c>
      <c r="F44" s="35">
        <f>AVERAGE(F40:F43)</f>
        <v>95.25</v>
      </c>
      <c r="G44" s="29"/>
      <c r="H44" s="29"/>
      <c r="I44" s="29"/>
      <c r="J44" s="29"/>
      <c r="K44" s="29"/>
      <c r="L44" s="29"/>
      <c r="M44" s="29"/>
      <c r="N44" s="29"/>
      <c r="P44" t="s">
        <v>11</v>
      </c>
      <c r="Q44" s="22">
        <f>Q43*eggToParrSthd</f>
        <v>34957.100024255815</v>
      </c>
      <c r="R44" s="22">
        <f>R43*eggToParrSthd</f>
        <v>78171.782731406711</v>
      </c>
      <c r="S44" s="22" t="e">
        <f>S43*eggToParrSthd</f>
        <v>#REF!</v>
      </c>
      <c r="T44" s="22" t="e">
        <f>T43*eggToParrSthd</f>
        <v>#REF!</v>
      </c>
      <c r="U44" s="22" t="e">
        <f>#REF!</f>
        <v>#REF!</v>
      </c>
      <c r="V44" s="22" t="e">
        <f>IF(T44&lt;U44,0,T44-U44)</f>
        <v>#REF!</v>
      </c>
    </row>
    <row r="45" spans="5:22" x14ac:dyDescent="0.25">
      <c r="E45" s="12" t="s">
        <v>57</v>
      </c>
      <c r="F45" s="36">
        <f>MAX(F40:F43)</f>
        <v>213</v>
      </c>
      <c r="G45" s="29"/>
      <c r="H45" s="29"/>
      <c r="I45" s="29"/>
      <c r="J45" s="29"/>
      <c r="K45" s="29"/>
      <c r="L45" s="29"/>
      <c r="M45" s="29"/>
      <c r="N45" s="29"/>
      <c r="P45" s="3" t="s">
        <v>55</v>
      </c>
      <c r="Q45" s="23">
        <f>Q44*parrToPresmoltSthd</f>
        <v>12536.580325345205</v>
      </c>
      <c r="R45" s="23">
        <f>R44*parrToPresmoltSthd</f>
        <v>28034.55757793731</v>
      </c>
      <c r="S45" s="23" t="e">
        <f>S44*parrToPresmoltSthd</f>
        <v>#REF!</v>
      </c>
      <c r="T45" s="23" t="e">
        <f>T44*parrToPresmoltSthd</f>
        <v>#REF!</v>
      </c>
      <c r="U45" s="20" t="s">
        <v>56</v>
      </c>
      <c r="V45" s="20" t="s">
        <v>56</v>
      </c>
    </row>
    <row r="48" spans="5:22" x14ac:dyDescent="0.25">
      <c r="E48" s="1" t="s">
        <v>94</v>
      </c>
      <c r="F48" s="11"/>
      <c r="G48" s="11"/>
      <c r="H48" s="11"/>
      <c r="I48" s="11"/>
      <c r="J48" s="11"/>
      <c r="K48" s="11"/>
      <c r="L48" s="11"/>
      <c r="M48" s="11"/>
      <c r="N48" s="11"/>
      <c r="P48" s="17" t="s">
        <v>21</v>
      </c>
    </row>
    <row r="49" spans="5:22" x14ac:dyDescent="0.25">
      <c r="E49" s="5" t="s">
        <v>34</v>
      </c>
      <c r="F49" s="5" t="s">
        <v>35</v>
      </c>
      <c r="G49" s="5" t="s">
        <v>36</v>
      </c>
      <c r="H49" s="5" t="s">
        <v>9</v>
      </c>
      <c r="I49" s="5" t="s">
        <v>37</v>
      </c>
      <c r="J49" s="5" t="s">
        <v>38</v>
      </c>
      <c r="K49" s="5" t="s">
        <v>39</v>
      </c>
      <c r="L49" s="5" t="s">
        <v>40</v>
      </c>
      <c r="M49" s="5" t="s">
        <v>41</v>
      </c>
      <c r="N49" s="5" t="s">
        <v>42</v>
      </c>
      <c r="P49" s="130" t="s">
        <v>43</v>
      </c>
      <c r="Q49" s="132" t="s">
        <v>44</v>
      </c>
      <c r="R49" s="132"/>
      <c r="S49" s="132"/>
      <c r="T49" s="132"/>
      <c r="U49" s="133" t="s">
        <v>45</v>
      </c>
      <c r="V49" s="133" t="s">
        <v>46</v>
      </c>
    </row>
    <row r="50" spans="5:22" x14ac:dyDescent="0.25">
      <c r="E50" s="4">
        <v>2012</v>
      </c>
      <c r="F50" s="24">
        <v>32</v>
      </c>
      <c r="G50" s="53"/>
      <c r="H50" s="53"/>
      <c r="I50" s="33"/>
      <c r="J50" s="33"/>
      <c r="K50" s="53"/>
      <c r="L50" s="53"/>
      <c r="M50" s="53"/>
      <c r="N50" s="53"/>
      <c r="P50" s="131"/>
      <c r="Q50" s="18" t="s">
        <v>47</v>
      </c>
      <c r="R50" s="18" t="s">
        <v>48</v>
      </c>
      <c r="S50" s="18" t="s">
        <v>49</v>
      </c>
      <c r="T50" s="18" t="s">
        <v>50</v>
      </c>
      <c r="U50" s="134"/>
      <c r="V50" s="134"/>
    </row>
    <row r="51" spans="5:22" x14ac:dyDescent="0.25">
      <c r="E51" s="4">
        <v>2013</v>
      </c>
      <c r="F51" s="24">
        <v>35</v>
      </c>
      <c r="G51" s="53"/>
      <c r="H51" s="53"/>
      <c r="I51" s="33"/>
      <c r="J51" s="33"/>
      <c r="K51" s="53"/>
      <c r="L51" s="53"/>
      <c r="M51" s="53"/>
      <c r="N51" s="53"/>
      <c r="P51" t="s">
        <v>35</v>
      </c>
      <c r="Q51" s="22">
        <f>$F$54</f>
        <v>30.25</v>
      </c>
      <c r="R51" s="22">
        <f>$F$55</f>
        <v>54</v>
      </c>
      <c r="S51" s="21">
        <v>1000</v>
      </c>
      <c r="T51" s="22">
        <f>S51*1.25</f>
        <v>1250</v>
      </c>
      <c r="U51" s="19"/>
      <c r="V51" s="19"/>
    </row>
    <row r="52" spans="5:22" x14ac:dyDescent="0.25">
      <c r="E52" s="4">
        <v>2014</v>
      </c>
      <c r="F52" s="24">
        <v>0</v>
      </c>
      <c r="G52" s="53"/>
      <c r="H52" s="53"/>
      <c r="I52" s="33"/>
      <c r="J52" s="33"/>
      <c r="K52" s="53"/>
      <c r="L52" s="53"/>
      <c r="M52" s="53"/>
      <c r="N52" s="53"/>
      <c r="P52" t="s">
        <v>12</v>
      </c>
      <c r="Q52" s="22">
        <f>Q51*femaleRatioSthd*reddsPerFemaleSthd</f>
        <v>16.788724754027289</v>
      </c>
      <c r="R52" s="22">
        <f>R51*femaleRatioSthd*reddsPerFemaleSthd</f>
        <v>29.969954932809042</v>
      </c>
      <c r="S52" s="22">
        <f>S51*femaleRatioSthd*reddsPerFemaleSthd</f>
        <v>554.99916542238964</v>
      </c>
      <c r="T52" s="22">
        <f>T51*femaleRatioSthd*reddsPerFemaleSthd</f>
        <v>693.74895677798702</v>
      </c>
      <c r="U52" s="22" t="e">
        <f>#REF!</f>
        <v>#REF!</v>
      </c>
      <c r="V52" s="22" t="e">
        <f>IF(T52&lt;U52,0,T52-U52)</f>
        <v>#REF!</v>
      </c>
    </row>
    <row r="53" spans="5:22" x14ac:dyDescent="0.25">
      <c r="E53" s="6">
        <v>2015</v>
      </c>
      <c r="F53" s="54">
        <v>54</v>
      </c>
      <c r="G53" s="55"/>
      <c r="H53" s="55"/>
      <c r="I53" s="30"/>
      <c r="J53" s="30"/>
      <c r="K53" s="55"/>
      <c r="L53" s="55"/>
      <c r="M53" s="55"/>
      <c r="N53" s="55"/>
      <c r="P53" t="s">
        <v>54</v>
      </c>
      <c r="Q53" s="22">
        <f>Q52*fecunditySthd</f>
        <v>82695.42765407027</v>
      </c>
      <c r="R53" s="22">
        <f>R52*fecunditySthd</f>
        <v>147621.58986181137</v>
      </c>
      <c r="S53" s="22">
        <f>S52*fecunditySthd</f>
        <v>2733733.1455890993</v>
      </c>
      <c r="T53" s="22">
        <f>T52*fecunditySthd</f>
        <v>3417166.4319863743</v>
      </c>
      <c r="U53" s="19"/>
      <c r="V53" s="19"/>
    </row>
    <row r="54" spans="5:22" x14ac:dyDescent="0.25">
      <c r="E54" s="2" t="s">
        <v>47</v>
      </c>
      <c r="F54" s="34">
        <f>AVERAGE(F50:F53)</f>
        <v>30.25</v>
      </c>
      <c r="G54" s="30"/>
      <c r="H54" s="30"/>
      <c r="I54" s="30"/>
      <c r="J54" s="30"/>
      <c r="K54" s="30"/>
      <c r="L54" s="30"/>
      <c r="M54" s="30"/>
      <c r="N54" s="30"/>
      <c r="P54" t="s">
        <v>11</v>
      </c>
      <c r="Q54" s="22">
        <f>Q53*eggToParrSthd</f>
        <v>11101.861162558935</v>
      </c>
      <c r="R54" s="22">
        <f>R53*eggToParrSthd</f>
        <v>19818.198438948177</v>
      </c>
      <c r="S54" s="22">
        <f>S53*eggToParrSthd</f>
        <v>367003.67479533661</v>
      </c>
      <c r="T54" s="22">
        <f>T53*eggToParrSthd</f>
        <v>458754.59349417075</v>
      </c>
      <c r="U54" s="22" t="e">
        <f>#REF!</f>
        <v>#REF!</v>
      </c>
      <c r="V54" s="22" t="e">
        <f>IF(T54&lt;U54,0,T54-U54)</f>
        <v>#REF!</v>
      </c>
    </row>
    <row r="55" spans="5:22" x14ac:dyDescent="0.25">
      <c r="E55" s="12" t="s">
        <v>57</v>
      </c>
      <c r="F55" s="35">
        <f>MAX(F50:F53)</f>
        <v>54</v>
      </c>
      <c r="G55" s="29"/>
      <c r="H55" s="29"/>
      <c r="I55" s="29"/>
      <c r="J55" s="29"/>
      <c r="K55" s="29"/>
      <c r="L55" s="29"/>
      <c r="M55" s="29"/>
      <c r="N55" s="29"/>
      <c r="P55" s="3" t="s">
        <v>55</v>
      </c>
      <c r="Q55" s="23">
        <f>Q54*parrToPresmoltSthd</f>
        <v>3981.4336466319419</v>
      </c>
      <c r="R55" s="23">
        <f>R54*parrToPresmoltSthd</f>
        <v>7107.3526253925565</v>
      </c>
      <c r="S55" s="23">
        <f>S54*parrToPresmoltSthd</f>
        <v>131617.64121097326</v>
      </c>
      <c r="T55" s="23">
        <f>T54*parrToPresmoltSthd</f>
        <v>164522.05151371658</v>
      </c>
      <c r="U55" s="20" t="s">
        <v>56</v>
      </c>
      <c r="V55" s="20" t="s">
        <v>56</v>
      </c>
    </row>
    <row r="56" spans="5:22" x14ac:dyDescent="0.25">
      <c r="E56" s="15"/>
      <c r="F56" s="16"/>
      <c r="G56" s="14"/>
      <c r="H56" s="14"/>
      <c r="I56" s="14"/>
      <c r="J56" s="14"/>
      <c r="K56" s="14"/>
      <c r="L56" s="14"/>
      <c r="M56" s="14"/>
      <c r="N56" s="14"/>
    </row>
    <row r="58" spans="5:22" x14ac:dyDescent="0.25">
      <c r="E58" s="1" t="s">
        <v>95</v>
      </c>
      <c r="F58" s="11"/>
      <c r="G58" s="11"/>
      <c r="H58" s="11"/>
      <c r="I58" s="11"/>
      <c r="J58" s="11"/>
      <c r="K58" s="11"/>
      <c r="L58" s="11"/>
      <c r="M58" s="11"/>
      <c r="N58" s="11"/>
      <c r="P58" s="17" t="s">
        <v>23</v>
      </c>
    </row>
    <row r="59" spans="5:22" ht="30" x14ac:dyDescent="0.25">
      <c r="E59" s="5" t="s">
        <v>34</v>
      </c>
      <c r="F59" s="5" t="s">
        <v>35</v>
      </c>
      <c r="G59" s="5" t="s">
        <v>36</v>
      </c>
      <c r="H59" s="5" t="s">
        <v>9</v>
      </c>
      <c r="I59" s="5" t="s">
        <v>37</v>
      </c>
      <c r="J59" s="5" t="s">
        <v>38</v>
      </c>
      <c r="K59" s="5" t="s">
        <v>39</v>
      </c>
      <c r="L59" s="5" t="s">
        <v>40</v>
      </c>
      <c r="M59" s="5" t="s">
        <v>41</v>
      </c>
      <c r="N59" s="5" t="s">
        <v>42</v>
      </c>
      <c r="P59" s="120" t="s">
        <v>43</v>
      </c>
      <c r="Q59" s="132" t="s">
        <v>44</v>
      </c>
      <c r="R59" s="132"/>
      <c r="S59" s="132"/>
      <c r="T59" s="132"/>
      <c r="U59" s="122" t="s">
        <v>45</v>
      </c>
      <c r="V59" s="122" t="s">
        <v>46</v>
      </c>
    </row>
    <row r="60" spans="5:22" x14ac:dyDescent="0.25">
      <c r="E60" s="8">
        <v>2011</v>
      </c>
      <c r="F60" s="56">
        <v>1284</v>
      </c>
      <c r="G60" s="56"/>
      <c r="H60" s="56"/>
      <c r="I60" s="31"/>
      <c r="J60" s="31"/>
      <c r="K60" s="51"/>
      <c r="L60" s="51"/>
      <c r="M60" s="51"/>
      <c r="N60" s="51"/>
      <c r="P60" s="121"/>
      <c r="Q60" s="18" t="s">
        <v>47</v>
      </c>
      <c r="R60" s="18" t="s">
        <v>48</v>
      </c>
      <c r="S60" s="18" t="s">
        <v>49</v>
      </c>
      <c r="T60" s="18" t="s">
        <v>50</v>
      </c>
      <c r="U60" s="123"/>
      <c r="V60" s="123"/>
    </row>
    <row r="61" spans="5:22" x14ac:dyDescent="0.25">
      <c r="E61" s="8">
        <v>2012</v>
      </c>
      <c r="F61" s="56">
        <v>1353</v>
      </c>
      <c r="G61" s="56"/>
      <c r="H61" s="56"/>
      <c r="I61" s="31"/>
      <c r="J61" s="31"/>
      <c r="K61" s="51"/>
      <c r="L61" s="45"/>
      <c r="M61" s="51"/>
      <c r="N61" s="51"/>
      <c r="P61" t="s">
        <v>35</v>
      </c>
      <c r="Q61" s="22">
        <f>$F$65</f>
        <v>1155.8</v>
      </c>
      <c r="R61" s="22">
        <f>$F$66</f>
        <v>1614</v>
      </c>
      <c r="S61" s="21">
        <v>1000</v>
      </c>
      <c r="T61" s="22">
        <f>S61*1.25</f>
        <v>1250</v>
      </c>
      <c r="U61" s="19"/>
      <c r="V61" s="19"/>
    </row>
    <row r="62" spans="5:22" x14ac:dyDescent="0.25">
      <c r="E62" s="8">
        <v>2013</v>
      </c>
      <c r="F62" s="56">
        <v>783</v>
      </c>
      <c r="G62" s="56"/>
      <c r="H62" s="56"/>
      <c r="I62" s="31"/>
      <c r="J62" s="31"/>
      <c r="K62" s="59"/>
      <c r="L62" s="59"/>
      <c r="M62" s="59"/>
      <c r="N62" s="59"/>
      <c r="P62" t="s">
        <v>12</v>
      </c>
      <c r="Q62" s="22">
        <f>Q61*femaleRatioSthd*reddsPerFemaleSthd</f>
        <v>641.46803539519794</v>
      </c>
      <c r="R62" s="22">
        <f>R61*femaleRatioSthd*reddsPerFemaleSthd</f>
        <v>895.76865299173687</v>
      </c>
      <c r="S62" s="22">
        <f>S61*femaleRatioSthd*reddsPerFemaleSthd</f>
        <v>554.99916542238964</v>
      </c>
      <c r="T62" s="22">
        <f>T61*femaleRatioSthd*reddsPerFemaleSthd</f>
        <v>693.74895677798702</v>
      </c>
      <c r="U62" s="22" t="e">
        <f>#REF!</f>
        <v>#REF!</v>
      </c>
      <c r="V62" s="22" t="e">
        <f>IF(T62&lt;U62,0,T62-U62)</f>
        <v>#REF!</v>
      </c>
    </row>
    <row r="63" spans="5:22" x14ac:dyDescent="0.25">
      <c r="E63" s="8">
        <v>2014</v>
      </c>
      <c r="F63" s="56">
        <v>745</v>
      </c>
      <c r="G63" s="56"/>
      <c r="H63" s="56"/>
      <c r="I63" s="31"/>
      <c r="J63" s="31"/>
      <c r="K63" s="59"/>
      <c r="L63" s="59"/>
      <c r="M63" s="59"/>
      <c r="N63" s="59"/>
      <c r="P63" t="s">
        <v>54</v>
      </c>
      <c r="Q63" s="22">
        <f>Q62*fecunditySthd</f>
        <v>3159648.7696718811</v>
      </c>
      <c r="R63" s="22">
        <f>R62*fecunditySthd</f>
        <v>4412245.2969808066</v>
      </c>
      <c r="S63" s="22">
        <f>S62*fecunditySthd</f>
        <v>2733733.1455890993</v>
      </c>
      <c r="T63" s="22">
        <f>T62*fecunditySthd</f>
        <v>3417166.4319863743</v>
      </c>
      <c r="U63" s="19"/>
      <c r="V63" s="19"/>
    </row>
    <row r="64" spans="5:22" x14ac:dyDescent="0.25">
      <c r="E64" s="10">
        <v>2015</v>
      </c>
      <c r="F64" s="57">
        <v>1614</v>
      </c>
      <c r="G64" s="57"/>
      <c r="H64" s="57"/>
      <c r="I64" s="32"/>
      <c r="J64" s="32"/>
      <c r="K64" s="60"/>
      <c r="L64" s="60"/>
      <c r="M64" s="60"/>
      <c r="N64" s="61"/>
      <c r="P64" t="s">
        <v>11</v>
      </c>
      <c r="Q64" s="22">
        <f>Q63*eggToParrSthd</f>
        <v>424182.84732845007</v>
      </c>
      <c r="R64" s="22">
        <f>R63*eggToParrSthd</f>
        <v>592343.9311196733</v>
      </c>
      <c r="S64" s="22">
        <f>S63*eggToParrSthd</f>
        <v>367003.67479533661</v>
      </c>
      <c r="T64" s="22">
        <f>T63*eggToParrSthd</f>
        <v>458754.59349417075</v>
      </c>
      <c r="U64" s="22" t="e">
        <f>#REF!</f>
        <v>#REF!</v>
      </c>
      <c r="V64" s="22" t="e">
        <f>IF(T64&lt;U64,0,T64-U64)</f>
        <v>#REF!</v>
      </c>
    </row>
    <row r="65" spans="5:22" x14ac:dyDescent="0.25">
      <c r="E65" s="2" t="s">
        <v>47</v>
      </c>
      <c r="F65" s="25">
        <f>AVERAGE(F60:F64)</f>
        <v>1155.8</v>
      </c>
      <c r="G65" s="25"/>
      <c r="H65" s="25"/>
      <c r="I65" s="26"/>
      <c r="J65" s="26"/>
      <c r="K65" s="25"/>
      <c r="L65" s="25"/>
      <c r="M65" s="25"/>
      <c r="N65" s="25"/>
      <c r="P65" s="3" t="s">
        <v>55</v>
      </c>
      <c r="Q65" s="23">
        <f>Q64*parrToPresmoltSthd</f>
        <v>152123.6697116429</v>
      </c>
      <c r="R65" s="23">
        <f>R64*parrToPresmoltSthd</f>
        <v>212430.87291451084</v>
      </c>
      <c r="S65" s="23">
        <f>S64*parrToPresmoltSthd</f>
        <v>131617.64121097326</v>
      </c>
      <c r="T65" s="23">
        <f>T64*parrToPresmoltSthd</f>
        <v>164522.05151371658</v>
      </c>
      <c r="U65" s="20" t="s">
        <v>56</v>
      </c>
      <c r="V65" s="20" t="s">
        <v>56</v>
      </c>
    </row>
    <row r="66" spans="5:22" x14ac:dyDescent="0.25">
      <c r="E66" s="12" t="s">
        <v>57</v>
      </c>
      <c r="F66" s="25">
        <f>MAX(F60:F64)</f>
        <v>1614</v>
      </c>
      <c r="G66" s="25"/>
      <c r="H66" s="25"/>
      <c r="I66" s="26"/>
      <c r="J66" s="26"/>
      <c r="K66" s="25"/>
      <c r="L66" s="25"/>
      <c r="M66" s="25"/>
      <c r="N66" s="25"/>
    </row>
    <row r="69" spans="5:22" x14ac:dyDescent="0.25">
      <c r="E69" s="1" t="s">
        <v>96</v>
      </c>
      <c r="F69" s="11"/>
      <c r="G69" s="11"/>
      <c r="H69" s="11"/>
      <c r="I69" s="11"/>
      <c r="J69" s="11"/>
      <c r="K69" s="11"/>
      <c r="L69" s="11"/>
      <c r="M69" s="11"/>
      <c r="N69" s="11"/>
      <c r="P69" s="17" t="s">
        <v>25</v>
      </c>
    </row>
    <row r="70" spans="5:22" x14ac:dyDescent="0.25">
      <c r="E70" s="5" t="s">
        <v>34</v>
      </c>
      <c r="F70" s="5" t="s">
        <v>35</v>
      </c>
      <c r="G70" s="5" t="s">
        <v>36</v>
      </c>
      <c r="H70" s="5" t="s">
        <v>9</v>
      </c>
      <c r="I70" s="5" t="s">
        <v>37</v>
      </c>
      <c r="J70" s="5" t="s">
        <v>38</v>
      </c>
      <c r="K70" s="5" t="s">
        <v>39</v>
      </c>
      <c r="L70" s="5" t="s">
        <v>40</v>
      </c>
      <c r="M70" s="5" t="s">
        <v>41</v>
      </c>
      <c r="N70" s="5" t="s">
        <v>42</v>
      </c>
      <c r="P70" s="130" t="s">
        <v>43</v>
      </c>
      <c r="Q70" s="132" t="s">
        <v>44</v>
      </c>
      <c r="R70" s="132"/>
      <c r="S70" s="132"/>
      <c r="T70" s="132"/>
      <c r="U70" s="133" t="s">
        <v>45</v>
      </c>
      <c r="V70" s="133" t="s">
        <v>46</v>
      </c>
    </row>
    <row r="71" spans="5:22" x14ac:dyDescent="0.25">
      <c r="E71" s="8">
        <v>2010</v>
      </c>
      <c r="F71" s="24">
        <v>417</v>
      </c>
      <c r="G71" s="56"/>
      <c r="H71" s="24"/>
      <c r="I71" s="27"/>
      <c r="J71" s="27"/>
      <c r="K71" s="62"/>
      <c r="L71" s="43"/>
      <c r="M71" s="43"/>
      <c r="N71" s="43"/>
      <c r="P71" s="131"/>
      <c r="Q71" s="18" t="s">
        <v>47</v>
      </c>
      <c r="R71" s="18" t="s">
        <v>48</v>
      </c>
      <c r="S71" s="18" t="s">
        <v>49</v>
      </c>
      <c r="T71" s="18" t="s">
        <v>50</v>
      </c>
      <c r="U71" s="134"/>
      <c r="V71" s="134"/>
    </row>
    <row r="72" spans="5:22" x14ac:dyDescent="0.25">
      <c r="E72" s="8">
        <v>2011</v>
      </c>
      <c r="F72" s="24">
        <v>314</v>
      </c>
      <c r="G72" s="56"/>
      <c r="H72" s="24"/>
      <c r="I72" s="27"/>
      <c r="J72" s="27"/>
      <c r="K72" s="63"/>
      <c r="L72" s="64"/>
      <c r="M72" s="64"/>
      <c r="N72" s="21"/>
      <c r="P72" t="s">
        <v>35</v>
      </c>
      <c r="Q72" s="22">
        <f>$F$77</f>
        <v>336.66666666666669</v>
      </c>
      <c r="R72" s="22">
        <f>$F$78</f>
        <v>417</v>
      </c>
      <c r="S72" s="21">
        <v>1000</v>
      </c>
      <c r="T72" s="22">
        <f>S72*1.25</f>
        <v>1250</v>
      </c>
      <c r="U72" s="19"/>
      <c r="V72" s="19"/>
    </row>
    <row r="73" spans="5:22" x14ac:dyDescent="0.25">
      <c r="E73" s="8">
        <v>2012</v>
      </c>
      <c r="F73" s="24">
        <v>347</v>
      </c>
      <c r="G73" s="56"/>
      <c r="H73" s="24"/>
      <c r="I73" s="27"/>
      <c r="J73" s="27"/>
      <c r="K73" s="65"/>
      <c r="L73" s="21"/>
      <c r="M73" s="21"/>
      <c r="N73" s="21"/>
      <c r="P73" t="s">
        <v>12</v>
      </c>
      <c r="Q73" s="22">
        <f>Q72*femaleRatioSthd*reddsPerFemaleSthd</f>
        <v>186.84971902553787</v>
      </c>
      <c r="R73" s="22">
        <f>R72*femaleRatioSthd*reddsPerFemaleSthd</f>
        <v>231.43465198113651</v>
      </c>
      <c r="S73" s="22">
        <f>S72*femaleRatioSthd*reddsPerFemaleSthd</f>
        <v>554.99916542238964</v>
      </c>
      <c r="T73" s="22">
        <f>T72*femaleRatioSthd*reddsPerFemaleSthd</f>
        <v>693.74895677798702</v>
      </c>
      <c r="U73" s="22" t="e">
        <f>#REF!</f>
        <v>#REF!</v>
      </c>
      <c r="V73" s="22" t="e">
        <f>IF(T73&lt;U73,0,T73-U73)</f>
        <v>#REF!</v>
      </c>
    </row>
    <row r="74" spans="5:22" x14ac:dyDescent="0.25">
      <c r="E74" s="8">
        <v>2013</v>
      </c>
      <c r="F74" s="24">
        <v>334</v>
      </c>
      <c r="G74" s="56"/>
      <c r="H74" s="24"/>
      <c r="I74" s="27"/>
      <c r="J74" s="27"/>
      <c r="K74" s="65"/>
      <c r="L74" s="21"/>
      <c r="M74" s="21"/>
      <c r="N74" s="21"/>
      <c r="P74" t="s">
        <v>54</v>
      </c>
      <c r="Q74" s="22">
        <f>Q73*fecunditySthd</f>
        <v>920356.82568166358</v>
      </c>
      <c r="R74" s="22">
        <f>R73*fecunditySthd</f>
        <v>1139966.7217106547</v>
      </c>
      <c r="S74" s="22">
        <f>S73*fecunditySthd</f>
        <v>2733733.1455890993</v>
      </c>
      <c r="T74" s="22">
        <f>T73*fecunditySthd</f>
        <v>3417166.4319863743</v>
      </c>
      <c r="U74" s="19"/>
      <c r="V74" s="19"/>
    </row>
    <row r="75" spans="5:22" x14ac:dyDescent="0.25">
      <c r="E75" s="8">
        <v>2014</v>
      </c>
      <c r="F75" s="24">
        <v>266</v>
      </c>
      <c r="G75" s="56"/>
      <c r="H75" s="24"/>
      <c r="I75" s="27"/>
      <c r="J75" s="27"/>
      <c r="K75" s="65"/>
      <c r="L75" s="21"/>
      <c r="M75" s="21"/>
      <c r="N75" s="21"/>
      <c r="P75" t="s">
        <v>11</v>
      </c>
      <c r="Q75" s="22">
        <f>Q74*eggToParrSthd</f>
        <v>123557.90384776334</v>
      </c>
      <c r="R75" s="22">
        <f>R74*eggToParrSthd</f>
        <v>153040.53238965539</v>
      </c>
      <c r="S75" s="22">
        <f>S74*eggToParrSthd</f>
        <v>367003.67479533661</v>
      </c>
      <c r="T75" s="22">
        <f>T74*eggToParrSthd</f>
        <v>458754.59349417075</v>
      </c>
      <c r="U75" s="22" t="e">
        <f>#REF!</f>
        <v>#REF!</v>
      </c>
      <c r="V75" s="22" t="e">
        <f>IF(T75&lt;U75,0,T75-U75)</f>
        <v>#REF!</v>
      </c>
    </row>
    <row r="76" spans="5:22" x14ac:dyDescent="0.25">
      <c r="E76" s="10">
        <v>2015</v>
      </c>
      <c r="F76" s="24">
        <v>342</v>
      </c>
      <c r="G76" s="57"/>
      <c r="H76" s="61"/>
      <c r="I76" s="28"/>
      <c r="J76" s="28"/>
      <c r="K76" s="66"/>
      <c r="L76" s="67"/>
      <c r="M76" s="67"/>
      <c r="N76" s="67"/>
      <c r="P76" s="3" t="s">
        <v>55</v>
      </c>
      <c r="Q76" s="23">
        <f>Q75*parrToPresmoltSthd</f>
        <v>44311.272541027669</v>
      </c>
      <c r="R76" s="23">
        <f>R75*parrToPresmoltSthd</f>
        <v>54884.556384975862</v>
      </c>
      <c r="S76" s="23">
        <f>S75*parrToPresmoltSthd</f>
        <v>131617.64121097326</v>
      </c>
      <c r="T76" s="23">
        <f>T75*parrToPresmoltSthd</f>
        <v>164522.05151371658</v>
      </c>
      <c r="U76" s="20" t="s">
        <v>56</v>
      </c>
      <c r="V76" s="20" t="s">
        <v>56</v>
      </c>
    </row>
    <row r="77" spans="5:22" x14ac:dyDescent="0.25">
      <c r="E77" s="12" t="s">
        <v>47</v>
      </c>
      <c r="F77" s="25">
        <f>AVERAGE(F71:F76)</f>
        <v>336.66666666666669</v>
      </c>
      <c r="G77" s="25"/>
      <c r="H77" s="25"/>
      <c r="I77" s="26"/>
      <c r="J77" s="26"/>
      <c r="K77" s="25"/>
      <c r="L77" s="25"/>
      <c r="M77" s="25"/>
      <c r="N77" s="25"/>
    </row>
    <row r="78" spans="5:22" x14ac:dyDescent="0.25">
      <c r="E78" s="12" t="s">
        <v>57</v>
      </c>
      <c r="F78" s="25">
        <f>MAX(F71:F76)</f>
        <v>417</v>
      </c>
      <c r="G78" s="25"/>
      <c r="H78" s="25"/>
      <c r="I78" s="26"/>
      <c r="J78" s="26"/>
      <c r="K78" s="25"/>
      <c r="L78" s="25"/>
      <c r="M78" s="25"/>
      <c r="N78" s="25"/>
    </row>
    <row r="81" spans="5:22" x14ac:dyDescent="0.25">
      <c r="E81" s="1" t="s">
        <v>97</v>
      </c>
      <c r="F81" s="11"/>
      <c r="G81" s="11"/>
      <c r="H81" s="11"/>
      <c r="I81" s="11"/>
      <c r="J81" s="11"/>
      <c r="K81" s="11"/>
      <c r="L81" s="11"/>
      <c r="M81" s="11"/>
      <c r="N81" s="11"/>
      <c r="P81" s="17" t="s">
        <v>27</v>
      </c>
    </row>
    <row r="82" spans="5:22" x14ac:dyDescent="0.25">
      <c r="E82" s="5" t="s">
        <v>34</v>
      </c>
      <c r="F82" s="5" t="s">
        <v>35</v>
      </c>
      <c r="G82" s="5" t="s">
        <v>36</v>
      </c>
      <c r="H82" s="5" t="s">
        <v>9</v>
      </c>
      <c r="I82" s="5" t="s">
        <v>37</v>
      </c>
      <c r="J82" s="5" t="s">
        <v>38</v>
      </c>
      <c r="K82" s="5" t="s">
        <v>39</v>
      </c>
      <c r="L82" s="5" t="s">
        <v>40</v>
      </c>
      <c r="M82" s="5" t="s">
        <v>41</v>
      </c>
      <c r="N82" s="5" t="s">
        <v>42</v>
      </c>
      <c r="P82" s="130" t="s">
        <v>43</v>
      </c>
      <c r="Q82" s="132" t="s">
        <v>44</v>
      </c>
      <c r="R82" s="132"/>
      <c r="S82" s="132"/>
      <c r="T82" s="132"/>
      <c r="U82" s="133" t="s">
        <v>45</v>
      </c>
      <c r="V82" s="133" t="s">
        <v>46</v>
      </c>
    </row>
    <row r="83" spans="5:22" x14ac:dyDescent="0.25">
      <c r="E83" s="4">
        <v>2011</v>
      </c>
      <c r="F83" s="24">
        <v>279</v>
      </c>
      <c r="G83" s="53"/>
      <c r="H83" s="53"/>
      <c r="I83" s="33"/>
      <c r="J83" s="33"/>
      <c r="K83" s="53"/>
      <c r="L83" s="53"/>
      <c r="M83" s="53"/>
      <c r="N83" s="53"/>
      <c r="P83" s="131"/>
      <c r="Q83" s="18" t="s">
        <v>47</v>
      </c>
      <c r="R83" s="18" t="s">
        <v>48</v>
      </c>
      <c r="S83" s="18" t="s">
        <v>49</v>
      </c>
      <c r="T83" s="18" t="s">
        <v>50</v>
      </c>
      <c r="U83" s="134"/>
      <c r="V83" s="134"/>
    </row>
    <row r="84" spans="5:22" x14ac:dyDescent="0.25">
      <c r="E84" s="4">
        <v>2012</v>
      </c>
      <c r="F84" s="24">
        <v>293</v>
      </c>
      <c r="G84" s="53"/>
      <c r="H84" s="53"/>
      <c r="I84" s="33"/>
      <c r="J84" s="33"/>
      <c r="K84" s="53"/>
      <c r="L84" s="53"/>
      <c r="M84" s="53"/>
      <c r="N84" s="53"/>
      <c r="P84" t="s">
        <v>35</v>
      </c>
      <c r="Q84" s="22">
        <f>$F$88</f>
        <v>251.8</v>
      </c>
      <c r="R84" s="22">
        <f>$F$89</f>
        <v>349</v>
      </c>
      <c r="S84" s="21">
        <v>500</v>
      </c>
      <c r="T84" s="22">
        <f>S84*1.25</f>
        <v>625</v>
      </c>
      <c r="U84" s="19"/>
      <c r="V84" s="19"/>
    </row>
    <row r="85" spans="5:22" x14ac:dyDescent="0.25">
      <c r="E85" s="4">
        <v>2013</v>
      </c>
      <c r="F85" s="24">
        <v>171</v>
      </c>
      <c r="G85" s="53"/>
      <c r="H85" s="53"/>
      <c r="I85" s="33"/>
      <c r="J85" s="33"/>
      <c r="K85" s="53"/>
      <c r="L85" s="53"/>
      <c r="M85" s="53"/>
      <c r="N85" s="53"/>
      <c r="P85" t="s">
        <v>12</v>
      </c>
      <c r="Q85" s="22">
        <f>Q84*femaleRatioSthd*reddsPerFemaleSthd</f>
        <v>139.74878985335772</v>
      </c>
      <c r="R85" s="22">
        <f>R84*femaleRatioSthd*reddsPerFemaleSthd</f>
        <v>193.694708732414</v>
      </c>
      <c r="S85" s="22">
        <f>S84*femaleRatioSthd*reddsPerFemaleSthd</f>
        <v>277.49958271119482</v>
      </c>
      <c r="T85" s="22">
        <f>T84*femaleRatioSthd*reddsPerFemaleSthd</f>
        <v>346.87447838899351</v>
      </c>
      <c r="U85" s="22" t="e">
        <f>#REF!</f>
        <v>#REF!</v>
      </c>
      <c r="V85" s="22" t="e">
        <f>IF(T85&lt;U85,0,T85-U85)</f>
        <v>#REF!</v>
      </c>
    </row>
    <row r="86" spans="5:22" x14ac:dyDescent="0.25">
      <c r="E86" s="4">
        <v>2014</v>
      </c>
      <c r="F86" s="24">
        <v>167</v>
      </c>
      <c r="G86" s="53"/>
      <c r="H86" s="53"/>
      <c r="I86" s="33"/>
      <c r="J86" s="33"/>
      <c r="K86" s="53"/>
      <c r="L86" s="53"/>
      <c r="M86" s="53"/>
      <c r="N86" s="53"/>
      <c r="P86" t="s">
        <v>54</v>
      </c>
      <c r="Q86" s="22">
        <f>Q85*fecunditySthd</f>
        <v>688354.00605933531</v>
      </c>
      <c r="R86" s="22">
        <f>R85*fecunditySthd</f>
        <v>954072.86781059578</v>
      </c>
      <c r="S86" s="22">
        <f>S85*fecunditySthd</f>
        <v>1366866.5727945496</v>
      </c>
      <c r="T86" s="22">
        <f>T85*fecunditySthd</f>
        <v>1708583.2159931872</v>
      </c>
      <c r="U86" s="19"/>
      <c r="V86" s="19"/>
    </row>
    <row r="87" spans="5:22" x14ac:dyDescent="0.25">
      <c r="E87" s="6">
        <v>2015</v>
      </c>
      <c r="F87" s="54">
        <v>349</v>
      </c>
      <c r="G87" s="55"/>
      <c r="H87" s="55"/>
      <c r="I87" s="30"/>
      <c r="J87" s="30"/>
      <c r="K87" s="55"/>
      <c r="L87" s="55"/>
      <c r="M87" s="55"/>
      <c r="N87" s="55"/>
      <c r="P87" t="s">
        <v>11</v>
      </c>
      <c r="Q87" s="22">
        <f>Q86*eggToParrSthd</f>
        <v>92411.525313465769</v>
      </c>
      <c r="R87" s="22">
        <f>R86*eggToParrSthd</f>
        <v>128084.2825035725</v>
      </c>
      <c r="S87" s="22">
        <f>S86*eggToParrSthd</f>
        <v>183501.83739766831</v>
      </c>
      <c r="T87" s="22">
        <f>T86*eggToParrSthd</f>
        <v>229377.29674708538</v>
      </c>
      <c r="U87" s="22" t="e">
        <f>#REF!</f>
        <v>#REF!</v>
      </c>
      <c r="V87" s="22" t="e">
        <f>IF(T87&lt;U87,0,T87-U87)</f>
        <v>#REF!</v>
      </c>
    </row>
    <row r="88" spans="5:22" x14ac:dyDescent="0.25">
      <c r="E88" s="12" t="s">
        <v>47</v>
      </c>
      <c r="F88" s="35">
        <f>AVERAGE(F83:F87)</f>
        <v>251.8</v>
      </c>
      <c r="G88" s="29"/>
      <c r="H88" s="29"/>
      <c r="I88" s="29"/>
      <c r="J88" s="29"/>
      <c r="K88" s="29"/>
      <c r="L88" s="29"/>
      <c r="M88" s="29"/>
      <c r="N88" s="29"/>
      <c r="P88" s="3" t="s">
        <v>55</v>
      </c>
      <c r="Q88" s="23">
        <f>Q87*parrToPresmoltSthd</f>
        <v>33141.322056923069</v>
      </c>
      <c r="R88" s="23">
        <f>R87*parrToPresmoltSthd</f>
        <v>45934.556782629676</v>
      </c>
      <c r="S88" s="23">
        <f>S87*parrToPresmoltSthd</f>
        <v>65808.820605486631</v>
      </c>
      <c r="T88" s="23">
        <f>T87*parrToPresmoltSthd</f>
        <v>82261.025756858289</v>
      </c>
      <c r="U88" s="20" t="s">
        <v>56</v>
      </c>
      <c r="V88" s="20" t="s">
        <v>56</v>
      </c>
    </row>
    <row r="89" spans="5:22" x14ac:dyDescent="0.25">
      <c r="E89" s="2" t="s">
        <v>57</v>
      </c>
      <c r="F89" s="108">
        <f>MAX(F83:F87)</f>
        <v>349</v>
      </c>
      <c r="G89" s="30"/>
      <c r="H89" s="30"/>
      <c r="I89" s="30"/>
      <c r="J89" s="30"/>
      <c r="K89" s="30"/>
      <c r="L89" s="30"/>
      <c r="M89" s="30"/>
      <c r="N89" s="30"/>
    </row>
    <row r="92" spans="5:22" x14ac:dyDescent="0.25">
      <c r="E92" s="1" t="s">
        <v>98</v>
      </c>
      <c r="F92" s="11"/>
      <c r="G92" s="11"/>
      <c r="H92" s="11"/>
      <c r="I92" s="11"/>
      <c r="J92" s="11"/>
      <c r="K92" s="11"/>
      <c r="L92" s="11"/>
      <c r="M92" s="11"/>
      <c r="N92" s="11"/>
      <c r="P92" s="17" t="s">
        <v>29</v>
      </c>
    </row>
    <row r="93" spans="5:22" x14ac:dyDescent="0.25">
      <c r="E93" s="5" t="s">
        <v>34</v>
      </c>
      <c r="F93" s="5" t="s">
        <v>35</v>
      </c>
      <c r="G93" s="5" t="s">
        <v>36</v>
      </c>
      <c r="H93" s="5" t="s">
        <v>9</v>
      </c>
      <c r="I93" s="5" t="s">
        <v>37</v>
      </c>
      <c r="J93" s="5" t="s">
        <v>38</v>
      </c>
      <c r="K93" s="5" t="s">
        <v>39</v>
      </c>
      <c r="L93" s="5" t="s">
        <v>40</v>
      </c>
      <c r="M93" s="5" t="s">
        <v>41</v>
      </c>
      <c r="N93" s="5" t="s">
        <v>42</v>
      </c>
      <c r="P93" s="130" t="s">
        <v>43</v>
      </c>
      <c r="Q93" s="132" t="s">
        <v>44</v>
      </c>
      <c r="R93" s="132"/>
      <c r="S93" s="132"/>
      <c r="T93" s="132"/>
      <c r="U93" s="133" t="s">
        <v>45</v>
      </c>
      <c r="V93" s="133" t="s">
        <v>46</v>
      </c>
    </row>
    <row r="94" spans="5:22" x14ac:dyDescent="0.25">
      <c r="E94" s="4">
        <v>2011</v>
      </c>
      <c r="F94" s="24">
        <v>458</v>
      </c>
      <c r="G94" s="53"/>
      <c r="H94" s="53"/>
      <c r="I94" s="33"/>
      <c r="J94" s="33"/>
      <c r="K94" s="53"/>
      <c r="L94" s="53"/>
      <c r="M94" s="53"/>
      <c r="N94" s="53"/>
      <c r="P94" s="131"/>
      <c r="Q94" s="18" t="s">
        <v>47</v>
      </c>
      <c r="R94" s="18" t="s">
        <v>48</v>
      </c>
      <c r="S94" s="18" t="s">
        <v>49</v>
      </c>
      <c r="T94" s="18" t="s">
        <v>50</v>
      </c>
      <c r="U94" s="134"/>
      <c r="V94" s="134"/>
    </row>
    <row r="95" spans="5:22" x14ac:dyDescent="0.25">
      <c r="E95" s="4">
        <v>2012</v>
      </c>
      <c r="F95" s="24">
        <v>510</v>
      </c>
      <c r="G95" s="53"/>
      <c r="H95" s="53"/>
      <c r="I95" s="33"/>
      <c r="J95" s="33"/>
      <c r="K95" s="53"/>
      <c r="L95" s="53"/>
      <c r="M95" s="53"/>
      <c r="N95" s="53"/>
      <c r="P95" t="s">
        <v>35</v>
      </c>
      <c r="Q95" s="22">
        <f>$F$99</f>
        <v>448.6</v>
      </c>
      <c r="R95" s="22">
        <f>$F$100</f>
        <v>650</v>
      </c>
      <c r="S95" s="21">
        <v>500</v>
      </c>
      <c r="T95" s="22">
        <f>S95*1.25</f>
        <v>625</v>
      </c>
      <c r="U95" s="19"/>
      <c r="V95" s="19"/>
    </row>
    <row r="96" spans="5:22" x14ac:dyDescent="0.25">
      <c r="E96" s="4">
        <v>2013</v>
      </c>
      <c r="F96" s="24">
        <v>296</v>
      </c>
      <c r="G96" s="53"/>
      <c r="H96" s="53"/>
      <c r="I96" s="33"/>
      <c r="J96" s="33"/>
      <c r="K96" s="53"/>
      <c r="L96" s="53"/>
      <c r="M96" s="53"/>
      <c r="N96" s="53"/>
      <c r="P96" t="s">
        <v>12</v>
      </c>
      <c r="Q96" s="22">
        <f>Q95*femaleRatioSthd*reddsPerFemaleSthd</f>
        <v>248.97262560848398</v>
      </c>
      <c r="R96" s="22">
        <f>R95*femaleRatioSthd*reddsPerFemaleSthd</f>
        <v>360.74945752455329</v>
      </c>
      <c r="S96" s="22">
        <f>S95*femaleRatioSthd*reddsPerFemaleSthd</f>
        <v>277.49958271119482</v>
      </c>
      <c r="T96" s="22">
        <f>T95*femaleRatioSthd*reddsPerFemaleSthd</f>
        <v>346.87447838899351</v>
      </c>
      <c r="U96" s="22" t="e">
        <f>#REF!</f>
        <v>#REF!</v>
      </c>
      <c r="V96" s="22" t="e">
        <f>IF(T96&lt;U96,0,T96-U96)</f>
        <v>#REF!</v>
      </c>
    </row>
    <row r="97" spans="5:22" x14ac:dyDescent="0.25">
      <c r="E97" s="4">
        <v>2014</v>
      </c>
      <c r="F97" s="24">
        <v>329</v>
      </c>
      <c r="G97" s="53"/>
      <c r="H97" s="53"/>
      <c r="I97" s="33"/>
      <c r="J97" s="33"/>
      <c r="K97" s="53"/>
      <c r="L97" s="53"/>
      <c r="M97" s="53"/>
      <c r="N97" s="53"/>
      <c r="P97" t="s">
        <v>54</v>
      </c>
      <c r="Q97" s="22">
        <f>Q96*fecunditySthd</f>
        <v>1226352.68911127</v>
      </c>
      <c r="R97" s="22">
        <f>R96*fecunditySthd</f>
        <v>1776926.5446329147</v>
      </c>
      <c r="S97" s="22">
        <f>S96*fecunditySthd</f>
        <v>1366866.5727945496</v>
      </c>
      <c r="T97" s="22">
        <f>T96*fecunditySthd</f>
        <v>1708583.2159931872</v>
      </c>
      <c r="U97" s="19"/>
      <c r="V97" s="19"/>
    </row>
    <row r="98" spans="5:22" x14ac:dyDescent="0.25">
      <c r="E98" s="6">
        <v>2015</v>
      </c>
      <c r="F98" s="54">
        <v>650</v>
      </c>
      <c r="G98" s="55"/>
      <c r="H98" s="55"/>
      <c r="I98" s="30"/>
      <c r="J98" s="30"/>
      <c r="K98" s="55"/>
      <c r="L98" s="55"/>
      <c r="M98" s="55"/>
      <c r="N98" s="55"/>
      <c r="P98" t="s">
        <v>11</v>
      </c>
      <c r="Q98" s="22">
        <f>Q97*eggToParrSthd</f>
        <v>164637.84851318802</v>
      </c>
      <c r="R98" s="22">
        <f>R97*eggToParrSthd</f>
        <v>238552.38861696882</v>
      </c>
      <c r="S98" s="22">
        <f>S97*eggToParrSthd</f>
        <v>183501.83739766831</v>
      </c>
      <c r="T98" s="22">
        <f>T97*eggToParrSthd</f>
        <v>229377.29674708538</v>
      </c>
      <c r="U98" s="22" t="e">
        <f>#REF!</f>
        <v>#REF!</v>
      </c>
      <c r="V98" s="22" t="e">
        <f>IF(T98&lt;U98,0,T98-U98)</f>
        <v>#REF!</v>
      </c>
    </row>
    <row r="99" spans="5:22" x14ac:dyDescent="0.25">
      <c r="E99" s="12" t="s">
        <v>47</v>
      </c>
      <c r="F99" s="35">
        <f>AVERAGE(F94:F98)</f>
        <v>448.6</v>
      </c>
      <c r="G99" s="29"/>
      <c r="H99" s="29"/>
      <c r="I99" s="29"/>
      <c r="J99" s="29"/>
      <c r="K99" s="29"/>
      <c r="L99" s="29"/>
      <c r="M99" s="29"/>
      <c r="N99" s="29"/>
      <c r="P99" s="3" t="s">
        <v>55</v>
      </c>
      <c r="Q99" s="23">
        <f>Q98*parrToPresmoltSthd</f>
        <v>59043.673847242608</v>
      </c>
      <c r="R99" s="23">
        <f>R98*parrToPresmoltSthd</f>
        <v>85551.466787132624</v>
      </c>
      <c r="S99" s="23">
        <f>S98*parrToPresmoltSthd</f>
        <v>65808.820605486631</v>
      </c>
      <c r="T99" s="23">
        <f>T98*parrToPresmoltSthd</f>
        <v>82261.025756858289</v>
      </c>
      <c r="U99" s="20" t="s">
        <v>56</v>
      </c>
      <c r="V99" s="20" t="s">
        <v>56</v>
      </c>
    </row>
    <row r="100" spans="5:22" x14ac:dyDescent="0.25">
      <c r="E100" s="2" t="s">
        <v>57</v>
      </c>
      <c r="F100" s="108">
        <f>MAX(F94:F98)</f>
        <v>650</v>
      </c>
      <c r="G100" s="30"/>
      <c r="H100" s="30"/>
      <c r="I100" s="30"/>
      <c r="J100" s="30"/>
      <c r="K100" s="30"/>
      <c r="L100" s="30"/>
      <c r="M100" s="30"/>
      <c r="N100" s="30"/>
    </row>
  </sheetData>
  <mergeCells count="33">
    <mergeCell ref="Q59:T59"/>
    <mergeCell ref="P3:P4"/>
    <mergeCell ref="Q3:T3"/>
    <mergeCell ref="U3:U4"/>
    <mergeCell ref="V3:V4"/>
    <mergeCell ref="P15:P16"/>
    <mergeCell ref="Q15:T15"/>
    <mergeCell ref="U15:U16"/>
    <mergeCell ref="V15:V16"/>
    <mergeCell ref="P27:P28"/>
    <mergeCell ref="Q27:T27"/>
    <mergeCell ref="U27:U28"/>
    <mergeCell ref="V27:V28"/>
    <mergeCell ref="P39:P40"/>
    <mergeCell ref="Q39:T39"/>
    <mergeCell ref="U39:U40"/>
    <mergeCell ref="V39:V40"/>
    <mergeCell ref="P49:P50"/>
    <mergeCell ref="Q49:T49"/>
    <mergeCell ref="U49:U50"/>
    <mergeCell ref="V49:V50"/>
    <mergeCell ref="P93:P94"/>
    <mergeCell ref="Q93:T93"/>
    <mergeCell ref="U93:U94"/>
    <mergeCell ref="V93:V94"/>
    <mergeCell ref="P70:P71"/>
    <mergeCell ref="Q70:T70"/>
    <mergeCell ref="U70:U71"/>
    <mergeCell ref="V70:V71"/>
    <mergeCell ref="P82:P83"/>
    <mergeCell ref="Q82:T82"/>
    <mergeCell ref="U82:U83"/>
    <mergeCell ref="V82:V83"/>
  </mergeCell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B1:AR52"/>
  <sheetViews>
    <sheetView tabSelected="1" workbookViewId="0">
      <selection activeCell="J27" sqref="J27"/>
    </sheetView>
  </sheetViews>
  <sheetFormatPr defaultRowHeight="15" x14ac:dyDescent="0.25"/>
  <cols>
    <col min="2" max="2" width="16.28515625" bestFit="1" customWidth="1"/>
    <col min="3" max="3" width="17.28515625" bestFit="1" customWidth="1"/>
    <col min="4" max="4" width="11.28515625" bestFit="1" customWidth="1"/>
    <col min="5" max="5" width="10.7109375" bestFit="1" customWidth="1"/>
    <col min="14" max="14" width="35.140625" style="83" bestFit="1" customWidth="1"/>
    <col min="15" max="15" width="20.140625" style="82" customWidth="1"/>
    <col min="16" max="16" width="8.85546875" style="82"/>
    <col min="17" max="17" width="13.7109375" style="82" bestFit="1" customWidth="1"/>
    <col min="18" max="22" width="8.85546875" style="82"/>
    <col min="24" max="24" width="10.140625" bestFit="1" customWidth="1"/>
    <col min="25" max="25" width="9.85546875" bestFit="1" customWidth="1"/>
    <col min="26" max="27" width="7.42578125" bestFit="1" customWidth="1"/>
    <col min="28" max="28" width="6.42578125" bestFit="1" customWidth="1"/>
    <col min="29" max="29" width="6.7109375" bestFit="1" customWidth="1"/>
    <col min="30" max="30" width="7.42578125" bestFit="1" customWidth="1"/>
    <col min="31" max="31" width="6.7109375" bestFit="1" customWidth="1"/>
    <col min="32" max="32" width="12.42578125" bestFit="1" customWidth="1"/>
    <col min="33" max="33" width="11" bestFit="1" customWidth="1"/>
    <col min="34" max="37" width="6" bestFit="1" customWidth="1"/>
    <col min="38" max="38" width="7" bestFit="1" customWidth="1"/>
    <col min="40" max="43" width="6" style="4" bestFit="1" customWidth="1"/>
    <col min="44" max="44" width="24.7109375" bestFit="1" customWidth="1"/>
  </cols>
  <sheetData>
    <row r="1" spans="2:44" ht="44.45" customHeight="1" thickBot="1" x14ac:dyDescent="0.3">
      <c r="N1" s="86"/>
      <c r="O1" s="87"/>
      <c r="P1" s="87"/>
      <c r="Q1" s="87"/>
      <c r="R1" s="87"/>
      <c r="S1" s="87"/>
      <c r="T1" s="87"/>
      <c r="U1" s="87"/>
      <c r="V1" s="87"/>
      <c r="X1" s="146" t="s">
        <v>99</v>
      </c>
      <c r="Y1" s="146"/>
      <c r="Z1" s="146"/>
      <c r="AA1" s="146"/>
      <c r="AB1" s="146"/>
      <c r="AC1" s="146"/>
      <c r="AD1" s="146"/>
      <c r="AE1" s="146"/>
      <c r="AF1" s="146"/>
      <c r="AG1" s="146"/>
      <c r="AH1" s="146"/>
      <c r="AI1" s="146"/>
      <c r="AJ1" s="146"/>
      <c r="AK1" s="146"/>
      <c r="AL1" s="146"/>
    </row>
    <row r="2" spans="2:44" x14ac:dyDescent="0.25">
      <c r="B2" s="74"/>
      <c r="C2" s="74" t="s">
        <v>36</v>
      </c>
      <c r="D2" s="74" t="s">
        <v>100</v>
      </c>
      <c r="E2" s="74" t="s">
        <v>101</v>
      </c>
      <c r="F2" s="74" t="s">
        <v>102</v>
      </c>
      <c r="G2" s="74" t="s">
        <v>103</v>
      </c>
      <c r="H2" s="74" t="s">
        <v>104</v>
      </c>
      <c r="I2" s="74" t="s">
        <v>105</v>
      </c>
      <c r="J2" s="74" t="s">
        <v>106</v>
      </c>
      <c r="K2" s="79" t="s">
        <v>107</v>
      </c>
      <c r="L2" s="79"/>
      <c r="N2" s="126" t="s">
        <v>63</v>
      </c>
      <c r="O2" s="126" t="s">
        <v>64</v>
      </c>
      <c r="P2" s="126" t="s">
        <v>34</v>
      </c>
      <c r="Q2" s="126" t="s">
        <v>65</v>
      </c>
      <c r="R2" s="126" t="s">
        <v>66</v>
      </c>
      <c r="S2" s="126" t="s">
        <v>67</v>
      </c>
      <c r="T2" s="126" t="s">
        <v>68</v>
      </c>
      <c r="U2" s="126" t="s">
        <v>69</v>
      </c>
      <c r="V2" s="126" t="s">
        <v>70</v>
      </c>
      <c r="Y2" s="144" t="s">
        <v>108</v>
      </c>
      <c r="Z2" s="144"/>
      <c r="AA2" s="144"/>
      <c r="AB2" s="144"/>
      <c r="AC2" s="144"/>
      <c r="AD2" s="144"/>
      <c r="AE2" s="144"/>
      <c r="AF2" s="145" t="s">
        <v>109</v>
      </c>
      <c r="AG2" s="145"/>
      <c r="AH2" s="145"/>
      <c r="AI2" s="145"/>
      <c r="AJ2" s="145"/>
      <c r="AK2" s="145"/>
      <c r="AL2" s="145"/>
    </row>
    <row r="3" spans="2:44" ht="48.75" thickBot="1" x14ac:dyDescent="0.4">
      <c r="B3" s="75" t="s">
        <v>34</v>
      </c>
      <c r="C3" s="75" t="s">
        <v>110</v>
      </c>
      <c r="D3" s="75" t="s">
        <v>110</v>
      </c>
      <c r="E3" s="75" t="s">
        <v>111</v>
      </c>
      <c r="F3" s="75" t="s">
        <v>112</v>
      </c>
      <c r="G3" s="75" t="s">
        <v>113</v>
      </c>
      <c r="H3" s="75" t="s">
        <v>12</v>
      </c>
      <c r="I3" s="75" t="s">
        <v>114</v>
      </c>
      <c r="J3" s="75" t="s">
        <v>115</v>
      </c>
      <c r="K3" s="79" t="s">
        <v>116</v>
      </c>
      <c r="L3" s="79"/>
      <c r="N3" s="150" t="s">
        <v>71</v>
      </c>
      <c r="O3" s="147" t="s">
        <v>117</v>
      </c>
      <c r="P3" s="82">
        <v>2010</v>
      </c>
      <c r="Q3" s="82">
        <v>31</v>
      </c>
      <c r="R3" s="82">
        <v>14</v>
      </c>
      <c r="S3" s="82">
        <v>17</v>
      </c>
      <c r="T3" s="82">
        <v>0</v>
      </c>
      <c r="U3" s="89">
        <f>R3/(R3+S3)</f>
        <v>0.45161290322580644</v>
      </c>
      <c r="V3" s="89">
        <f>1-U3</f>
        <v>0.54838709677419351</v>
      </c>
      <c r="X3" s="3" t="s">
        <v>118</v>
      </c>
      <c r="Y3" s="6" t="s">
        <v>119</v>
      </c>
      <c r="Z3" s="6" t="s">
        <v>120</v>
      </c>
      <c r="AA3" s="6" t="s">
        <v>121</v>
      </c>
      <c r="AB3" s="6" t="s">
        <v>122</v>
      </c>
      <c r="AC3" s="6" t="s">
        <v>123</v>
      </c>
      <c r="AD3" s="6" t="s">
        <v>124</v>
      </c>
      <c r="AE3" s="6" t="s">
        <v>125</v>
      </c>
      <c r="AF3" s="112" t="s">
        <v>126</v>
      </c>
      <c r="AG3" s="6" t="s">
        <v>127</v>
      </c>
      <c r="AH3" s="6" t="s">
        <v>128</v>
      </c>
      <c r="AI3" s="6" t="s">
        <v>129</v>
      </c>
      <c r="AJ3" s="6" t="s">
        <v>130</v>
      </c>
      <c r="AK3" s="6" t="s">
        <v>131</v>
      </c>
      <c r="AL3" s="6" t="s">
        <v>132</v>
      </c>
      <c r="AN3" s="102" t="s">
        <v>133</v>
      </c>
      <c r="AO3" s="102" t="s">
        <v>134</v>
      </c>
      <c r="AP3" s="102" t="s">
        <v>135</v>
      </c>
      <c r="AQ3" s="102" t="s">
        <v>136</v>
      </c>
      <c r="AR3" s="102" t="s">
        <v>137</v>
      </c>
    </row>
    <row r="4" spans="2:44" x14ac:dyDescent="0.25">
      <c r="B4" s="76">
        <v>2002</v>
      </c>
      <c r="C4" s="76">
        <v>120</v>
      </c>
      <c r="D4" s="76">
        <v>89</v>
      </c>
      <c r="E4" s="77">
        <v>209</v>
      </c>
      <c r="F4" s="77">
        <v>84</v>
      </c>
      <c r="G4" s="77">
        <v>2.4900000000000002</v>
      </c>
      <c r="H4" s="77">
        <v>1.43</v>
      </c>
      <c r="I4" s="77">
        <v>70</v>
      </c>
      <c r="J4" s="77">
        <v>8.4</v>
      </c>
      <c r="K4" s="81">
        <f>F4/C4</f>
        <v>0.7</v>
      </c>
      <c r="L4" s="81"/>
      <c r="M4" s="80"/>
      <c r="N4" s="150"/>
      <c r="O4" s="147"/>
      <c r="P4" s="82">
        <v>2011</v>
      </c>
      <c r="Q4" s="82">
        <v>38</v>
      </c>
      <c r="R4" s="82">
        <v>18</v>
      </c>
      <c r="S4" s="82">
        <v>19</v>
      </c>
      <c r="T4" s="82">
        <v>1</v>
      </c>
      <c r="U4" s="89">
        <f t="shared" ref="U4:U44" si="0">R4/(R4+S4)</f>
        <v>0.48648648648648651</v>
      </c>
      <c r="V4" s="89">
        <f t="shared" ref="V4:V45" si="1">1-U4</f>
        <v>0.51351351351351349</v>
      </c>
      <c r="X4" s="4">
        <v>2008</v>
      </c>
      <c r="Y4" s="109">
        <v>2163072</v>
      </c>
      <c r="Z4" s="7">
        <v>99329</v>
      </c>
      <c r="AA4" s="7">
        <v>25284</v>
      </c>
      <c r="AB4" s="7">
        <v>3243</v>
      </c>
      <c r="AC4" s="109">
        <v>237</v>
      </c>
      <c r="AD4" s="109">
        <v>16520</v>
      </c>
      <c r="AE4" s="109">
        <v>3243</v>
      </c>
      <c r="AF4" s="103">
        <v>9.1999999999999998E-2</v>
      </c>
      <c r="AG4" s="110">
        <v>0.501</v>
      </c>
      <c r="AH4" s="110">
        <v>0.255</v>
      </c>
      <c r="AI4" s="110">
        <v>0.37</v>
      </c>
      <c r="AJ4" s="103">
        <v>2E-3</v>
      </c>
      <c r="AK4" s="103">
        <v>0.65300000000000002</v>
      </c>
      <c r="AL4" s="110">
        <v>1</v>
      </c>
      <c r="AN4" s="111">
        <f>AG4</f>
        <v>0.501</v>
      </c>
      <c r="AO4" s="111">
        <f>AG4*AH4</f>
        <v>0.12775500000000001</v>
      </c>
      <c r="AP4" s="111">
        <f>AK4</f>
        <v>0.65300000000000002</v>
      </c>
      <c r="AQ4" s="111">
        <f>1-AK4</f>
        <v>0.34699999999999998</v>
      </c>
      <c r="AR4" s="103">
        <f>SUMPRODUCT(AN4:AO4,AP4:AQ4)</f>
        <v>0.37148398500000002</v>
      </c>
    </row>
    <row r="5" spans="2:44" x14ac:dyDescent="0.25">
      <c r="B5" s="76">
        <v>2003</v>
      </c>
      <c r="C5" s="76">
        <v>92</v>
      </c>
      <c r="D5" s="76">
        <v>48</v>
      </c>
      <c r="E5" s="77">
        <v>140</v>
      </c>
      <c r="F5" s="77">
        <v>64</v>
      </c>
      <c r="G5" s="77">
        <v>2.19</v>
      </c>
      <c r="H5" s="77">
        <v>1.44</v>
      </c>
      <c r="I5" s="77">
        <v>70</v>
      </c>
      <c r="J5" s="77">
        <v>6.4</v>
      </c>
      <c r="K5" s="81">
        <f t="shared" ref="K5:K19" si="2">F5/C5</f>
        <v>0.69565217391304346</v>
      </c>
      <c r="L5" s="81"/>
      <c r="N5" s="150"/>
      <c r="O5" s="147"/>
      <c r="P5" s="82">
        <v>2012</v>
      </c>
      <c r="Q5" s="82">
        <v>45</v>
      </c>
      <c r="R5" s="82">
        <v>27</v>
      </c>
      <c r="S5" s="82">
        <v>17</v>
      </c>
      <c r="T5" s="82">
        <v>1</v>
      </c>
      <c r="U5" s="89">
        <f t="shared" si="0"/>
        <v>0.61363636363636365</v>
      </c>
      <c r="V5" s="89">
        <f t="shared" si="1"/>
        <v>0.38636363636363635</v>
      </c>
      <c r="X5" s="4">
        <v>2009</v>
      </c>
      <c r="Y5" s="109">
        <v>5723283</v>
      </c>
      <c r="Z5" s="7">
        <v>102196</v>
      </c>
      <c r="AA5" s="7">
        <v>43056</v>
      </c>
      <c r="AB5" s="7">
        <v>5005</v>
      </c>
      <c r="AC5" s="109">
        <v>5071</v>
      </c>
      <c r="AD5" s="109">
        <v>31787</v>
      </c>
      <c r="AE5" s="109">
        <v>5005</v>
      </c>
      <c r="AF5" s="103">
        <v>2.8000000000000001E-2</v>
      </c>
      <c r="AG5" s="110">
        <v>0.64600000000000002</v>
      </c>
      <c r="AH5" s="110">
        <v>0.443</v>
      </c>
      <c r="AI5" s="110">
        <v>0.44400000000000001</v>
      </c>
      <c r="AJ5" s="103">
        <v>0.05</v>
      </c>
      <c r="AK5" s="103">
        <v>0.73799999999999999</v>
      </c>
      <c r="AL5" s="110">
        <v>1</v>
      </c>
      <c r="AN5" s="111">
        <f t="shared" ref="AN5:AN7" si="3">AG5</f>
        <v>0.64600000000000002</v>
      </c>
      <c r="AO5" s="111">
        <f t="shared" ref="AO5:AO7" si="4">AG5*AH5</f>
        <v>0.28617799999999999</v>
      </c>
      <c r="AP5" s="111">
        <f t="shared" ref="AP5:AP7" si="5">AK5</f>
        <v>0.73799999999999999</v>
      </c>
      <c r="AQ5" s="111">
        <f t="shared" ref="AQ5:AQ7" si="6">1-AK5</f>
        <v>0.26200000000000001</v>
      </c>
      <c r="AR5" s="103">
        <f t="shared" ref="AR5:AR7" si="7">SUMPRODUCT(AN5:AO5,AP5:AQ5)</f>
        <v>0.55172663600000005</v>
      </c>
    </row>
    <row r="6" spans="2:44" x14ac:dyDescent="0.25">
      <c r="B6" s="76">
        <v>2004</v>
      </c>
      <c r="C6" s="76">
        <v>47</v>
      </c>
      <c r="D6" s="76">
        <v>20</v>
      </c>
      <c r="E6" s="77">
        <v>67</v>
      </c>
      <c r="F6" s="77">
        <v>46</v>
      </c>
      <c r="G6" s="77">
        <v>1.46</v>
      </c>
      <c r="H6" s="77">
        <v>1.02</v>
      </c>
      <c r="I6" s="77">
        <v>98</v>
      </c>
      <c r="J6" s="77">
        <v>4.5999999999999996</v>
      </c>
      <c r="K6" s="81">
        <f t="shared" si="2"/>
        <v>0.97872340425531912</v>
      </c>
      <c r="L6" s="81"/>
      <c r="N6" s="150"/>
      <c r="O6" s="147"/>
      <c r="P6" s="82">
        <v>2013</v>
      </c>
      <c r="Q6" s="82">
        <v>105</v>
      </c>
      <c r="R6" s="82">
        <v>66</v>
      </c>
      <c r="S6" s="82">
        <v>38</v>
      </c>
      <c r="T6" s="82">
        <v>1</v>
      </c>
      <c r="U6" s="89">
        <f t="shared" si="0"/>
        <v>0.63461538461538458</v>
      </c>
      <c r="V6" s="89">
        <f t="shared" si="1"/>
        <v>0.36538461538461542</v>
      </c>
      <c r="X6" s="4">
        <v>2010</v>
      </c>
      <c r="Y6" s="109">
        <v>5984947</v>
      </c>
      <c r="Z6" s="7">
        <v>578760</v>
      </c>
      <c r="AA6" s="7">
        <v>197379</v>
      </c>
      <c r="AB6" s="7">
        <v>38224</v>
      </c>
      <c r="AC6" s="109">
        <v>5620</v>
      </c>
      <c r="AD6" s="109">
        <v>94043</v>
      </c>
      <c r="AE6" s="109">
        <v>38224</v>
      </c>
      <c r="AF6" s="103">
        <v>0.248</v>
      </c>
      <c r="AG6" s="110">
        <v>0.39</v>
      </c>
      <c r="AH6" s="110">
        <v>0.34399999999999997</v>
      </c>
      <c r="AI6" s="110">
        <v>0.37</v>
      </c>
      <c r="AJ6" s="103">
        <v>0.01</v>
      </c>
      <c r="AK6" s="103">
        <v>0.47599999999999998</v>
      </c>
      <c r="AL6" s="110">
        <v>1</v>
      </c>
      <c r="AN6" s="111">
        <f t="shared" si="3"/>
        <v>0.39</v>
      </c>
      <c r="AO6" s="111">
        <f t="shared" si="4"/>
        <v>0.13416</v>
      </c>
      <c r="AP6" s="111">
        <f t="shared" si="5"/>
        <v>0.47599999999999998</v>
      </c>
      <c r="AQ6" s="111">
        <f t="shared" si="6"/>
        <v>0.52400000000000002</v>
      </c>
      <c r="AR6" s="103">
        <f t="shared" si="7"/>
        <v>0.25593984000000003</v>
      </c>
    </row>
    <row r="7" spans="2:44" x14ac:dyDescent="0.25">
      <c r="B7" s="76" t="s">
        <v>138</v>
      </c>
      <c r="C7" s="76">
        <v>41</v>
      </c>
      <c r="D7" s="76">
        <v>35</v>
      </c>
      <c r="E7" s="77">
        <v>76</v>
      </c>
      <c r="F7" s="77">
        <v>35</v>
      </c>
      <c r="G7" s="77">
        <v>2.17</v>
      </c>
      <c r="H7" s="77">
        <v>1.17</v>
      </c>
      <c r="I7" s="77">
        <v>85</v>
      </c>
      <c r="J7" s="77">
        <v>3.5</v>
      </c>
      <c r="K7" s="81">
        <f t="shared" si="2"/>
        <v>0.85365853658536583</v>
      </c>
      <c r="L7" s="81"/>
      <c r="N7" s="150"/>
      <c r="O7" s="147"/>
      <c r="P7" s="82">
        <v>2014</v>
      </c>
      <c r="Q7" s="82">
        <v>96</v>
      </c>
      <c r="R7" s="82">
        <v>55</v>
      </c>
      <c r="S7" s="82">
        <v>41</v>
      </c>
      <c r="T7" s="82">
        <v>0</v>
      </c>
      <c r="U7" s="89">
        <f t="shared" si="0"/>
        <v>0.57291666666666663</v>
      </c>
      <c r="V7" s="89">
        <f t="shared" si="1"/>
        <v>0.42708333333333337</v>
      </c>
      <c r="X7" s="6">
        <v>2011</v>
      </c>
      <c r="Y7" s="113">
        <v>10799681</v>
      </c>
      <c r="Z7" s="114">
        <v>757838</v>
      </c>
      <c r="AA7" s="114">
        <v>242805</v>
      </c>
      <c r="AB7" s="114">
        <v>32702</v>
      </c>
      <c r="AC7" s="113">
        <v>24334</v>
      </c>
      <c r="AD7" s="113">
        <v>103107</v>
      </c>
      <c r="AE7" s="113">
        <v>32702</v>
      </c>
      <c r="AF7" s="104">
        <v>0.16900000000000001</v>
      </c>
      <c r="AG7" s="115">
        <v>0.41499999999999998</v>
      </c>
      <c r="AH7" s="115">
        <v>0.33100000000000002</v>
      </c>
      <c r="AI7" s="115">
        <v>0.23400000000000001</v>
      </c>
      <c r="AJ7" s="104">
        <v>3.2000000000000001E-2</v>
      </c>
      <c r="AK7" s="104">
        <v>0.42499999999999999</v>
      </c>
      <c r="AL7" s="115">
        <v>1</v>
      </c>
      <c r="AN7" s="111">
        <f t="shared" si="3"/>
        <v>0.41499999999999998</v>
      </c>
      <c r="AO7" s="111">
        <f t="shared" si="4"/>
        <v>0.13736499999999999</v>
      </c>
      <c r="AP7" s="111">
        <f t="shared" si="5"/>
        <v>0.42499999999999999</v>
      </c>
      <c r="AQ7" s="111">
        <f t="shared" si="6"/>
        <v>0.57499999999999996</v>
      </c>
      <c r="AR7" s="103">
        <f t="shared" si="7"/>
        <v>0.25535987499999996</v>
      </c>
    </row>
    <row r="8" spans="2:44" x14ac:dyDescent="0.25">
      <c r="B8" s="76" t="s">
        <v>139</v>
      </c>
      <c r="C8" s="76">
        <v>55</v>
      </c>
      <c r="D8" s="76">
        <v>41</v>
      </c>
      <c r="E8" s="77">
        <v>96</v>
      </c>
      <c r="F8" s="77">
        <v>58</v>
      </c>
      <c r="G8" s="77">
        <v>1.66</v>
      </c>
      <c r="H8" s="77">
        <v>0.95</v>
      </c>
      <c r="I8" s="77">
        <v>105</v>
      </c>
      <c r="J8" s="77">
        <v>5.8</v>
      </c>
      <c r="K8" s="81">
        <f t="shared" si="2"/>
        <v>1.0545454545454545</v>
      </c>
      <c r="L8" s="81"/>
      <c r="N8" s="150"/>
      <c r="O8" s="147"/>
      <c r="P8" s="82">
        <v>2015</v>
      </c>
      <c r="Q8" s="82">
        <v>109</v>
      </c>
      <c r="R8" s="82">
        <v>71</v>
      </c>
      <c r="S8" s="82">
        <v>36</v>
      </c>
      <c r="T8" s="82">
        <v>2</v>
      </c>
      <c r="U8" s="89">
        <f t="shared" si="0"/>
        <v>0.66355140186915884</v>
      </c>
      <c r="V8" s="89">
        <f t="shared" si="1"/>
        <v>0.33644859813084116</v>
      </c>
      <c r="AE8" t="s">
        <v>140</v>
      </c>
      <c r="AF8" s="111">
        <f>AVERAGE(AF4:AF7)</f>
        <v>0.13425000000000001</v>
      </c>
      <c r="AG8" s="111">
        <f t="shared" ref="AG8:AL8" si="8">AVERAGE(AG4:AG7)</f>
        <v>0.48799999999999999</v>
      </c>
      <c r="AH8" s="111">
        <f t="shared" si="8"/>
        <v>0.34324999999999994</v>
      </c>
      <c r="AI8" s="111">
        <f t="shared" si="8"/>
        <v>0.35450000000000004</v>
      </c>
      <c r="AJ8" s="111">
        <f t="shared" si="8"/>
        <v>2.35E-2</v>
      </c>
      <c r="AK8" s="111">
        <f t="shared" si="8"/>
        <v>0.57299999999999995</v>
      </c>
      <c r="AL8" s="111">
        <f t="shared" si="8"/>
        <v>1</v>
      </c>
      <c r="AR8" s="111">
        <f>AVERAGE(AR4:AR7)</f>
        <v>0.358627584</v>
      </c>
    </row>
    <row r="9" spans="2:44" x14ac:dyDescent="0.25">
      <c r="B9" s="76">
        <v>2007</v>
      </c>
      <c r="C9" s="76">
        <v>27</v>
      </c>
      <c r="D9" s="76">
        <v>21</v>
      </c>
      <c r="E9" s="77">
        <v>48</v>
      </c>
      <c r="F9" s="77">
        <v>41</v>
      </c>
      <c r="G9" s="77">
        <v>1.17</v>
      </c>
      <c r="H9" s="77">
        <v>0.66</v>
      </c>
      <c r="I9" s="77">
        <v>152</v>
      </c>
      <c r="J9" s="77">
        <v>4.0999999999999996</v>
      </c>
      <c r="K9" s="81">
        <f t="shared" si="2"/>
        <v>1.5185185185185186</v>
      </c>
      <c r="L9" s="81"/>
      <c r="N9" s="149" t="s">
        <v>73</v>
      </c>
      <c r="O9" s="147" t="s">
        <v>141</v>
      </c>
      <c r="P9" s="82">
        <v>2010</v>
      </c>
      <c r="Q9" s="82">
        <v>12</v>
      </c>
      <c r="R9" s="82">
        <v>5</v>
      </c>
      <c r="S9" s="82">
        <v>7</v>
      </c>
      <c r="T9" s="82">
        <v>0</v>
      </c>
      <c r="U9" s="89">
        <f t="shared" si="0"/>
        <v>0.41666666666666669</v>
      </c>
      <c r="V9" s="89">
        <f t="shared" si="1"/>
        <v>0.58333333333333326</v>
      </c>
      <c r="X9" s="3"/>
      <c r="Y9" s="3"/>
      <c r="Z9" s="3"/>
      <c r="AA9" s="3"/>
      <c r="AB9" s="3"/>
      <c r="AC9" s="3"/>
      <c r="AD9" s="3"/>
      <c r="AE9" s="3" t="s">
        <v>142</v>
      </c>
      <c r="AF9" s="117">
        <v>0.71</v>
      </c>
      <c r="AG9" s="118">
        <v>0.24</v>
      </c>
      <c r="AH9" s="118">
        <v>0.23</v>
      </c>
      <c r="AI9" s="118">
        <v>0.25</v>
      </c>
      <c r="AJ9" s="119">
        <v>0.92</v>
      </c>
      <c r="AK9" s="119">
        <v>0.26</v>
      </c>
      <c r="AL9" s="118">
        <v>0</v>
      </c>
    </row>
    <row r="10" spans="2:44" x14ac:dyDescent="0.25">
      <c r="B10" s="76">
        <v>2008</v>
      </c>
      <c r="C10" s="76">
        <v>23</v>
      </c>
      <c r="D10" s="76">
        <v>38</v>
      </c>
      <c r="E10" s="77">
        <v>61</v>
      </c>
      <c r="F10" s="77">
        <v>15</v>
      </c>
      <c r="G10" s="77">
        <v>4.07</v>
      </c>
      <c r="H10" s="77">
        <v>1.53</v>
      </c>
      <c r="I10" s="77">
        <v>65</v>
      </c>
      <c r="J10" s="77">
        <v>1.5</v>
      </c>
      <c r="K10" s="81">
        <f t="shared" si="2"/>
        <v>0.65217391304347827</v>
      </c>
      <c r="L10" s="81"/>
      <c r="N10" s="149"/>
      <c r="O10" s="147"/>
      <c r="P10" s="82">
        <v>2011</v>
      </c>
      <c r="Q10" s="82">
        <v>7</v>
      </c>
      <c r="R10" s="82">
        <v>6</v>
      </c>
      <c r="S10" s="82">
        <v>1</v>
      </c>
      <c r="T10" s="82">
        <v>0</v>
      </c>
      <c r="U10" s="89">
        <f t="shared" si="0"/>
        <v>0.8571428571428571</v>
      </c>
      <c r="V10" s="89">
        <f t="shared" si="1"/>
        <v>0.1428571428571429</v>
      </c>
    </row>
    <row r="11" spans="2:44" x14ac:dyDescent="0.25">
      <c r="B11" s="76">
        <v>2009</v>
      </c>
      <c r="C11" s="76">
        <v>42</v>
      </c>
      <c r="D11" s="76">
        <v>38</v>
      </c>
      <c r="E11" s="77">
        <v>80</v>
      </c>
      <c r="F11" s="77">
        <v>21</v>
      </c>
      <c r="G11" s="77">
        <v>3.81</v>
      </c>
      <c r="H11" s="77">
        <v>2</v>
      </c>
      <c r="I11" s="77">
        <v>50</v>
      </c>
      <c r="J11" s="77">
        <v>2.1</v>
      </c>
      <c r="K11" s="81">
        <f t="shared" si="2"/>
        <v>0.5</v>
      </c>
      <c r="L11" s="81"/>
      <c r="N11" s="149"/>
      <c r="O11" s="147"/>
      <c r="P11" s="82">
        <v>2012</v>
      </c>
      <c r="Q11" s="82">
        <v>9</v>
      </c>
      <c r="R11" s="82">
        <v>6</v>
      </c>
      <c r="S11" s="82">
        <v>3</v>
      </c>
      <c r="T11" s="82">
        <v>0</v>
      </c>
      <c r="U11" s="89">
        <f t="shared" si="0"/>
        <v>0.66666666666666663</v>
      </c>
      <c r="V11" s="89">
        <f t="shared" si="1"/>
        <v>0.33333333333333337</v>
      </c>
      <c r="AF11" s="128"/>
    </row>
    <row r="12" spans="2:44" x14ac:dyDescent="0.25">
      <c r="B12" s="76">
        <v>2010</v>
      </c>
      <c r="C12" s="76">
        <v>85</v>
      </c>
      <c r="D12" s="76">
        <v>49</v>
      </c>
      <c r="E12" s="77">
        <v>134</v>
      </c>
      <c r="F12" s="77">
        <v>84</v>
      </c>
      <c r="G12" s="77">
        <v>1.6</v>
      </c>
      <c r="H12" s="77">
        <v>1.01</v>
      </c>
      <c r="I12" s="77">
        <v>99</v>
      </c>
      <c r="J12" s="77">
        <v>8.4</v>
      </c>
      <c r="K12" s="81">
        <f t="shared" si="2"/>
        <v>0.9882352941176471</v>
      </c>
      <c r="L12" s="81"/>
      <c r="N12" s="149"/>
      <c r="O12" s="147"/>
      <c r="P12" s="82">
        <v>2013</v>
      </c>
      <c r="Q12" s="82">
        <v>6</v>
      </c>
      <c r="R12" s="82">
        <v>3</v>
      </c>
      <c r="S12" s="82">
        <v>3</v>
      </c>
      <c r="T12" s="82">
        <v>0</v>
      </c>
      <c r="U12" s="89">
        <f t="shared" si="0"/>
        <v>0.5</v>
      </c>
      <c r="V12" s="89">
        <f t="shared" si="1"/>
        <v>0.5</v>
      </c>
    </row>
    <row r="13" spans="2:44" x14ac:dyDescent="0.25">
      <c r="B13" s="76">
        <v>2011</v>
      </c>
      <c r="C13" s="76">
        <v>75</v>
      </c>
      <c r="D13" s="76">
        <v>58</v>
      </c>
      <c r="E13" s="77">
        <v>133</v>
      </c>
      <c r="F13" s="77">
        <v>28</v>
      </c>
      <c r="G13" s="77">
        <v>4.75</v>
      </c>
      <c r="H13" s="77">
        <v>2.68</v>
      </c>
      <c r="I13" s="77">
        <v>37</v>
      </c>
      <c r="J13" s="77">
        <v>2.8</v>
      </c>
      <c r="K13" s="81">
        <f t="shared" si="2"/>
        <v>0.37333333333333335</v>
      </c>
      <c r="L13" s="81"/>
      <c r="N13" s="149"/>
      <c r="O13" s="147"/>
      <c r="P13" s="82">
        <v>2014</v>
      </c>
      <c r="Q13" s="82">
        <v>8</v>
      </c>
      <c r="R13" s="82">
        <v>3</v>
      </c>
      <c r="S13" s="82">
        <v>5</v>
      </c>
      <c r="T13" s="82">
        <v>0</v>
      </c>
      <c r="U13" s="89">
        <f t="shared" si="0"/>
        <v>0.375</v>
      </c>
      <c r="V13" s="89">
        <f t="shared" si="1"/>
        <v>0.625</v>
      </c>
      <c r="AG13" s="127"/>
    </row>
    <row r="14" spans="2:44" x14ac:dyDescent="0.25">
      <c r="B14" s="76" t="s">
        <v>143</v>
      </c>
      <c r="C14" s="76">
        <v>35</v>
      </c>
      <c r="D14" s="76">
        <v>34</v>
      </c>
      <c r="E14" s="77">
        <v>69</v>
      </c>
      <c r="F14" s="77">
        <v>22</v>
      </c>
      <c r="G14" s="77">
        <v>3.14</v>
      </c>
      <c r="H14" s="77">
        <v>1.59</v>
      </c>
      <c r="I14" s="77">
        <v>63</v>
      </c>
      <c r="J14" s="77">
        <v>2.2000000000000002</v>
      </c>
      <c r="K14" s="81">
        <f t="shared" si="2"/>
        <v>0.62857142857142856</v>
      </c>
      <c r="L14" s="81"/>
      <c r="N14" s="149"/>
      <c r="O14" s="147"/>
      <c r="P14" s="82">
        <v>2015</v>
      </c>
      <c r="Q14" s="82">
        <v>5</v>
      </c>
      <c r="R14" s="82">
        <v>4</v>
      </c>
      <c r="S14" s="82">
        <v>1</v>
      </c>
      <c r="T14" s="82">
        <v>0</v>
      </c>
      <c r="U14" s="89">
        <f t="shared" si="0"/>
        <v>0.8</v>
      </c>
      <c r="V14" s="89">
        <f t="shared" si="1"/>
        <v>0.19999999999999996</v>
      </c>
    </row>
    <row r="15" spans="2:44" x14ac:dyDescent="0.25">
      <c r="B15" s="76">
        <v>2013</v>
      </c>
      <c r="C15" s="76">
        <v>41</v>
      </c>
      <c r="D15" s="76">
        <v>22</v>
      </c>
      <c r="E15" s="77">
        <v>63</v>
      </c>
      <c r="F15" s="77">
        <v>33</v>
      </c>
      <c r="G15" s="77">
        <v>1.91</v>
      </c>
      <c r="H15" s="77">
        <v>1.24</v>
      </c>
      <c r="I15" s="77">
        <v>80</v>
      </c>
      <c r="J15" s="77">
        <v>3.3</v>
      </c>
      <c r="K15" s="81">
        <f t="shared" si="2"/>
        <v>0.80487804878048785</v>
      </c>
      <c r="L15" s="81"/>
      <c r="N15" s="149" t="s">
        <v>144</v>
      </c>
      <c r="O15" s="147" t="s">
        <v>145</v>
      </c>
      <c r="P15" s="82">
        <v>2010</v>
      </c>
      <c r="Q15" s="82">
        <v>31</v>
      </c>
      <c r="R15" s="82">
        <v>14</v>
      </c>
      <c r="S15" s="82">
        <v>17</v>
      </c>
      <c r="T15" s="82">
        <v>0</v>
      </c>
      <c r="U15" s="89">
        <f t="shared" si="0"/>
        <v>0.45161290322580644</v>
      </c>
      <c r="V15" s="89">
        <f t="shared" si="1"/>
        <v>0.54838709677419351</v>
      </c>
    </row>
    <row r="16" spans="2:44" x14ac:dyDescent="0.25">
      <c r="B16" s="76" t="s">
        <v>146</v>
      </c>
      <c r="C16" s="76">
        <v>18</v>
      </c>
      <c r="D16" s="76">
        <v>30</v>
      </c>
      <c r="E16" s="77">
        <v>48</v>
      </c>
      <c r="F16" s="76">
        <v>18</v>
      </c>
      <c r="G16" s="77">
        <v>2.67</v>
      </c>
      <c r="H16" s="76">
        <v>1</v>
      </c>
      <c r="I16" s="76">
        <v>100</v>
      </c>
      <c r="J16" s="76">
        <v>1.8</v>
      </c>
      <c r="K16" s="81">
        <f t="shared" si="2"/>
        <v>1</v>
      </c>
      <c r="L16" s="81"/>
      <c r="N16" s="149"/>
      <c r="O16" s="147"/>
      <c r="P16" s="82">
        <v>2011</v>
      </c>
      <c r="Q16" s="82">
        <v>30</v>
      </c>
      <c r="R16" s="82">
        <v>14</v>
      </c>
      <c r="S16" s="82">
        <v>15</v>
      </c>
      <c r="T16" s="82">
        <v>1</v>
      </c>
      <c r="U16" s="89">
        <f t="shared" si="0"/>
        <v>0.48275862068965519</v>
      </c>
      <c r="V16" s="89">
        <f t="shared" si="1"/>
        <v>0.51724137931034475</v>
      </c>
    </row>
    <row r="17" spans="2:22" x14ac:dyDescent="0.25">
      <c r="B17" s="76" t="s">
        <v>147</v>
      </c>
      <c r="C17" s="76">
        <v>34</v>
      </c>
      <c r="D17" s="76">
        <v>33</v>
      </c>
      <c r="E17" s="77">
        <v>67</v>
      </c>
      <c r="F17" s="76">
        <v>49</v>
      </c>
      <c r="G17" s="77">
        <v>1.37</v>
      </c>
      <c r="H17" s="76">
        <v>0.69</v>
      </c>
      <c r="I17" s="76">
        <v>144</v>
      </c>
      <c r="J17" s="76">
        <v>4.9000000000000004</v>
      </c>
      <c r="K17" s="81">
        <f t="shared" si="2"/>
        <v>1.4411764705882353</v>
      </c>
      <c r="L17" s="81"/>
      <c r="N17" s="149"/>
      <c r="O17" s="147"/>
      <c r="P17" s="82">
        <v>2012</v>
      </c>
      <c r="Q17" s="82">
        <v>34</v>
      </c>
      <c r="R17" s="82">
        <v>18</v>
      </c>
      <c r="S17" s="82">
        <v>16</v>
      </c>
      <c r="T17" s="82">
        <v>0</v>
      </c>
      <c r="U17" s="89">
        <f t="shared" si="0"/>
        <v>0.52941176470588236</v>
      </c>
      <c r="V17" s="89">
        <f t="shared" si="1"/>
        <v>0.47058823529411764</v>
      </c>
    </row>
    <row r="18" spans="2:22" x14ac:dyDescent="0.25">
      <c r="B18" s="76">
        <v>2016</v>
      </c>
      <c r="C18" s="76">
        <v>53</v>
      </c>
      <c r="D18" s="76">
        <v>29</v>
      </c>
      <c r="E18" s="77">
        <v>82</v>
      </c>
      <c r="F18" s="76">
        <v>63</v>
      </c>
      <c r="G18" s="77">
        <v>1.3</v>
      </c>
      <c r="H18" s="76">
        <v>0.84</v>
      </c>
      <c r="I18" s="76">
        <v>119</v>
      </c>
      <c r="J18" s="76">
        <v>6.3</v>
      </c>
      <c r="K18" s="81">
        <f t="shared" si="2"/>
        <v>1.1886792452830188</v>
      </c>
      <c r="L18" s="81"/>
      <c r="N18" s="149"/>
      <c r="O18" s="147"/>
      <c r="P18" s="82">
        <v>2013</v>
      </c>
      <c r="Q18" s="82">
        <v>28</v>
      </c>
      <c r="R18" s="82">
        <v>14</v>
      </c>
      <c r="S18" s="82">
        <v>14</v>
      </c>
      <c r="T18" s="82">
        <v>0</v>
      </c>
      <c r="U18" s="89">
        <f t="shared" si="0"/>
        <v>0.5</v>
      </c>
      <c r="V18" s="89">
        <f t="shared" si="1"/>
        <v>0.5</v>
      </c>
    </row>
    <row r="19" spans="2:22" ht="15.75" thickBot="1" x14ac:dyDescent="0.3">
      <c r="B19" s="75">
        <v>2017</v>
      </c>
      <c r="C19" s="75" t="s">
        <v>56</v>
      </c>
      <c r="D19" s="75" t="s">
        <v>56</v>
      </c>
      <c r="E19" s="75" t="s">
        <v>56</v>
      </c>
      <c r="F19" s="75" t="s">
        <v>56</v>
      </c>
      <c r="G19" s="78">
        <v>3.51</v>
      </c>
      <c r="H19" s="75" t="s">
        <v>56</v>
      </c>
      <c r="I19" s="75" t="s">
        <v>56</v>
      </c>
      <c r="J19" s="75" t="s">
        <v>56</v>
      </c>
      <c r="K19" s="81" t="e">
        <f t="shared" si="2"/>
        <v>#VALUE!</v>
      </c>
      <c r="L19" s="81"/>
      <c r="N19" s="149"/>
      <c r="O19" s="147"/>
      <c r="P19" s="82">
        <v>2014</v>
      </c>
      <c r="Q19" s="82">
        <v>18</v>
      </c>
      <c r="R19" s="82">
        <v>8</v>
      </c>
      <c r="S19" s="82">
        <v>10</v>
      </c>
      <c r="T19" s="82">
        <v>0</v>
      </c>
      <c r="U19" s="89">
        <f t="shared" si="0"/>
        <v>0.44444444444444442</v>
      </c>
      <c r="V19" s="89">
        <f t="shared" si="1"/>
        <v>0.55555555555555558</v>
      </c>
    </row>
    <row r="20" spans="2:22" x14ac:dyDescent="0.25">
      <c r="J20" t="s">
        <v>148</v>
      </c>
      <c r="K20" s="81">
        <f>AVERAGE(K4:K18)</f>
        <v>0.89187638810235537</v>
      </c>
      <c r="L20" s="81"/>
      <c r="N20" s="149"/>
      <c r="O20" s="147"/>
      <c r="P20" s="82">
        <v>2015</v>
      </c>
      <c r="Q20" s="82">
        <v>32</v>
      </c>
      <c r="R20" s="82">
        <v>21</v>
      </c>
      <c r="S20" s="82">
        <v>11</v>
      </c>
      <c r="T20" s="82">
        <v>0</v>
      </c>
      <c r="U20" s="89">
        <f t="shared" si="0"/>
        <v>0.65625</v>
      </c>
      <c r="V20" s="89">
        <f t="shared" si="1"/>
        <v>0.34375</v>
      </c>
    </row>
    <row r="21" spans="2:22" x14ac:dyDescent="0.25">
      <c r="J21" t="s">
        <v>149</v>
      </c>
      <c r="K21" s="81">
        <f>MEDIAN(K4:K18)</f>
        <v>0.85365853658536583</v>
      </c>
      <c r="L21" s="81"/>
      <c r="N21" s="149" t="s">
        <v>7</v>
      </c>
      <c r="O21" s="147" t="s">
        <v>150</v>
      </c>
      <c r="P21" s="82">
        <v>2010</v>
      </c>
      <c r="Q21" s="82">
        <v>19</v>
      </c>
      <c r="R21" s="82">
        <v>9</v>
      </c>
      <c r="S21" s="82">
        <v>10</v>
      </c>
      <c r="T21" s="82">
        <v>0</v>
      </c>
      <c r="U21" s="89">
        <f t="shared" si="0"/>
        <v>0.47368421052631576</v>
      </c>
      <c r="V21" s="89">
        <f t="shared" si="1"/>
        <v>0.52631578947368429</v>
      </c>
    </row>
    <row r="22" spans="2:22" x14ac:dyDescent="0.25">
      <c r="N22" s="149"/>
      <c r="O22" s="147"/>
      <c r="P22" s="82">
        <v>2011</v>
      </c>
      <c r="Q22" s="82">
        <v>23</v>
      </c>
      <c r="R22" s="82">
        <v>8</v>
      </c>
      <c r="S22" s="82">
        <v>14</v>
      </c>
      <c r="T22" s="82">
        <v>1</v>
      </c>
      <c r="U22" s="89">
        <f t="shared" si="0"/>
        <v>0.36363636363636365</v>
      </c>
      <c r="V22" s="89">
        <f t="shared" si="1"/>
        <v>0.63636363636363635</v>
      </c>
    </row>
    <row r="23" spans="2:22" x14ac:dyDescent="0.25">
      <c r="N23" s="149"/>
      <c r="O23" s="147"/>
      <c r="P23" s="82">
        <v>2012</v>
      </c>
      <c r="Q23" s="82">
        <v>20</v>
      </c>
      <c r="R23" s="82">
        <v>10</v>
      </c>
      <c r="S23" s="82">
        <v>10</v>
      </c>
      <c r="T23" s="82">
        <v>0</v>
      </c>
      <c r="U23" s="89">
        <f t="shared" si="0"/>
        <v>0.5</v>
      </c>
      <c r="V23" s="89">
        <f t="shared" si="1"/>
        <v>0.5</v>
      </c>
    </row>
    <row r="24" spans="2:22" x14ac:dyDescent="0.25">
      <c r="N24" s="149"/>
      <c r="O24" s="147"/>
      <c r="P24" s="82">
        <v>2013</v>
      </c>
      <c r="Q24" s="82">
        <v>18</v>
      </c>
      <c r="R24" s="82">
        <v>9</v>
      </c>
      <c r="S24" s="82">
        <v>9</v>
      </c>
      <c r="T24" s="82">
        <v>0</v>
      </c>
      <c r="U24" s="89">
        <f t="shared" si="0"/>
        <v>0.5</v>
      </c>
      <c r="V24" s="89">
        <f t="shared" si="1"/>
        <v>0.5</v>
      </c>
    </row>
    <row r="25" spans="2:22" x14ac:dyDescent="0.25">
      <c r="N25" s="149"/>
      <c r="O25" s="147"/>
      <c r="P25" s="82">
        <v>2014</v>
      </c>
      <c r="Q25" s="82">
        <v>6</v>
      </c>
      <c r="R25" s="82">
        <v>1</v>
      </c>
      <c r="S25" s="82">
        <v>5</v>
      </c>
      <c r="T25" s="82">
        <v>0</v>
      </c>
      <c r="U25" s="89">
        <f t="shared" si="0"/>
        <v>0.16666666666666666</v>
      </c>
      <c r="V25" s="89">
        <f t="shared" si="1"/>
        <v>0.83333333333333337</v>
      </c>
    </row>
    <row r="26" spans="2:22" x14ac:dyDescent="0.25">
      <c r="N26" s="149"/>
      <c r="O26" s="147"/>
      <c r="P26" s="82">
        <v>2015</v>
      </c>
      <c r="Q26" s="82">
        <v>19</v>
      </c>
      <c r="R26" s="82">
        <v>12</v>
      </c>
      <c r="S26" s="82">
        <v>7</v>
      </c>
      <c r="T26" s="82">
        <v>0</v>
      </c>
      <c r="U26" s="89">
        <f t="shared" si="0"/>
        <v>0.63157894736842102</v>
      </c>
      <c r="V26" s="89">
        <f t="shared" si="1"/>
        <v>0.36842105263157898</v>
      </c>
    </row>
    <row r="27" spans="2:22" x14ac:dyDescent="0.25">
      <c r="N27" s="148" t="s">
        <v>76</v>
      </c>
      <c r="O27" s="147" t="s">
        <v>77</v>
      </c>
      <c r="P27" s="82">
        <v>2012</v>
      </c>
      <c r="Q27" s="82">
        <v>5</v>
      </c>
      <c r="R27" s="82">
        <v>2</v>
      </c>
      <c r="S27" s="82">
        <v>3</v>
      </c>
      <c r="T27" s="82">
        <v>0</v>
      </c>
      <c r="U27" s="89">
        <f t="shared" si="0"/>
        <v>0.4</v>
      </c>
      <c r="V27" s="89">
        <f t="shared" si="1"/>
        <v>0.6</v>
      </c>
    </row>
    <row r="28" spans="2:22" x14ac:dyDescent="0.25">
      <c r="N28" s="148"/>
      <c r="O28" s="147"/>
      <c r="P28" s="82">
        <v>2013</v>
      </c>
      <c r="Q28" s="82">
        <v>4</v>
      </c>
      <c r="R28" s="82">
        <v>2</v>
      </c>
      <c r="S28" s="82">
        <v>2</v>
      </c>
      <c r="T28" s="82">
        <v>0</v>
      </c>
      <c r="U28" s="89">
        <f t="shared" si="0"/>
        <v>0.5</v>
      </c>
      <c r="V28" s="89">
        <f t="shared" si="1"/>
        <v>0.5</v>
      </c>
    </row>
    <row r="29" spans="2:22" x14ac:dyDescent="0.25">
      <c r="B29" s="96" t="s">
        <v>151</v>
      </c>
      <c r="C29" s="96"/>
      <c r="D29" s="96"/>
      <c r="E29" s="2"/>
      <c r="N29" s="148"/>
      <c r="O29" s="147"/>
      <c r="P29" s="82">
        <v>2014</v>
      </c>
      <c r="Q29" s="82">
        <v>4</v>
      </c>
      <c r="R29" s="82">
        <v>4</v>
      </c>
      <c r="S29" s="82">
        <v>0</v>
      </c>
      <c r="T29" s="82">
        <v>0</v>
      </c>
      <c r="U29" s="89">
        <f t="shared" si="0"/>
        <v>1</v>
      </c>
      <c r="V29" s="89">
        <f t="shared" si="1"/>
        <v>0</v>
      </c>
    </row>
    <row r="30" spans="2:22" x14ac:dyDescent="0.25">
      <c r="B30" s="97" t="s">
        <v>118</v>
      </c>
      <c r="C30" s="97" t="s">
        <v>152</v>
      </c>
      <c r="D30" s="97" t="s">
        <v>153</v>
      </c>
      <c r="E30" s="97" t="s">
        <v>154</v>
      </c>
      <c r="N30" s="148"/>
      <c r="O30" s="147"/>
      <c r="P30" s="82">
        <v>2015</v>
      </c>
      <c r="Q30" s="82">
        <v>8</v>
      </c>
      <c r="R30" s="82">
        <v>5</v>
      </c>
      <c r="S30" s="82">
        <v>3</v>
      </c>
      <c r="T30" s="82">
        <v>0</v>
      </c>
      <c r="U30" s="89">
        <f t="shared" si="0"/>
        <v>0.625</v>
      </c>
      <c r="V30" s="89">
        <f t="shared" si="1"/>
        <v>0.375</v>
      </c>
    </row>
    <row r="31" spans="2:22" ht="14.45" customHeight="1" x14ac:dyDescent="0.25">
      <c r="B31" s="4">
        <v>2017</v>
      </c>
      <c r="C31" s="4">
        <v>6431</v>
      </c>
      <c r="D31" s="4">
        <v>0.93100000000000005</v>
      </c>
      <c r="E31" s="92">
        <f>C31*D31</f>
        <v>5987.2610000000004</v>
      </c>
      <c r="N31" s="148" t="s">
        <v>0</v>
      </c>
      <c r="O31" s="147" t="s">
        <v>78</v>
      </c>
      <c r="P31" s="82">
        <v>2013</v>
      </c>
      <c r="Q31" s="82">
        <v>4</v>
      </c>
      <c r="R31" s="82">
        <v>3</v>
      </c>
      <c r="S31" s="82">
        <v>1</v>
      </c>
      <c r="T31" s="82">
        <v>0</v>
      </c>
      <c r="U31" s="89">
        <f t="shared" si="0"/>
        <v>0.75</v>
      </c>
      <c r="V31" s="89">
        <f t="shared" si="1"/>
        <v>0.25</v>
      </c>
    </row>
    <row r="32" spans="2:22" x14ac:dyDescent="0.25">
      <c r="B32" s="4">
        <v>2016</v>
      </c>
      <c r="C32" s="4">
        <v>5113</v>
      </c>
      <c r="D32" s="4">
        <v>0.96499999999999997</v>
      </c>
      <c r="E32" s="92">
        <f t="shared" ref="E32:E37" si="9">C32*D32</f>
        <v>4934.0450000000001</v>
      </c>
      <c r="N32" s="148"/>
      <c r="O32" s="147"/>
      <c r="P32" s="82">
        <v>2015</v>
      </c>
      <c r="Q32" s="82">
        <v>5</v>
      </c>
      <c r="R32" s="82">
        <v>4</v>
      </c>
      <c r="S32" s="82">
        <v>1</v>
      </c>
      <c r="T32" s="82">
        <v>0</v>
      </c>
      <c r="U32" s="89">
        <f t="shared" si="0"/>
        <v>0.8</v>
      </c>
      <c r="V32" s="89">
        <f t="shared" si="1"/>
        <v>0.19999999999999996</v>
      </c>
    </row>
    <row r="33" spans="2:22" x14ac:dyDescent="0.25">
      <c r="B33" s="4">
        <v>2015</v>
      </c>
      <c r="C33" s="4">
        <v>5215</v>
      </c>
      <c r="D33" s="4">
        <v>0.92200000000000004</v>
      </c>
      <c r="E33" s="92">
        <f t="shared" si="9"/>
        <v>4808.2300000000005</v>
      </c>
      <c r="N33" s="148" t="s">
        <v>5</v>
      </c>
      <c r="O33" s="147" t="s">
        <v>155</v>
      </c>
      <c r="P33" s="82">
        <v>2011</v>
      </c>
      <c r="Q33" s="82">
        <v>8</v>
      </c>
      <c r="R33" s="82">
        <v>4</v>
      </c>
      <c r="S33" s="82">
        <v>4</v>
      </c>
      <c r="T33" s="82">
        <v>0</v>
      </c>
      <c r="U33" s="89">
        <f t="shared" si="0"/>
        <v>0.5</v>
      </c>
      <c r="V33" s="89">
        <f t="shared" si="1"/>
        <v>0.5</v>
      </c>
    </row>
    <row r="34" spans="2:22" x14ac:dyDescent="0.25">
      <c r="B34" s="4">
        <v>2014</v>
      </c>
      <c r="C34" s="4">
        <v>4982</v>
      </c>
      <c r="D34" s="4">
        <v>0.94099999999999995</v>
      </c>
      <c r="E34" s="92">
        <f t="shared" si="9"/>
        <v>4688.0619999999999</v>
      </c>
      <c r="N34" s="148"/>
      <c r="O34" s="147"/>
      <c r="P34" s="82">
        <v>2012</v>
      </c>
      <c r="Q34" s="82">
        <v>11</v>
      </c>
      <c r="R34" s="82">
        <v>9</v>
      </c>
      <c r="S34" s="82">
        <v>1</v>
      </c>
      <c r="T34" s="82">
        <v>1</v>
      </c>
      <c r="U34" s="89">
        <f t="shared" si="0"/>
        <v>0.9</v>
      </c>
      <c r="V34" s="89">
        <f t="shared" si="1"/>
        <v>9.9999999999999978E-2</v>
      </c>
    </row>
    <row r="35" spans="2:22" ht="14.45" customHeight="1" x14ac:dyDescent="0.25">
      <c r="B35" s="4">
        <v>2013</v>
      </c>
      <c r="C35" s="4">
        <v>5594</v>
      </c>
      <c r="D35" s="4">
        <v>0.94699999999999995</v>
      </c>
      <c r="E35" s="92">
        <f t="shared" si="9"/>
        <v>5297.518</v>
      </c>
      <c r="N35" s="148"/>
      <c r="O35" s="147"/>
      <c r="P35" s="82">
        <v>2013</v>
      </c>
      <c r="Q35" s="82">
        <v>6</v>
      </c>
      <c r="R35" s="82">
        <v>4</v>
      </c>
      <c r="S35" s="82">
        <v>2</v>
      </c>
      <c r="T35" s="82">
        <v>0</v>
      </c>
      <c r="U35" s="89">
        <f t="shared" si="0"/>
        <v>0.66666666666666663</v>
      </c>
      <c r="V35" s="89">
        <f t="shared" si="1"/>
        <v>0.33333333333333337</v>
      </c>
    </row>
    <row r="36" spans="2:22" x14ac:dyDescent="0.25">
      <c r="B36" s="4">
        <v>2012</v>
      </c>
      <c r="C36" s="4">
        <v>5158</v>
      </c>
      <c r="D36" s="4">
        <v>0.95299999999999996</v>
      </c>
      <c r="E36" s="92">
        <f t="shared" si="9"/>
        <v>4915.5739999999996</v>
      </c>
      <c r="N36" s="148"/>
      <c r="O36" s="147"/>
      <c r="P36" s="82">
        <v>2014</v>
      </c>
      <c r="Q36" s="82">
        <v>18</v>
      </c>
      <c r="R36" s="82">
        <v>13</v>
      </c>
      <c r="S36" s="82">
        <v>5</v>
      </c>
      <c r="T36" s="82">
        <v>0</v>
      </c>
      <c r="U36" s="89">
        <f t="shared" si="0"/>
        <v>0.72222222222222221</v>
      </c>
      <c r="V36" s="89">
        <f t="shared" si="1"/>
        <v>0.27777777777777779</v>
      </c>
    </row>
    <row r="37" spans="2:22" x14ac:dyDescent="0.25">
      <c r="B37" s="6">
        <v>2011</v>
      </c>
      <c r="C37" s="6">
        <v>5248</v>
      </c>
      <c r="D37" s="6">
        <v>0.90100000000000002</v>
      </c>
      <c r="E37" s="93">
        <f t="shared" si="9"/>
        <v>4728.4480000000003</v>
      </c>
      <c r="N37" s="148"/>
      <c r="O37" s="147"/>
      <c r="P37" s="82">
        <v>2015</v>
      </c>
      <c r="Q37" s="82">
        <v>11</v>
      </c>
      <c r="R37" s="82">
        <v>9</v>
      </c>
      <c r="S37" s="82">
        <v>1</v>
      </c>
      <c r="T37" s="82">
        <v>1</v>
      </c>
      <c r="U37" s="89">
        <f t="shared" si="0"/>
        <v>0.9</v>
      </c>
      <c r="V37" s="89">
        <f t="shared" si="1"/>
        <v>9.9999999999999978E-2</v>
      </c>
    </row>
    <row r="38" spans="2:22" x14ac:dyDescent="0.25">
      <c r="B38" s="17" t="s">
        <v>148</v>
      </c>
      <c r="C38" s="94">
        <f>AVERAGE(C31:C37)</f>
        <v>5391.5714285714284</v>
      </c>
      <c r="D38" s="95">
        <f t="shared" ref="D38:E38" si="10">AVERAGE(D31:D37)</f>
        <v>0.93714285714285706</v>
      </c>
      <c r="E38" s="94">
        <f t="shared" si="10"/>
        <v>5051.3054285714288</v>
      </c>
      <c r="N38" s="148" t="s">
        <v>2</v>
      </c>
      <c r="O38" s="147" t="s">
        <v>156</v>
      </c>
      <c r="P38" s="82">
        <v>2010</v>
      </c>
      <c r="Q38" s="82">
        <v>44</v>
      </c>
      <c r="R38" s="82">
        <v>22</v>
      </c>
      <c r="S38" s="82">
        <v>21</v>
      </c>
      <c r="T38" s="82">
        <v>1</v>
      </c>
      <c r="U38" s="89">
        <f t="shared" si="0"/>
        <v>0.51162790697674421</v>
      </c>
      <c r="V38" s="89">
        <f t="shared" si="1"/>
        <v>0.48837209302325579</v>
      </c>
    </row>
    <row r="39" spans="2:22" x14ac:dyDescent="0.25">
      <c r="N39" s="148"/>
      <c r="O39" s="147"/>
      <c r="P39" s="82">
        <v>2011</v>
      </c>
      <c r="Q39" s="82">
        <v>33</v>
      </c>
      <c r="R39" s="82">
        <v>20</v>
      </c>
      <c r="S39" s="82">
        <v>13</v>
      </c>
      <c r="T39" s="82">
        <v>0</v>
      </c>
      <c r="U39" s="89">
        <f t="shared" si="0"/>
        <v>0.60606060606060608</v>
      </c>
      <c r="V39" s="89">
        <f t="shared" si="1"/>
        <v>0.39393939393939392</v>
      </c>
    </row>
    <row r="40" spans="2:22" x14ac:dyDescent="0.25">
      <c r="B40" s="96" t="s">
        <v>4</v>
      </c>
      <c r="C40" s="3"/>
      <c r="D40" s="3"/>
      <c r="E40" s="3"/>
      <c r="N40" s="148"/>
      <c r="O40" s="147"/>
      <c r="P40" s="82">
        <v>2012</v>
      </c>
      <c r="Q40" s="82">
        <v>36</v>
      </c>
      <c r="R40" s="82">
        <v>26</v>
      </c>
      <c r="S40" s="82">
        <v>10</v>
      </c>
      <c r="T40" s="82">
        <v>0</v>
      </c>
      <c r="U40" s="89">
        <f t="shared" si="0"/>
        <v>0.72222222222222221</v>
      </c>
      <c r="V40" s="89">
        <f t="shared" si="1"/>
        <v>0.27777777777777779</v>
      </c>
    </row>
    <row r="41" spans="2:22" x14ac:dyDescent="0.25">
      <c r="B41" s="17" t="s">
        <v>148</v>
      </c>
      <c r="C41" s="94"/>
      <c r="D41" s="94"/>
      <c r="E41" s="94">
        <v>4800</v>
      </c>
      <c r="N41" s="148"/>
      <c r="O41" s="147"/>
      <c r="P41" s="82">
        <v>2013</v>
      </c>
      <c r="Q41" s="82">
        <v>51</v>
      </c>
      <c r="R41" s="82">
        <v>33</v>
      </c>
      <c r="S41" s="82">
        <v>18</v>
      </c>
      <c r="T41" s="82">
        <v>0</v>
      </c>
      <c r="U41" s="89">
        <f t="shared" si="0"/>
        <v>0.6470588235294118</v>
      </c>
      <c r="V41" s="89">
        <f t="shared" si="1"/>
        <v>0.3529411764705882</v>
      </c>
    </row>
    <row r="42" spans="2:22" x14ac:dyDescent="0.25">
      <c r="N42" s="148"/>
      <c r="O42" s="147"/>
      <c r="P42" s="82">
        <v>2014</v>
      </c>
      <c r="Q42" s="82">
        <v>33</v>
      </c>
      <c r="R42" s="82">
        <v>22</v>
      </c>
      <c r="S42" s="82">
        <v>11</v>
      </c>
      <c r="T42" s="82">
        <v>0</v>
      </c>
      <c r="U42" s="89">
        <f t="shared" si="0"/>
        <v>0.66666666666666663</v>
      </c>
      <c r="V42" s="89">
        <f t="shared" si="1"/>
        <v>0.33333333333333337</v>
      </c>
    </row>
    <row r="43" spans="2:22" x14ac:dyDescent="0.25">
      <c r="N43" s="148"/>
      <c r="O43" s="147"/>
      <c r="P43" s="82">
        <v>2015</v>
      </c>
      <c r="Q43" s="82">
        <v>31</v>
      </c>
      <c r="R43" s="82">
        <v>20</v>
      </c>
      <c r="S43" s="82">
        <v>11</v>
      </c>
      <c r="T43" s="82">
        <v>0</v>
      </c>
      <c r="U43" s="89">
        <f t="shared" si="0"/>
        <v>0.64516129032258063</v>
      </c>
      <c r="V43" s="89">
        <f t="shared" si="1"/>
        <v>0.35483870967741937</v>
      </c>
    </row>
    <row r="44" spans="2:22" x14ac:dyDescent="0.25">
      <c r="N44" s="91" t="s">
        <v>157</v>
      </c>
      <c r="O44" s="88" t="s">
        <v>158</v>
      </c>
      <c r="P44" s="87">
        <v>2014</v>
      </c>
      <c r="Q44" s="87">
        <v>8</v>
      </c>
      <c r="R44" s="87">
        <v>5</v>
      </c>
      <c r="S44" s="87">
        <v>3</v>
      </c>
      <c r="T44" s="87">
        <v>0</v>
      </c>
      <c r="U44" s="90">
        <f t="shared" si="0"/>
        <v>0.625</v>
      </c>
      <c r="V44" s="90">
        <f t="shared" si="1"/>
        <v>0.375</v>
      </c>
    </row>
    <row r="45" spans="2:22" x14ac:dyDescent="0.25">
      <c r="N45" s="84"/>
      <c r="O45" s="85"/>
      <c r="P45" s="82" t="s">
        <v>159</v>
      </c>
      <c r="Q45" s="82">
        <f>SUM(Q3:Q8,Q27:Q44)</f>
        <v>744</v>
      </c>
      <c r="R45" s="82">
        <f t="shared" ref="R45:T45" si="11">SUM(R3:R8,R27:R44)</f>
        <v>458</v>
      </c>
      <c r="S45" s="82">
        <f t="shared" si="11"/>
        <v>278</v>
      </c>
      <c r="T45" s="82">
        <f t="shared" si="11"/>
        <v>8</v>
      </c>
      <c r="U45" s="107">
        <f>R45/(R45+S45)</f>
        <v>0.62228260869565222</v>
      </c>
      <c r="V45" s="89">
        <f t="shared" si="1"/>
        <v>0.37771739130434778</v>
      </c>
    </row>
    <row r="46" spans="2:22" x14ac:dyDescent="0.25">
      <c r="N46" s="84"/>
      <c r="O46" s="85"/>
    </row>
    <row r="47" spans="2:22" x14ac:dyDescent="0.25">
      <c r="N47" s="84"/>
      <c r="O47" s="85"/>
    </row>
    <row r="48" spans="2:22" x14ac:dyDescent="0.25">
      <c r="N48" s="84"/>
      <c r="O48" s="85"/>
    </row>
    <row r="49" spans="14:15" x14ac:dyDescent="0.25">
      <c r="N49" s="84"/>
      <c r="O49" s="85"/>
    </row>
    <row r="50" spans="14:15" x14ac:dyDescent="0.25">
      <c r="N50" s="84"/>
      <c r="O50" s="85"/>
    </row>
    <row r="51" spans="14:15" x14ac:dyDescent="0.25">
      <c r="N51" s="84"/>
      <c r="O51" s="85"/>
    </row>
    <row r="52" spans="14:15" x14ac:dyDescent="0.25">
      <c r="N52" s="84"/>
      <c r="O52" s="85"/>
    </row>
  </sheetData>
  <mergeCells count="19">
    <mergeCell ref="N9:N14"/>
    <mergeCell ref="N15:N20"/>
    <mergeCell ref="O15:O20"/>
    <mergeCell ref="Y2:AE2"/>
    <mergeCell ref="AF2:AL2"/>
    <mergeCell ref="X1:AL1"/>
    <mergeCell ref="O38:O43"/>
    <mergeCell ref="N38:N43"/>
    <mergeCell ref="O21:O26"/>
    <mergeCell ref="N21:N26"/>
    <mergeCell ref="N27:N30"/>
    <mergeCell ref="O27:O30"/>
    <mergeCell ref="N31:N32"/>
    <mergeCell ref="N33:N37"/>
    <mergeCell ref="O33:O37"/>
    <mergeCell ref="O31:O32"/>
    <mergeCell ref="N3:N8"/>
    <mergeCell ref="O3:O8"/>
    <mergeCell ref="O9:O14"/>
  </mergeCells>
  <pageMargins left="0.7" right="0.7" top="0.75" bottom="0.75" header="0.3" footer="0.3"/>
  <pageSetup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8E37BF5CDE70E44918BA3D6852ABD17" ma:contentTypeVersion="6" ma:contentTypeDescription="Create a new document." ma:contentTypeScope="" ma:versionID="39654fe41a0d2494ed6c556845a7b1b8">
  <xsd:schema xmlns:xsd="http://www.w3.org/2001/XMLSchema" xmlns:xs="http://www.w3.org/2001/XMLSchema" xmlns:p="http://schemas.microsoft.com/office/2006/metadata/properties" xmlns:ns2="97b3c361-b5cd-453a-a017-9c4006e6bd95" targetNamespace="http://schemas.microsoft.com/office/2006/metadata/properties" ma:root="true" ma:fieldsID="af2be495823e1a105bb1a526a24555b4" ns2:_="">
    <xsd:import namespace="97b3c361-b5cd-453a-a017-9c4006e6bd9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b3c361-b5cd-453a-a017-9c4006e6bd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8CD428-1A01-4F64-BF77-E66C65F3C736}">
  <ds:schemaRefs>
    <ds:schemaRef ds:uri="http://schemas.microsoft.com/sharepoint/v3/contenttype/forms"/>
  </ds:schemaRefs>
</ds:datastoreItem>
</file>

<file path=customXml/itemProps2.xml><?xml version="1.0" encoding="utf-8"?>
<ds:datastoreItem xmlns:ds="http://schemas.openxmlformats.org/officeDocument/2006/customXml" ds:itemID="{CE198F89-5225-4459-B47D-AC9B5D2A13D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234DD72-610D-43BD-BBB8-FA069AD41D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b3c361-b5cd-453a-a017-9c4006e6bd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Escapement Data - Chinook</vt:lpstr>
      <vt:lpstr>Chinook Parameters</vt:lpstr>
      <vt:lpstr>Escapement Data - Steelhead</vt:lpstr>
      <vt:lpstr>Steelhead Parameters</vt:lpstr>
      <vt:lpstr>eggsToParrSthd</vt:lpstr>
      <vt:lpstr>eggToParr</vt:lpstr>
      <vt:lpstr>eggToParrSthd</vt:lpstr>
      <vt:lpstr>fecundity</vt:lpstr>
      <vt:lpstr>fecunditySthd</vt:lpstr>
      <vt:lpstr>femaleRatio</vt:lpstr>
      <vt:lpstr>femaleRatioSthd</vt:lpstr>
      <vt:lpstr>parrToPresmolt</vt:lpstr>
      <vt:lpstr>parrToPresmoltSthd</vt:lpstr>
      <vt:lpstr>reddsPerFemale</vt:lpstr>
      <vt:lpstr>reddsPerFemaleSthd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2020-10-29T18:20:57Z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0x01010048E37BF5CDE70E44918BA3D6852ABD17</vt:lpwstr>
  </property>
</Properties>
</file>