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Kelley\"/>
    </mc:Choice>
  </mc:AlternateContent>
  <xr:revisionPtr revIDLastSave="782" documentId="8_{3943F5C8-CFB7-4F88-A9AD-C049CCD21CA4}" xr6:coauthVersionLast="45" xr6:coauthVersionMax="45" xr10:uidLastSave="{35438C07-056C-4322-977A-B005FDECAD26}"/>
  <bookViews>
    <workbookView xWindow="-36615" yWindow="1260" windowWidth="42675" windowHeight="15225" firstSheet="8" activeTab="8" xr2:uid="{EE4E1888-6CD4-4762-88CC-6663F10B4B0B}"/>
  </bookViews>
  <sheets>
    <sheet name="Option Payoffs" sheetId="1" r:id="rId1"/>
    <sheet name="Option Strategy Diagrams" sheetId="5" r:id="rId2"/>
    <sheet name="The Tree" sheetId="4" r:id="rId3"/>
    <sheet name="Notes on Trades" sheetId="2" r:id="rId4"/>
    <sheet name="Option Trading strategies" sheetId="3" r:id="rId5"/>
    <sheet name="Sheet2" sheetId="8" r:id="rId6"/>
    <sheet name="Black-Scholes for Call and Puts" sheetId="9" r:id="rId7"/>
    <sheet name="Binomial Calc" sheetId="10" r:id="rId8"/>
    <sheet name="Black-Scholes Option Pricing" sheetId="13" r:id="rId9"/>
  </sheets>
  <externalReferences>
    <externalReference r:id="rId10"/>
    <externalReference r:id="rId11"/>
  </externalReferences>
  <definedNames>
    <definedName name="Annaul_Dividend_Yield">'The Tree'!$B$5</definedName>
    <definedName name="Annual_Risk_free_Rate">'The Tree'!$B$6</definedName>
    <definedName name="Annual_Volatility_of_Returns">'The Tree'!$B$4</definedName>
    <definedName name="Call_Price">'Option Payoffs'!$B$1</definedName>
    <definedName name="Call_Strike">'Option Payoffs'!$B$2</definedName>
    <definedName name="ctrl_OptionSelection">'Black-Scholes Option Pricing'!$AM$7</definedName>
    <definedName name="ctrl_OptionSelectionNumber">[2]Hidden!$A$6</definedName>
    <definedName name="Current_Stock_Price">'The Tree'!$B$3</definedName>
    <definedName name="delta">#REF!</definedName>
    <definedName name="discount_rate">'The Tree'!$B$19</definedName>
    <definedName name="div">#REF!</definedName>
    <definedName name="Down">'The Tree'!$B$16</definedName>
    <definedName name="expected">#REF!</definedName>
    <definedName name="inputs_OptionSelection">'Black-Scholes Option Pricing'!$B$2</definedName>
    <definedName name="Length_of_each_time_step">'The Tree'!$B$13</definedName>
    <definedName name="list_OptionSelection">'Black-Scholes Option Pricing'!$AM$3:$AM$4</definedName>
    <definedName name="No._of_periods">#REF!</definedName>
    <definedName name="No._of_years">#REF!</definedName>
    <definedName name="Periods_per_year">#REF!</definedName>
    <definedName name="phi">[1]Sheet1!$F$11</definedName>
    <definedName name="psi">[1]Sheet1!$F$12</definedName>
    <definedName name="Put_Price">'Option Payoffs'!$B$4</definedName>
    <definedName name="Put_Strike">'Option Payoffs'!$B$5</definedName>
    <definedName name="RF">[1]Sheet1!$D$2</definedName>
    <definedName name="Risk_free_rate">#REF!</definedName>
    <definedName name="Risk_Neutral_q">#REF!</definedName>
    <definedName name="Rn_q_minus_one">#REF!</definedName>
    <definedName name="Rnp_1_minus_q">'The Tree'!$B$18</definedName>
    <definedName name="Rnp_q">'The Tree'!$B$17</definedName>
    <definedName name="sigma">#REF!</definedName>
    <definedName name="solver_typ" localSheetId="0" hidden="1">2</definedName>
    <definedName name="solver_ver" localSheetId="0" hidden="1">17</definedName>
    <definedName name="Stock_Price">'Option Payoffs'!$B$7</definedName>
    <definedName name="Strike_Price_on_Option">'The Tree'!$B$7</definedName>
    <definedName name="Time_Steps_for_Valuation">'The Tree'!$B$9</definedName>
    <definedName name="Time_to_Maturity_of_Option__years">'The Tree'!$B$8</definedName>
    <definedName name="underlying">#REF!</definedName>
    <definedName name="Up">'The Tree'!$B$15</definedName>
    <definedName name="V_A.2">[1]Sheet1!$F$8</definedName>
    <definedName name="V_A.3">[1]Sheet1!$F$4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9" i="13" l="1"/>
  <c r="AM7" i="13"/>
  <c r="B72" i="13"/>
  <c r="B71" i="13"/>
  <c r="B68" i="13"/>
  <c r="B67" i="13"/>
  <c r="D69" i="13" s="1"/>
  <c r="B66" i="13"/>
  <c r="D70" i="13" s="1"/>
  <c r="B65" i="13"/>
  <c r="D64" i="13"/>
  <c r="C64" i="13"/>
  <c r="B63" i="13"/>
  <c r="B62" i="13"/>
  <c r="B61" i="13"/>
  <c r="D60" i="13"/>
  <c r="E60" i="13" s="1"/>
  <c r="B56" i="13"/>
  <c r="B40" i="13" s="1"/>
  <c r="B14" i="13" s="1"/>
  <c r="B55" i="13"/>
  <c r="B39" i="13" s="1"/>
  <c r="B52" i="13"/>
  <c r="B36" i="13" s="1"/>
  <c r="B13" i="13" s="1"/>
  <c r="B51" i="13"/>
  <c r="D53" i="13" s="1"/>
  <c r="E53" i="13" s="1"/>
  <c r="B50" i="13"/>
  <c r="B34" i="13" s="1"/>
  <c r="B12" i="13" s="1"/>
  <c r="B49" i="13"/>
  <c r="B33" i="13" s="1"/>
  <c r="C48" i="13"/>
  <c r="B47" i="13"/>
  <c r="B31" i="13" s="1"/>
  <c r="B46" i="13"/>
  <c r="B30" i="13" s="1"/>
  <c r="B45" i="13"/>
  <c r="B29" i="13" s="1"/>
  <c r="D44" i="13"/>
  <c r="D48" i="13" s="1"/>
  <c r="D32" i="13" s="1"/>
  <c r="B35" i="13"/>
  <c r="C32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AQ29" i="13"/>
  <c r="AP29" i="13"/>
  <c r="AO29" i="13"/>
  <c r="AN29" i="13"/>
  <c r="AM29" i="13"/>
  <c r="AL29" i="13"/>
  <c r="AK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E28" i="13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L28" i="13" s="1"/>
  <c r="AM28" i="13" s="1"/>
  <c r="AN28" i="13" s="1"/>
  <c r="AO28" i="13" s="1"/>
  <c r="AP28" i="13" s="1"/>
  <c r="AQ28" i="13" s="1"/>
  <c r="D28" i="13"/>
  <c r="D37" i="13" l="1"/>
  <c r="F53" i="13"/>
  <c r="F37" i="13" s="1"/>
  <c r="B53" i="13"/>
  <c r="B37" i="13" s="1"/>
  <c r="C53" i="13"/>
  <c r="C37" i="13" s="1"/>
  <c r="D54" i="13"/>
  <c r="E54" i="13" s="1"/>
  <c r="E69" i="13"/>
  <c r="E70" i="13" s="1"/>
  <c r="C69" i="13"/>
  <c r="C70" i="13" s="1"/>
  <c r="B69" i="13"/>
  <c r="F69" i="13"/>
  <c r="F60" i="13"/>
  <c r="E64" i="13"/>
  <c r="E37" i="13"/>
  <c r="E44" i="13"/>
  <c r="F70" i="13" l="1"/>
  <c r="B70" i="13"/>
  <c r="C54" i="13"/>
  <c r="D38" i="13"/>
  <c r="E48" i="13"/>
  <c r="E32" i="13" s="1"/>
  <c r="F44" i="13"/>
  <c r="E38" i="13"/>
  <c r="F54" i="13"/>
  <c r="F38" i="13" s="1"/>
  <c r="G60" i="13"/>
  <c r="F64" i="13"/>
  <c r="C38" i="13" l="1"/>
  <c r="B54" i="13"/>
  <c r="B38" i="13" s="1"/>
  <c r="G64" i="13"/>
  <c r="H60" i="13"/>
  <c r="F48" i="13"/>
  <c r="F32" i="13" s="1"/>
  <c r="G44" i="13"/>
  <c r="G48" i="13" l="1"/>
  <c r="G32" i="13" s="1"/>
  <c r="H44" i="13"/>
  <c r="H64" i="13"/>
  <c r="I60" i="13"/>
  <c r="I64" i="13" l="1"/>
  <c r="J60" i="13"/>
  <c r="I44" i="13"/>
  <c r="H48" i="13"/>
  <c r="H32" i="13" s="1"/>
  <c r="J64" i="13" l="1"/>
  <c r="K60" i="13"/>
  <c r="J44" i="13"/>
  <c r="I48" i="13"/>
  <c r="I32" i="13" s="1"/>
  <c r="K64" i="13" l="1"/>
  <c r="L60" i="13"/>
  <c r="K44" i="13"/>
  <c r="J48" i="13"/>
  <c r="J32" i="13" s="1"/>
  <c r="L44" i="13" l="1"/>
  <c r="K48" i="13"/>
  <c r="K32" i="13" s="1"/>
  <c r="M60" i="13"/>
  <c r="L64" i="13"/>
  <c r="N60" i="13" l="1"/>
  <c r="M64" i="13"/>
  <c r="L48" i="13"/>
  <c r="L32" i="13" s="1"/>
  <c r="M44" i="13"/>
  <c r="M48" i="13" l="1"/>
  <c r="M32" i="13" s="1"/>
  <c r="N44" i="13"/>
  <c r="O60" i="13"/>
  <c r="N64" i="13"/>
  <c r="O64" i="13" l="1"/>
  <c r="P60" i="13"/>
  <c r="N48" i="13"/>
  <c r="N32" i="13" s="1"/>
  <c r="O44" i="13"/>
  <c r="O48" i="13" l="1"/>
  <c r="O32" i="13" s="1"/>
  <c r="P44" i="13"/>
  <c r="P64" i="13"/>
  <c r="Q60" i="13"/>
  <c r="C9" i="9"/>
  <c r="Q44" i="13" l="1"/>
  <c r="P48" i="13"/>
  <c r="P32" i="13" s="1"/>
  <c r="Q64" i="13"/>
  <c r="R60" i="13"/>
  <c r="L12" i="9"/>
  <c r="L16" i="9" s="1"/>
  <c r="C13" i="9"/>
  <c r="R64" i="13" l="1"/>
  <c r="S60" i="13"/>
  <c r="R44" i="13"/>
  <c r="Q48" i="13"/>
  <c r="Q32" i="13" s="1"/>
  <c r="C11" i="9"/>
  <c r="F13" i="9"/>
  <c r="L14" i="9"/>
  <c r="O16" i="9"/>
  <c r="E7" i="4"/>
  <c r="S44" i="13" l="1"/>
  <c r="R48" i="13"/>
  <c r="R32" i="13" s="1"/>
  <c r="S64" i="13"/>
  <c r="T60" i="13"/>
  <c r="C14" i="9"/>
  <c r="C16" i="9" s="1"/>
  <c r="C19" i="9" s="1"/>
  <c r="F14" i="9"/>
  <c r="F16" i="9" s="1"/>
  <c r="O17" i="9"/>
  <c r="O19" i="9" s="1"/>
  <c r="L17" i="9"/>
  <c r="L19" i="9" s="1"/>
  <c r="L22" i="9" s="1"/>
  <c r="P10" i="10"/>
  <c r="U60" i="13" l="1"/>
  <c r="T64" i="13"/>
  <c r="S48" i="13"/>
  <c r="S32" i="13" s="1"/>
  <c r="T44" i="13"/>
  <c r="O17" i="10"/>
  <c r="P16" i="10"/>
  <c r="O16" i="10"/>
  <c r="P15" i="10"/>
  <c r="O15" i="10"/>
  <c r="F11" i="10"/>
  <c r="P2" i="10"/>
  <c r="D25" i="8"/>
  <c r="D28" i="8" s="1"/>
  <c r="D26" i="8"/>
  <c r="D22" i="8"/>
  <c r="D21" i="8"/>
  <c r="G2" i="8"/>
  <c r="T48" i="13" l="1"/>
  <c r="T32" i="13" s="1"/>
  <c r="U44" i="13"/>
  <c r="V60" i="13"/>
  <c r="U64" i="13"/>
  <c r="F12" i="10"/>
  <c r="F14" i="10" s="1"/>
  <c r="P3" i="10"/>
  <c r="P5" i="10" s="1"/>
  <c r="B13" i="4"/>
  <c r="U48" i="13" l="1"/>
  <c r="U32" i="13" s="1"/>
  <c r="V44" i="13"/>
  <c r="W60" i="13"/>
  <c r="V64" i="13"/>
  <c r="P17" i="10"/>
  <c r="B15" i="4"/>
  <c r="B19" i="4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18" i="1"/>
  <c r="F18" i="1" s="1"/>
  <c r="M18" i="1"/>
  <c r="N18" i="1" s="1"/>
  <c r="AB19" i="1"/>
  <c r="AC19" i="1" s="1"/>
  <c r="AF19" i="1" s="1"/>
  <c r="AB20" i="1"/>
  <c r="AC20" i="1" s="1"/>
  <c r="AF20" i="1" s="1"/>
  <c r="AB21" i="1"/>
  <c r="AC21" i="1" s="1"/>
  <c r="AF21" i="1" s="1"/>
  <c r="AB22" i="1"/>
  <c r="AC22" i="1" s="1"/>
  <c r="AF22" i="1" s="1"/>
  <c r="AB23" i="1"/>
  <c r="AC23" i="1" s="1"/>
  <c r="AF23" i="1" s="1"/>
  <c r="AB24" i="1"/>
  <c r="AC24" i="1" s="1"/>
  <c r="AF24" i="1" s="1"/>
  <c r="AB25" i="1"/>
  <c r="AC25" i="1" s="1"/>
  <c r="AF25" i="1" s="1"/>
  <c r="AB26" i="1"/>
  <c r="AC26" i="1" s="1"/>
  <c r="AF26" i="1" s="1"/>
  <c r="AB27" i="1"/>
  <c r="AC27" i="1" s="1"/>
  <c r="AF27" i="1" s="1"/>
  <c r="AB28" i="1"/>
  <c r="AC28" i="1" s="1"/>
  <c r="AF28" i="1" s="1"/>
  <c r="AB29" i="1"/>
  <c r="AC29" i="1" s="1"/>
  <c r="AF29" i="1" s="1"/>
  <c r="AB30" i="1"/>
  <c r="AC30" i="1" s="1"/>
  <c r="AF30" i="1" s="1"/>
  <c r="AB31" i="1"/>
  <c r="AC31" i="1" s="1"/>
  <c r="AF31" i="1" s="1"/>
  <c r="AB32" i="1"/>
  <c r="AC32" i="1" s="1"/>
  <c r="AF32" i="1" s="1"/>
  <c r="AB33" i="1"/>
  <c r="AC33" i="1" s="1"/>
  <c r="AF33" i="1" s="1"/>
  <c r="AB34" i="1"/>
  <c r="AC34" i="1" s="1"/>
  <c r="AF34" i="1" s="1"/>
  <c r="AB35" i="1"/>
  <c r="AC35" i="1" s="1"/>
  <c r="AF35" i="1" s="1"/>
  <c r="AB36" i="1"/>
  <c r="AC36" i="1" s="1"/>
  <c r="AF36" i="1" s="1"/>
  <c r="AB37" i="1"/>
  <c r="AC37" i="1" s="1"/>
  <c r="AF37" i="1" s="1"/>
  <c r="AB38" i="1"/>
  <c r="AC38" i="1" s="1"/>
  <c r="AF38" i="1" s="1"/>
  <c r="AB39" i="1"/>
  <c r="AC39" i="1" s="1"/>
  <c r="AF39" i="1" s="1"/>
  <c r="AB40" i="1"/>
  <c r="AC40" i="1" s="1"/>
  <c r="AF40" i="1" s="1"/>
  <c r="AB41" i="1"/>
  <c r="AC41" i="1" s="1"/>
  <c r="AF41" i="1" s="1"/>
  <c r="AB42" i="1"/>
  <c r="AC42" i="1" s="1"/>
  <c r="AF42" i="1" s="1"/>
  <c r="AB43" i="1"/>
  <c r="AC43" i="1" s="1"/>
  <c r="AF43" i="1" s="1"/>
  <c r="AB44" i="1"/>
  <c r="AC44" i="1" s="1"/>
  <c r="AF44" i="1" s="1"/>
  <c r="AB45" i="1"/>
  <c r="AC45" i="1" s="1"/>
  <c r="AF45" i="1" s="1"/>
  <c r="AB46" i="1"/>
  <c r="AC46" i="1" s="1"/>
  <c r="AF46" i="1" s="1"/>
  <c r="AB47" i="1"/>
  <c r="AC47" i="1" s="1"/>
  <c r="AF47" i="1" s="1"/>
  <c r="AB48" i="1"/>
  <c r="AC48" i="1" s="1"/>
  <c r="AF48" i="1" s="1"/>
  <c r="AB49" i="1"/>
  <c r="AC49" i="1" s="1"/>
  <c r="AF49" i="1" s="1"/>
  <c r="AB50" i="1"/>
  <c r="AC50" i="1" s="1"/>
  <c r="AF50" i="1" s="1"/>
  <c r="AB51" i="1"/>
  <c r="AC51" i="1" s="1"/>
  <c r="AF51" i="1" s="1"/>
  <c r="AB52" i="1"/>
  <c r="AC52" i="1" s="1"/>
  <c r="AF52" i="1" s="1"/>
  <c r="AB53" i="1"/>
  <c r="AC53" i="1" s="1"/>
  <c r="AF53" i="1" s="1"/>
  <c r="AB54" i="1"/>
  <c r="AC54" i="1" s="1"/>
  <c r="AF54" i="1" s="1"/>
  <c r="AB55" i="1"/>
  <c r="AC55" i="1" s="1"/>
  <c r="AF55" i="1" s="1"/>
  <c r="AB56" i="1"/>
  <c r="AC56" i="1" s="1"/>
  <c r="AF56" i="1" s="1"/>
  <c r="AB57" i="1"/>
  <c r="AC57" i="1" s="1"/>
  <c r="AF57" i="1" s="1"/>
  <c r="AB58" i="1"/>
  <c r="AC58" i="1" s="1"/>
  <c r="AF58" i="1" s="1"/>
  <c r="AB59" i="1"/>
  <c r="AC59" i="1" s="1"/>
  <c r="AF59" i="1" s="1"/>
  <c r="AB60" i="1"/>
  <c r="AC60" i="1" s="1"/>
  <c r="AF60" i="1" s="1"/>
  <c r="AB61" i="1"/>
  <c r="AC61" i="1" s="1"/>
  <c r="AF61" i="1" s="1"/>
  <c r="AB62" i="1"/>
  <c r="AC62" i="1" s="1"/>
  <c r="AF62" i="1" s="1"/>
  <c r="AB63" i="1"/>
  <c r="AC63" i="1" s="1"/>
  <c r="AF63" i="1" s="1"/>
  <c r="AB64" i="1"/>
  <c r="AC64" i="1" s="1"/>
  <c r="AF64" i="1" s="1"/>
  <c r="AB65" i="1"/>
  <c r="AC65" i="1" s="1"/>
  <c r="AF65" i="1" s="1"/>
  <c r="AB66" i="1"/>
  <c r="AC66" i="1" s="1"/>
  <c r="AF66" i="1" s="1"/>
  <c r="AB67" i="1"/>
  <c r="AC67" i="1" s="1"/>
  <c r="AF67" i="1" s="1"/>
  <c r="AB68" i="1"/>
  <c r="AC68" i="1" s="1"/>
  <c r="AF68" i="1" s="1"/>
  <c r="AB18" i="1"/>
  <c r="AC18" i="1" s="1"/>
  <c r="AF18" i="1" s="1"/>
  <c r="U19" i="1"/>
  <c r="Y19" i="1" s="1"/>
  <c r="Z19" i="1" s="1"/>
  <c r="U20" i="1"/>
  <c r="Y20" i="1" s="1"/>
  <c r="Z20" i="1" s="1"/>
  <c r="U21" i="1"/>
  <c r="V21" i="1" s="1"/>
  <c r="U22" i="1"/>
  <c r="V22" i="1" s="1"/>
  <c r="U23" i="1"/>
  <c r="Y23" i="1" s="1"/>
  <c r="Z23" i="1" s="1"/>
  <c r="U24" i="1"/>
  <c r="Y24" i="1" s="1"/>
  <c r="Z24" i="1" s="1"/>
  <c r="U25" i="1"/>
  <c r="V25" i="1" s="1"/>
  <c r="U26" i="1"/>
  <c r="V26" i="1" s="1"/>
  <c r="U27" i="1"/>
  <c r="V27" i="1" s="1"/>
  <c r="U28" i="1"/>
  <c r="Y28" i="1" s="1"/>
  <c r="Z28" i="1" s="1"/>
  <c r="U29" i="1"/>
  <c r="V29" i="1" s="1"/>
  <c r="U30" i="1"/>
  <c r="V30" i="1" s="1"/>
  <c r="U31" i="1"/>
  <c r="Y31" i="1" s="1"/>
  <c r="Z31" i="1" s="1"/>
  <c r="U32" i="1"/>
  <c r="Y32" i="1" s="1"/>
  <c r="Z32" i="1" s="1"/>
  <c r="U33" i="1"/>
  <c r="V33" i="1" s="1"/>
  <c r="U34" i="1"/>
  <c r="V34" i="1" s="1"/>
  <c r="U35" i="1"/>
  <c r="V35" i="1" s="1"/>
  <c r="U36" i="1"/>
  <c r="Y36" i="1" s="1"/>
  <c r="Z36" i="1" s="1"/>
  <c r="U37" i="1"/>
  <c r="V37" i="1" s="1"/>
  <c r="U38" i="1"/>
  <c r="V38" i="1" s="1"/>
  <c r="U39" i="1"/>
  <c r="Y39" i="1" s="1"/>
  <c r="Z39" i="1" s="1"/>
  <c r="U40" i="1"/>
  <c r="Y40" i="1" s="1"/>
  <c r="Z40" i="1" s="1"/>
  <c r="U41" i="1"/>
  <c r="V41" i="1" s="1"/>
  <c r="U42" i="1"/>
  <c r="V42" i="1" s="1"/>
  <c r="U43" i="1"/>
  <c r="V43" i="1" s="1"/>
  <c r="U44" i="1"/>
  <c r="Y44" i="1" s="1"/>
  <c r="Z44" i="1" s="1"/>
  <c r="U45" i="1"/>
  <c r="V45" i="1" s="1"/>
  <c r="U46" i="1"/>
  <c r="V46" i="1" s="1"/>
  <c r="U47" i="1"/>
  <c r="Y47" i="1" s="1"/>
  <c r="Z47" i="1" s="1"/>
  <c r="U48" i="1"/>
  <c r="Y48" i="1" s="1"/>
  <c r="Z48" i="1" s="1"/>
  <c r="U49" i="1"/>
  <c r="V49" i="1" s="1"/>
  <c r="U50" i="1"/>
  <c r="V50" i="1" s="1"/>
  <c r="U51" i="1"/>
  <c r="V51" i="1" s="1"/>
  <c r="U52" i="1"/>
  <c r="Y52" i="1" s="1"/>
  <c r="Z52" i="1" s="1"/>
  <c r="U53" i="1"/>
  <c r="V53" i="1" s="1"/>
  <c r="U54" i="1"/>
  <c r="V54" i="1" s="1"/>
  <c r="U55" i="1"/>
  <c r="Y55" i="1" s="1"/>
  <c r="Z55" i="1" s="1"/>
  <c r="U56" i="1"/>
  <c r="Y56" i="1" s="1"/>
  <c r="Z56" i="1" s="1"/>
  <c r="U57" i="1"/>
  <c r="V57" i="1" s="1"/>
  <c r="U58" i="1"/>
  <c r="V58" i="1" s="1"/>
  <c r="U59" i="1"/>
  <c r="V59" i="1" s="1"/>
  <c r="U60" i="1"/>
  <c r="Y60" i="1" s="1"/>
  <c r="Z60" i="1" s="1"/>
  <c r="U61" i="1"/>
  <c r="V61" i="1" s="1"/>
  <c r="U62" i="1"/>
  <c r="V62" i="1" s="1"/>
  <c r="U63" i="1"/>
  <c r="Y63" i="1" s="1"/>
  <c r="Z63" i="1" s="1"/>
  <c r="U64" i="1"/>
  <c r="Y64" i="1" s="1"/>
  <c r="Z64" i="1" s="1"/>
  <c r="U65" i="1"/>
  <c r="V65" i="1" s="1"/>
  <c r="U66" i="1"/>
  <c r="V66" i="1" s="1"/>
  <c r="U67" i="1"/>
  <c r="V67" i="1" s="1"/>
  <c r="U68" i="1"/>
  <c r="Y68" i="1" s="1"/>
  <c r="Z68" i="1" s="1"/>
  <c r="U18" i="1"/>
  <c r="V18" i="1" s="1"/>
  <c r="W64" i="13" l="1"/>
  <c r="X60" i="13"/>
  <c r="V48" i="13"/>
  <c r="V32" i="13" s="1"/>
  <c r="W44" i="13"/>
  <c r="AE60" i="1"/>
  <c r="AE53" i="1"/>
  <c r="AE28" i="1"/>
  <c r="AE21" i="1"/>
  <c r="AE52" i="1"/>
  <c r="AE20" i="1"/>
  <c r="AE45" i="1"/>
  <c r="AE44" i="1"/>
  <c r="AE37" i="1"/>
  <c r="AE68" i="1"/>
  <c r="AE36" i="1"/>
  <c r="AE61" i="1"/>
  <c r="AE29" i="1"/>
  <c r="AE67" i="1"/>
  <c r="AE59" i="1"/>
  <c r="AE51" i="1"/>
  <c r="AE43" i="1"/>
  <c r="AE35" i="1"/>
  <c r="AE27" i="1"/>
  <c r="AE19" i="1"/>
  <c r="AE66" i="1"/>
  <c r="AE58" i="1"/>
  <c r="AE50" i="1"/>
  <c r="AE42" i="1"/>
  <c r="AE34" i="1"/>
  <c r="AE26" i="1"/>
  <c r="AE65" i="1"/>
  <c r="AE57" i="1"/>
  <c r="AE49" i="1"/>
  <c r="AE41" i="1"/>
  <c r="AE33" i="1"/>
  <c r="AE25" i="1"/>
  <c r="AE64" i="1"/>
  <c r="AE56" i="1"/>
  <c r="AE48" i="1"/>
  <c r="AE40" i="1"/>
  <c r="AE32" i="1"/>
  <c r="AE24" i="1"/>
  <c r="AE63" i="1"/>
  <c r="AE55" i="1"/>
  <c r="AE47" i="1"/>
  <c r="AE39" i="1"/>
  <c r="AE31" i="1"/>
  <c r="AE23" i="1"/>
  <c r="AE18" i="1"/>
  <c r="AE62" i="1"/>
  <c r="AE54" i="1"/>
  <c r="AE46" i="1"/>
  <c r="AE38" i="1"/>
  <c r="AE30" i="1"/>
  <c r="AE22" i="1"/>
  <c r="B16" i="4"/>
  <c r="F7" i="4"/>
  <c r="P12" i="10"/>
  <c r="F15" i="10" s="1"/>
  <c r="P13" i="10"/>
  <c r="Y22" i="1"/>
  <c r="Z22" i="1" s="1"/>
  <c r="Y54" i="1"/>
  <c r="Z54" i="1" s="1"/>
  <c r="Y46" i="1"/>
  <c r="Z46" i="1" s="1"/>
  <c r="V19" i="1"/>
  <c r="Y38" i="1"/>
  <c r="Z38" i="1" s="1"/>
  <c r="Y62" i="1"/>
  <c r="Z62" i="1" s="1"/>
  <c r="Y30" i="1"/>
  <c r="Z30" i="1" s="1"/>
  <c r="V48" i="1"/>
  <c r="V40" i="1"/>
  <c r="V63" i="1"/>
  <c r="V55" i="1"/>
  <c r="V47" i="1"/>
  <c r="V39" i="1"/>
  <c r="V31" i="1"/>
  <c r="V23" i="1"/>
  <c r="Y67" i="1"/>
  <c r="Z67" i="1" s="1"/>
  <c r="Y59" i="1"/>
  <c r="Z59" i="1" s="1"/>
  <c r="Y51" i="1"/>
  <c r="Z51" i="1" s="1"/>
  <c r="Y43" i="1"/>
  <c r="Z43" i="1" s="1"/>
  <c r="Y35" i="1"/>
  <c r="Z35" i="1" s="1"/>
  <c r="Y27" i="1"/>
  <c r="Z27" i="1" s="1"/>
  <c r="V64" i="1"/>
  <c r="V32" i="1"/>
  <c r="V68" i="1"/>
  <c r="V60" i="1"/>
  <c r="V52" i="1"/>
  <c r="V44" i="1"/>
  <c r="V36" i="1"/>
  <c r="V28" i="1"/>
  <c r="Y66" i="1"/>
  <c r="Z66" i="1" s="1"/>
  <c r="Y58" i="1"/>
  <c r="Z58" i="1" s="1"/>
  <c r="Y50" i="1"/>
  <c r="Z50" i="1" s="1"/>
  <c r="Y42" i="1"/>
  <c r="Z42" i="1" s="1"/>
  <c r="Y34" i="1"/>
  <c r="Z34" i="1" s="1"/>
  <c r="Y26" i="1"/>
  <c r="Z26" i="1" s="1"/>
  <c r="V56" i="1"/>
  <c r="V24" i="1"/>
  <c r="V20" i="1"/>
  <c r="Y18" i="1"/>
  <c r="Z18" i="1" s="1"/>
  <c r="Y65" i="1"/>
  <c r="Z65" i="1" s="1"/>
  <c r="Y61" i="1"/>
  <c r="Z61" i="1" s="1"/>
  <c r="Y57" i="1"/>
  <c r="Z57" i="1" s="1"/>
  <c r="Y53" i="1"/>
  <c r="Z53" i="1" s="1"/>
  <c r="Y49" i="1"/>
  <c r="Z49" i="1" s="1"/>
  <c r="Y45" i="1"/>
  <c r="Z45" i="1" s="1"/>
  <c r="Y41" i="1"/>
  <c r="Z41" i="1" s="1"/>
  <c r="Y37" i="1"/>
  <c r="Z37" i="1" s="1"/>
  <c r="Y33" i="1"/>
  <c r="Z33" i="1" s="1"/>
  <c r="Y29" i="1"/>
  <c r="Z29" i="1" s="1"/>
  <c r="Y25" i="1"/>
  <c r="Z25" i="1" s="1"/>
  <c r="Y21" i="1"/>
  <c r="Z21" i="1" s="1"/>
  <c r="Q18" i="1"/>
  <c r="R18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I18" i="1"/>
  <c r="J19" i="1"/>
  <c r="M19" i="1"/>
  <c r="J20" i="1"/>
  <c r="J21" i="1"/>
  <c r="I22" i="1"/>
  <c r="J23" i="1"/>
  <c r="J24" i="1"/>
  <c r="J25" i="1"/>
  <c r="I26" i="1"/>
  <c r="J27" i="1"/>
  <c r="J28" i="1"/>
  <c r="J29" i="1"/>
  <c r="I30" i="1"/>
  <c r="J31" i="1"/>
  <c r="J32" i="1"/>
  <c r="J33" i="1"/>
  <c r="I34" i="1"/>
  <c r="J35" i="1"/>
  <c r="J36" i="1"/>
  <c r="J37" i="1"/>
  <c r="I38" i="1"/>
  <c r="J39" i="1"/>
  <c r="J40" i="1"/>
  <c r="J41" i="1"/>
  <c r="I42" i="1"/>
  <c r="J43" i="1"/>
  <c r="J44" i="1"/>
  <c r="J45" i="1"/>
  <c r="I46" i="1"/>
  <c r="J47" i="1"/>
  <c r="J48" i="1"/>
  <c r="J49" i="1"/>
  <c r="I50" i="1"/>
  <c r="J51" i="1"/>
  <c r="J52" i="1"/>
  <c r="J53" i="1"/>
  <c r="I54" i="1"/>
  <c r="J55" i="1"/>
  <c r="J56" i="1"/>
  <c r="J57" i="1"/>
  <c r="I58" i="1"/>
  <c r="J59" i="1"/>
  <c r="J60" i="1"/>
  <c r="J61" i="1"/>
  <c r="I62" i="1"/>
  <c r="J63" i="1"/>
  <c r="J64" i="1"/>
  <c r="J65" i="1"/>
  <c r="I66" i="1"/>
  <c r="J67" i="1"/>
  <c r="J68" i="1"/>
  <c r="W48" i="13" l="1"/>
  <c r="W32" i="13" s="1"/>
  <c r="X44" i="13"/>
  <c r="X64" i="13"/>
  <c r="Y60" i="13"/>
  <c r="Q35" i="1"/>
  <c r="N35" i="1"/>
  <c r="R35" i="1" s="1"/>
  <c r="N50" i="1"/>
  <c r="R50" i="1" s="1"/>
  <c r="N42" i="1"/>
  <c r="R42" i="1" s="1"/>
  <c r="N34" i="1"/>
  <c r="R34" i="1" s="1"/>
  <c r="N26" i="1"/>
  <c r="R26" i="1" s="1"/>
  <c r="Q27" i="1"/>
  <c r="N27" i="1"/>
  <c r="R27" i="1" s="1"/>
  <c r="Q33" i="1"/>
  <c r="N33" i="1"/>
  <c r="R33" i="1" s="1"/>
  <c r="Q25" i="1"/>
  <c r="N25" i="1"/>
  <c r="R25" i="1" s="1"/>
  <c r="Q43" i="1"/>
  <c r="N43" i="1"/>
  <c r="R43" i="1" s="1"/>
  <c r="N58" i="1"/>
  <c r="R58" i="1" s="1"/>
  <c r="Q64" i="1"/>
  <c r="N64" i="1"/>
  <c r="R64" i="1" s="1"/>
  <c r="Q24" i="1"/>
  <c r="N24" i="1"/>
  <c r="R24" i="1" s="1"/>
  <c r="Q59" i="1"/>
  <c r="N59" i="1"/>
  <c r="R59" i="1" s="1"/>
  <c r="N66" i="1"/>
  <c r="R66" i="1" s="1"/>
  <c r="Q57" i="1"/>
  <c r="N57" i="1"/>
  <c r="R57" i="1" s="1"/>
  <c r="Q56" i="1"/>
  <c r="N56" i="1"/>
  <c r="R56" i="1" s="1"/>
  <c r="Q19" i="1"/>
  <c r="N19" i="1"/>
  <c r="R19" i="1" s="1"/>
  <c r="Q63" i="1"/>
  <c r="N63" i="1"/>
  <c r="R63" i="1" s="1"/>
  <c r="Q55" i="1"/>
  <c r="N55" i="1"/>
  <c r="R55" i="1" s="1"/>
  <c r="Q47" i="1"/>
  <c r="N47" i="1"/>
  <c r="R47" i="1" s="1"/>
  <c r="Q39" i="1"/>
  <c r="N39" i="1"/>
  <c r="R39" i="1" s="1"/>
  <c r="Q31" i="1"/>
  <c r="N31" i="1"/>
  <c r="R31" i="1" s="1"/>
  <c r="Q23" i="1"/>
  <c r="N23" i="1"/>
  <c r="R23" i="1" s="1"/>
  <c r="Q51" i="1"/>
  <c r="N51" i="1"/>
  <c r="R51" i="1" s="1"/>
  <c r="Q65" i="1"/>
  <c r="N65" i="1"/>
  <c r="R65" i="1" s="1"/>
  <c r="Q40" i="1"/>
  <c r="N40" i="1"/>
  <c r="R40" i="1" s="1"/>
  <c r="N62" i="1"/>
  <c r="R62" i="1" s="1"/>
  <c r="N54" i="1"/>
  <c r="R54" i="1" s="1"/>
  <c r="N46" i="1"/>
  <c r="R46" i="1" s="1"/>
  <c r="N38" i="1"/>
  <c r="R38" i="1" s="1"/>
  <c r="N30" i="1"/>
  <c r="R30" i="1" s="1"/>
  <c r="N22" i="1"/>
  <c r="R22" i="1" s="1"/>
  <c r="Q67" i="1"/>
  <c r="N67" i="1"/>
  <c r="R67" i="1" s="1"/>
  <c r="Q41" i="1"/>
  <c r="N41" i="1"/>
  <c r="R41" i="1" s="1"/>
  <c r="Q48" i="1"/>
  <c r="N48" i="1"/>
  <c r="R48" i="1" s="1"/>
  <c r="Q61" i="1"/>
  <c r="N61" i="1"/>
  <c r="R61" i="1" s="1"/>
  <c r="Q53" i="1"/>
  <c r="N53" i="1"/>
  <c r="R53" i="1" s="1"/>
  <c r="Q45" i="1"/>
  <c r="N45" i="1"/>
  <c r="R45" i="1" s="1"/>
  <c r="Q37" i="1"/>
  <c r="N37" i="1"/>
  <c r="R37" i="1" s="1"/>
  <c r="Q29" i="1"/>
  <c r="N29" i="1"/>
  <c r="R29" i="1" s="1"/>
  <c r="Q21" i="1"/>
  <c r="N21" i="1"/>
  <c r="R21" i="1" s="1"/>
  <c r="Q49" i="1"/>
  <c r="N49" i="1"/>
  <c r="R49" i="1" s="1"/>
  <c r="Q32" i="1"/>
  <c r="N32" i="1"/>
  <c r="R32" i="1" s="1"/>
  <c r="Q68" i="1"/>
  <c r="N68" i="1"/>
  <c r="R68" i="1" s="1"/>
  <c r="Q60" i="1"/>
  <c r="N60" i="1"/>
  <c r="R60" i="1" s="1"/>
  <c r="Q52" i="1"/>
  <c r="N52" i="1"/>
  <c r="R52" i="1" s="1"/>
  <c r="Q44" i="1"/>
  <c r="N44" i="1"/>
  <c r="R44" i="1" s="1"/>
  <c r="Q36" i="1"/>
  <c r="N36" i="1"/>
  <c r="R36" i="1" s="1"/>
  <c r="Q28" i="1"/>
  <c r="N28" i="1"/>
  <c r="R28" i="1" s="1"/>
  <c r="Q20" i="1"/>
  <c r="N20" i="1"/>
  <c r="R20" i="1" s="1"/>
  <c r="G7" i="4"/>
  <c r="G8" i="4"/>
  <c r="H9" i="4" s="1"/>
  <c r="I10" i="4" s="1"/>
  <c r="J11" i="4" s="1"/>
  <c r="K12" i="4" s="1"/>
  <c r="L13" i="4" s="1"/>
  <c r="M15" i="4" s="1"/>
  <c r="N16" i="4" s="1"/>
  <c r="O17" i="4" s="1"/>
  <c r="B17" i="4"/>
  <c r="B18" i="4" s="1"/>
  <c r="F8" i="4"/>
  <c r="G9" i="4" s="1"/>
  <c r="H10" i="4" s="1"/>
  <c r="I11" i="4" s="1"/>
  <c r="J12" i="4" s="1"/>
  <c r="K13" i="4" s="1"/>
  <c r="L15" i="4" s="1"/>
  <c r="M16" i="4" s="1"/>
  <c r="N17" i="4" s="1"/>
  <c r="O18" i="4" s="1"/>
  <c r="I53" i="1"/>
  <c r="I37" i="1"/>
  <c r="I21" i="1"/>
  <c r="I65" i="1"/>
  <c r="I49" i="1"/>
  <c r="I33" i="1"/>
  <c r="I29" i="1"/>
  <c r="I61" i="1"/>
  <c r="I45" i="1"/>
  <c r="I57" i="1"/>
  <c r="I41" i="1"/>
  <c r="I25" i="1"/>
  <c r="Q66" i="1"/>
  <c r="Q62" i="1"/>
  <c r="Q58" i="1"/>
  <c r="Q54" i="1"/>
  <c r="Q50" i="1"/>
  <c r="Q46" i="1"/>
  <c r="Q42" i="1"/>
  <c r="Q38" i="1"/>
  <c r="Q34" i="1"/>
  <c r="Q30" i="1"/>
  <c r="Q26" i="1"/>
  <c r="Q22" i="1"/>
  <c r="J58" i="1"/>
  <c r="J38" i="1"/>
  <c r="J30" i="1"/>
  <c r="J22" i="1"/>
  <c r="J18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J66" i="1"/>
  <c r="J46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J62" i="1"/>
  <c r="J54" i="1"/>
  <c r="J50" i="1"/>
  <c r="J42" i="1"/>
  <c r="J34" i="1"/>
  <c r="J26" i="1"/>
  <c r="Y64" i="13" l="1"/>
  <c r="Z60" i="13"/>
  <c r="Y44" i="13"/>
  <c r="X48" i="13"/>
  <c r="X32" i="13" s="1"/>
  <c r="H7" i="4"/>
  <c r="I7" i="4" s="1"/>
  <c r="H8" i="4"/>
  <c r="I9" i="4" s="1"/>
  <c r="J10" i="4" s="1"/>
  <c r="K11" i="4" s="1"/>
  <c r="L12" i="4" s="1"/>
  <c r="M13" i="4" s="1"/>
  <c r="N15" i="4" s="1"/>
  <c r="O16" i="4" s="1"/>
  <c r="Z44" i="13" l="1"/>
  <c r="Y48" i="13"/>
  <c r="Y32" i="13" s="1"/>
  <c r="Z64" i="13"/>
  <c r="AA60" i="13"/>
  <c r="I8" i="4"/>
  <c r="J9" i="4" s="1"/>
  <c r="K10" i="4" s="1"/>
  <c r="L11" i="4" s="1"/>
  <c r="M12" i="4" s="1"/>
  <c r="N13" i="4" s="1"/>
  <c r="O15" i="4" s="1"/>
  <c r="AA64" i="13" l="1"/>
  <c r="AB60" i="13"/>
  <c r="AA44" i="13"/>
  <c r="Z48" i="13"/>
  <c r="Z32" i="13" s="1"/>
  <c r="J7" i="4"/>
  <c r="J8" i="4"/>
  <c r="K9" i="4" s="1"/>
  <c r="L10" i="4" s="1"/>
  <c r="M11" i="4" s="1"/>
  <c r="N12" i="4" s="1"/>
  <c r="O13" i="4" s="1"/>
  <c r="AC60" i="13" l="1"/>
  <c r="AB64" i="13"/>
  <c r="AA48" i="13"/>
  <c r="AA32" i="13" s="1"/>
  <c r="AB44" i="13"/>
  <c r="K7" i="4"/>
  <c r="K8" i="4"/>
  <c r="L9" i="4" s="1"/>
  <c r="M10" i="4" s="1"/>
  <c r="N11" i="4" s="1"/>
  <c r="O12" i="4" s="1"/>
  <c r="AB48" i="13" l="1"/>
  <c r="AB32" i="13" s="1"/>
  <c r="AC44" i="13"/>
  <c r="AD60" i="13"/>
  <c r="AC64" i="13"/>
  <c r="L7" i="4"/>
  <c r="L8" i="4"/>
  <c r="M9" i="4" s="1"/>
  <c r="N10" i="4" s="1"/>
  <c r="O11" i="4" s="1"/>
  <c r="AE60" i="13" l="1"/>
  <c r="AD64" i="13"/>
  <c r="AC48" i="13"/>
  <c r="AC32" i="13" s="1"/>
  <c r="AD44" i="13"/>
  <c r="M7" i="4"/>
  <c r="M8" i="4"/>
  <c r="N9" i="4" s="1"/>
  <c r="O10" i="4" s="1"/>
  <c r="AD48" i="13" l="1"/>
  <c r="AD32" i="13" s="1"/>
  <c r="AE44" i="13"/>
  <c r="AE64" i="13"/>
  <c r="AF60" i="13"/>
  <c r="N7" i="4"/>
  <c r="N8" i="4"/>
  <c r="O9" i="4" s="1"/>
  <c r="AE48" i="13" l="1"/>
  <c r="AE32" i="13" s="1"/>
  <c r="AF44" i="13"/>
  <c r="AF64" i="13"/>
  <c r="AG60" i="13"/>
  <c r="O8" i="4"/>
  <c r="O7" i="4"/>
  <c r="AG64" i="13" l="1"/>
  <c r="AH60" i="13"/>
  <c r="AF48" i="13"/>
  <c r="AF32" i="13" s="1"/>
  <c r="AG44" i="13"/>
  <c r="AH44" i="13" l="1"/>
  <c r="AG48" i="13"/>
  <c r="AG32" i="13" s="1"/>
  <c r="AH64" i="13"/>
  <c r="AI60" i="13"/>
  <c r="AI64" i="13" l="1"/>
  <c r="AJ60" i="13"/>
  <c r="AI44" i="13"/>
  <c r="AH48" i="13"/>
  <c r="AH32" i="13" s="1"/>
  <c r="AK60" i="13" l="1"/>
  <c r="AJ64" i="13"/>
  <c r="AJ44" i="13"/>
  <c r="AI48" i="13"/>
  <c r="AI32" i="13" s="1"/>
  <c r="AJ48" i="13" l="1"/>
  <c r="AJ32" i="13" s="1"/>
  <c r="AK44" i="13"/>
  <c r="AL60" i="13"/>
  <c r="AK64" i="13"/>
  <c r="AM60" i="13" l="1"/>
  <c r="AL64" i="13"/>
  <c r="AK48" i="13"/>
  <c r="AK32" i="13" s="1"/>
  <c r="AL44" i="13"/>
  <c r="AL48" i="13" l="1"/>
  <c r="AL32" i="13" s="1"/>
  <c r="AM44" i="13"/>
  <c r="AM64" i="13"/>
  <c r="AN60" i="13"/>
  <c r="AM48" i="13" l="1"/>
  <c r="AM32" i="13" s="1"/>
  <c r="AN44" i="13"/>
  <c r="AN64" i="13"/>
  <c r="AO60" i="13"/>
  <c r="AO64" i="13" l="1"/>
  <c r="AP60" i="13"/>
  <c r="AO44" i="13"/>
  <c r="AN48" i="13"/>
  <c r="AN32" i="13" s="1"/>
  <c r="AP64" i="13" l="1"/>
  <c r="AQ60" i="13"/>
  <c r="AQ64" i="13" s="1"/>
  <c r="AP44" i="13"/>
  <c r="AO48" i="13"/>
  <c r="AO32" i="13" s="1"/>
  <c r="AQ44" i="13" l="1"/>
  <c r="AQ48" i="13" s="1"/>
  <c r="AQ32" i="13" s="1"/>
  <c r="AP48" i="13"/>
  <c r="AP32" i="13" s="1"/>
</calcChain>
</file>

<file path=xl/sharedStrings.xml><?xml version="1.0" encoding="utf-8"?>
<sst xmlns="http://schemas.openxmlformats.org/spreadsheetml/2006/main" count="267" uniqueCount="182">
  <si>
    <t>Long Call</t>
  </si>
  <si>
    <t>Long Put</t>
  </si>
  <si>
    <t>Gross</t>
  </si>
  <si>
    <t>Profit</t>
  </si>
  <si>
    <t>Short Call</t>
  </si>
  <si>
    <t>Short Put</t>
  </si>
  <si>
    <t>Notes on order placement</t>
  </si>
  <si>
    <t>Firms charge lower commissions for:</t>
  </si>
  <si>
    <t>Internet orders</t>
  </si>
  <si>
    <t>Active traders</t>
  </si>
  <si>
    <t>Simple orders like market orders</t>
  </si>
  <si>
    <t>Small-sized orders</t>
  </si>
  <si>
    <t xml:space="preserve">Larger oders, (like savings on bulk orders) </t>
  </si>
  <si>
    <t xml:space="preserve">Brokers charge commissions twice: </t>
  </si>
  <si>
    <t xml:space="preserve">both when buying and selling. </t>
  </si>
  <si>
    <t>This includes when buying or selling through excercising an option.</t>
  </si>
  <si>
    <t>The order placement dilemma</t>
  </si>
  <si>
    <t xml:space="preserve">Place a market order </t>
  </si>
  <si>
    <t>Or</t>
  </si>
  <si>
    <t>Place a contingent order.</t>
  </si>
  <si>
    <t>Market orders are executed immediately</t>
  </si>
  <si>
    <t>As for a Contingent orders, they are more complex</t>
  </si>
  <si>
    <t xml:space="preserve">There are price-contingent orders, </t>
  </si>
  <si>
    <t>This is setting a limit order. The limit order is excecuted at the stated or a better price.</t>
  </si>
  <si>
    <t>The limit order can be either a day order or a good-until-canceled order.</t>
  </si>
  <si>
    <t>Day order's cancel at the end of the day (obviously)</t>
  </si>
  <si>
    <t>Good-till-canceled orders stay open until they are filled (or the broker sets the order to cancel after a specified, or significant, amount of time has passed.</t>
  </si>
  <si>
    <t xml:space="preserve">A time contingent order is  exactly what it sounds like. </t>
  </si>
  <si>
    <t>Even more things concerning orders</t>
  </si>
  <si>
    <t>Consider market-if-touched order.</t>
  </si>
  <si>
    <t>This is where you are worried that your limit order may not be filled when the price</t>
  </si>
  <si>
    <t>approached the price you set because other orders get filled before yours.</t>
  </si>
  <si>
    <t>So you say, if it touchs this price, convert my limit order into a market order. Jump the line and get the next available market price.</t>
  </si>
  <si>
    <t>The basic building blocks for option trading strategies are stand alone positions containing a single option</t>
  </si>
  <si>
    <t>These are called naked trading strategies</t>
  </si>
  <si>
    <t>Long naked trades are outright purchases</t>
  </si>
  <si>
    <t>Short naked trades are known as uncovered strategies.</t>
  </si>
  <si>
    <t>For puts</t>
  </si>
  <si>
    <t xml:space="preserve">A put writer is uncovered if they do not have a short stock postion or has not depositied cash equal to the strike to form a cash-secured put. </t>
  </si>
  <si>
    <t>Puts are the rights to sell. For long they have the option to sell at a price, and short has the obligation to follow through</t>
  </si>
  <si>
    <t>Calls are the rights to buy. For long they have the option to buy at a price, for short they have the obligation to follow through</t>
  </si>
  <si>
    <t>Long Stock</t>
  </si>
  <si>
    <t>Short Stock</t>
  </si>
  <si>
    <t>Call Strike</t>
  </si>
  <si>
    <t>Put Strike</t>
  </si>
  <si>
    <t>Stock price</t>
  </si>
  <si>
    <t>Risk-Free price</t>
  </si>
  <si>
    <t>Rf rate</t>
  </si>
  <si>
    <t>Long Treasury</t>
  </si>
  <si>
    <t>Short Treasury</t>
  </si>
  <si>
    <t>Spread strategies lingo</t>
  </si>
  <si>
    <t>Vertical spreads</t>
  </si>
  <si>
    <t>Horizontal spreads</t>
  </si>
  <si>
    <t>Call Price</t>
  </si>
  <si>
    <t>Put Price</t>
  </si>
  <si>
    <t>Inputs</t>
  </si>
  <si>
    <t>Calculated Parameters</t>
  </si>
  <si>
    <t>Current Stock Price</t>
  </si>
  <si>
    <t>Annual Volatility of Returns</t>
  </si>
  <si>
    <t>Annaul Dividend Yield</t>
  </si>
  <si>
    <t>Annual Risk-free Rate</t>
  </si>
  <si>
    <t>Strike Price on Option</t>
  </si>
  <si>
    <t>Time to Maturity of Option (years)</t>
  </si>
  <si>
    <t>Time Steps for Valuation</t>
  </si>
  <si>
    <t>Length of each time step</t>
  </si>
  <si>
    <t xml:space="preserve">Up </t>
  </si>
  <si>
    <t>Down</t>
  </si>
  <si>
    <t>Rnp 1 minus q</t>
  </si>
  <si>
    <t>Rnp q</t>
  </si>
  <si>
    <t>discount rate</t>
  </si>
  <si>
    <t>Given</t>
  </si>
  <si>
    <t>Stock price, S(T)</t>
  </si>
  <si>
    <t>Common strike</t>
  </si>
  <si>
    <t>put price</t>
  </si>
  <si>
    <t>rate</t>
  </si>
  <si>
    <t>time (years)</t>
  </si>
  <si>
    <t>Construct portfolio to calculate call price</t>
  </si>
  <si>
    <t>Long stock</t>
  </si>
  <si>
    <t>Short Bound, thus borrowing PV of strike</t>
  </si>
  <si>
    <t>Create synthetic</t>
  </si>
  <si>
    <t>Short call</t>
  </si>
  <si>
    <t>Long put</t>
  </si>
  <si>
    <t>-S(T)</t>
  </si>
  <si>
    <t>BK</t>
  </si>
  <si>
    <t>where B = exp(-rt)</t>
  </si>
  <si>
    <t>States</t>
  </si>
  <si>
    <t>S(T)&lt;20</t>
  </si>
  <si>
    <t>S(T)&gt;20</t>
  </si>
  <si>
    <t>S(T)</t>
  </si>
  <si>
    <t>-K</t>
  </si>
  <si>
    <t>C</t>
  </si>
  <si>
    <t>P</t>
  </si>
  <si>
    <t>-[S(t)-20]</t>
  </si>
  <si>
    <t>20-S(T)</t>
  </si>
  <si>
    <t>Net</t>
  </si>
  <si>
    <t>no arbitrage</t>
  </si>
  <si>
    <t>Now with numbers</t>
  </si>
  <si>
    <t>Suppose misquote of</t>
  </si>
  <si>
    <t>Asset Value</t>
  </si>
  <si>
    <t>Derivative</t>
  </si>
  <si>
    <t>proof</t>
  </si>
  <si>
    <t>Risk-free</t>
  </si>
  <si>
    <t>=</t>
  </si>
  <si>
    <t>Value</t>
  </si>
  <si>
    <t>Delta</t>
  </si>
  <si>
    <t>Aup</t>
  </si>
  <si>
    <r>
      <t>V(A</t>
    </r>
    <r>
      <rPr>
        <vertAlign val="sub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</si>
  <si>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t>Gamma</t>
  </si>
  <si>
    <r>
      <t>A</t>
    </r>
    <r>
      <rPr>
        <vertAlign val="subscript"/>
        <sz val="10"/>
        <rFont val="Times New Roman"/>
        <family val="1"/>
      </rPr>
      <t>1</t>
    </r>
  </si>
  <si>
    <t>Deriv value</t>
  </si>
  <si>
    <t>A down</t>
  </si>
  <si>
    <r>
      <t>V(A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</si>
  <si>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Hedge Portfolio</t>
  </si>
  <si>
    <t>Units of Underlying</t>
  </si>
  <si>
    <t>Units of Bond</t>
  </si>
  <si>
    <t>/B</t>
  </si>
  <si>
    <t>Beta of Derivative</t>
  </si>
  <si>
    <t>x Beta of Underlying</t>
  </si>
  <si>
    <t>Underlying</t>
  </si>
  <si>
    <t>Bond</t>
  </si>
  <si>
    <t>Tree of Underlying</t>
  </si>
  <si>
    <t>American</t>
  </si>
  <si>
    <t>European</t>
  </si>
  <si>
    <t>Type of Option</t>
  </si>
  <si>
    <t>Using Jarrow-Rudd or Cox-Ross-Rubinstein?</t>
  </si>
  <si>
    <t>Jarrow-Rudd</t>
  </si>
  <si>
    <t>Cox-Ross-Rubinstein</t>
  </si>
  <si>
    <t>Consider</t>
  </si>
  <si>
    <t xml:space="preserve">S = </t>
  </si>
  <si>
    <t>K =</t>
  </si>
  <si>
    <t>T =</t>
  </si>
  <si>
    <t>Volatility</t>
  </si>
  <si>
    <t>r</t>
  </si>
  <si>
    <t>find d1</t>
  </si>
  <si>
    <t>find d2</t>
  </si>
  <si>
    <t>N(d1)</t>
  </si>
  <si>
    <t>N(d2)</t>
  </si>
  <si>
    <t>call value =</t>
  </si>
  <si>
    <t>N(-d1)</t>
  </si>
  <si>
    <t>N(-d2)</t>
  </si>
  <si>
    <t>Put value</t>
  </si>
  <si>
    <t>Use put call parity to confirm:</t>
  </si>
  <si>
    <t>it does</t>
  </si>
  <si>
    <t>With a dividend</t>
  </si>
  <si>
    <t>Dividend yield</t>
  </si>
  <si>
    <t>With a currency… it's no different</t>
  </si>
  <si>
    <t>Underlying
value</t>
  </si>
  <si>
    <t>Choose Option Type Here</t>
  </si>
  <si>
    <t>Call Option</t>
  </si>
  <si>
    <t>Black-Scholes Parameters</t>
  </si>
  <si>
    <r>
      <t>Underlying Value (</t>
    </r>
    <r>
      <rPr>
        <b/>
        <sz val="11"/>
        <color theme="1"/>
        <rFont val="Calibri"/>
        <family val="2"/>
        <scheme val="minor"/>
      </rPr>
      <t>S)</t>
    </r>
  </si>
  <si>
    <r>
      <t>Underlying Return Volatility (</t>
    </r>
    <r>
      <rPr>
        <b/>
        <sz val="11"/>
        <color theme="1"/>
        <rFont val="Calibri"/>
        <family val="2"/>
        <scheme val="minor"/>
      </rPr>
      <t>Sigma</t>
    </r>
    <r>
      <rPr>
        <sz val="11"/>
        <color theme="1"/>
        <rFont val="Calibri"/>
        <family val="2"/>
        <scheme val="minor"/>
      </rPr>
      <t>)</t>
    </r>
  </si>
  <si>
    <r>
      <t>Underlying Dividend Yield (</t>
    </r>
    <r>
      <rPr>
        <b/>
        <sz val="11"/>
        <color theme="1"/>
        <rFont val="Calibri"/>
        <family val="2"/>
        <scheme val="minor"/>
      </rPr>
      <t>Div)</t>
    </r>
  </si>
  <si>
    <r>
      <t>Risk-Free Rate (</t>
    </r>
    <r>
      <rPr>
        <b/>
        <sz val="11"/>
        <color theme="1"/>
        <rFont val="Calibri"/>
        <family val="2"/>
        <scheme val="minor"/>
      </rPr>
      <t>RF)</t>
    </r>
  </si>
  <si>
    <r>
      <t>Option Strike Price (</t>
    </r>
    <r>
      <rPr>
        <b/>
        <sz val="11"/>
        <color theme="1"/>
        <rFont val="Calibri"/>
        <family val="2"/>
        <scheme val="minor"/>
      </rPr>
      <t>X)</t>
    </r>
  </si>
  <si>
    <r>
      <t>Option Time to Maturity (</t>
    </r>
    <r>
      <rPr>
        <b/>
        <sz val="11"/>
        <color theme="1"/>
        <rFont val="Calibri"/>
        <family val="2"/>
        <scheme val="minor"/>
      </rPr>
      <t>T)</t>
    </r>
  </si>
  <si>
    <t>Black-Scholes Value</t>
  </si>
  <si>
    <t>Black-Scholes Delta</t>
  </si>
  <si>
    <t>Black-Scholes Gamma</t>
  </si>
  <si>
    <t>Live Selection</t>
  </si>
  <si>
    <t>Underlying Value S</t>
  </si>
  <si>
    <t>BSOptionValue</t>
  </si>
  <si>
    <t>BSOptionDelta</t>
  </si>
  <si>
    <t>BSOptionGamma</t>
  </si>
  <si>
    <t>Intrinsic Value</t>
  </si>
  <si>
    <t>Current Value X</t>
  </si>
  <si>
    <t>Current Value Y</t>
  </si>
  <si>
    <t>Delta Plot X</t>
  </si>
  <si>
    <t>Delta Plot Y</t>
  </si>
  <si>
    <t>Current Value Delta Plot 5 Points X</t>
  </si>
  <si>
    <t>Current Value Delta Plot 5 Points Y</t>
  </si>
  <si>
    <t>Current Gamma X</t>
  </si>
  <si>
    <t>Current Gamma Y</t>
  </si>
  <si>
    <t>BSCall</t>
  </si>
  <si>
    <t>BSCallDelta</t>
  </si>
  <si>
    <t>BSCallGamma</t>
  </si>
  <si>
    <t>Put Option</t>
  </si>
  <si>
    <t>BSPut</t>
  </si>
  <si>
    <t>BSPutDelta</t>
  </si>
  <si>
    <t>BSPutGamma</t>
  </si>
  <si>
    <t>list_OptionSelection</t>
  </si>
  <si>
    <t>ctrl_OptionSelection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</si>
</sst>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00"/>
    <numFmt numFmtId="167" formatCode="0.0000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Times New Roman"/>
      <family val="1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9" fontId="0" fillId="0" borderId="0" xfId="0" applyNumberFormat="1"/>
    <xf numFmtId="6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2" fillId="0" borderId="0" xfId="2"/>
    <xf numFmtId="0" fontId="2" fillId="0" borderId="0" xfId="2" applyFont="1"/>
    <xf numFmtId="0" fontId="3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6" fillId="0" borderId="0" xfId="2" applyFont="1"/>
    <xf numFmtId="0" fontId="6" fillId="2" borderId="2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2" fontId="6" fillId="0" borderId="3" xfId="2" applyNumberFormat="1" applyFont="1" applyBorder="1" applyAlignment="1">
      <alignment horizontal="center"/>
    </xf>
    <xf numFmtId="0" fontId="6" fillId="0" borderId="0" xfId="2" applyFont="1" applyFill="1"/>
    <xf numFmtId="0" fontId="6" fillId="0" borderId="3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0" xfId="2" quotePrefix="1" applyFont="1"/>
    <xf numFmtId="166" fontId="6" fillId="0" borderId="0" xfId="2" applyNumberFormat="1" applyFont="1"/>
    <xf numFmtId="0" fontId="6" fillId="0" borderId="0" xfId="2" quotePrefix="1" applyFont="1" applyAlignment="1">
      <alignment horizontal="left"/>
    </xf>
    <xf numFmtId="167" fontId="6" fillId="0" borderId="0" xfId="2" applyNumberFormat="1" applyFont="1"/>
    <xf numFmtId="165" fontId="0" fillId="0" borderId="0" xfId="3" applyNumberFormat="1" applyFont="1"/>
    <xf numFmtId="168" fontId="2" fillId="0" borderId="0" xfId="2" applyNumberFormat="1"/>
    <xf numFmtId="0" fontId="8" fillId="0" borderId="4" xfId="0" applyFont="1" applyBorder="1" applyAlignment="1">
      <alignment horizontal="center" vertical="center"/>
    </xf>
    <xf numFmtId="44" fontId="0" fillId="0" borderId="0" xfId="4" applyFont="1"/>
    <xf numFmtId="44" fontId="9" fillId="0" borderId="0" xfId="4" applyFont="1"/>
    <xf numFmtId="10" fontId="0" fillId="0" borderId="0" xfId="0" applyNumberFormat="1"/>
    <xf numFmtId="8" fontId="0" fillId="0" borderId="0" xfId="0" applyNumberFormat="1"/>
    <xf numFmtId="10" fontId="6" fillId="0" borderId="0" xfId="3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</cellXfs>
  <cellStyles count="5">
    <cellStyle name="Comma" xfId="1" builtinId="3"/>
    <cellStyle name="Currency" xfId="4" builtinId="4"/>
    <cellStyle name="Normal" xfId="0" builtinId="0"/>
    <cellStyle name="Normal 2" xfId="2" xr:uid="{3FD14528-CC5D-40B6-B3F2-0D98DA61410B}"/>
    <cellStyle name="Percent 2" xfId="3" xr:uid="{70675A75-E70B-4E6B-86E1-A66B6975D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Payoffs'!$U$16</c:f>
          <c:strCache>
            <c:ptCount val="1"/>
            <c:pt idx="0">
              <c:v>Long Stock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Payoffs'!$U$17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Payoffs'!$T$18:$T$68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Payoffs'!$U$18:$U$68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6A4-4A6C-8FAC-49D7A4F5EDB6}"/>
            </c:ext>
          </c:extLst>
        </c:ser>
        <c:ser>
          <c:idx val="1"/>
          <c:order val="1"/>
          <c:tx>
            <c:strRef>
              <c:f>'Option Payoffs'!$V$17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Payoffs'!$T$18:$T$68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Payoffs'!$V$18:$V$68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6A4-4A6C-8FAC-49D7A4F5E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306816"/>
        <c:axId val="800307472"/>
      </c:lineChart>
      <c:catAx>
        <c:axId val="8003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07472"/>
        <c:crosses val="autoZero"/>
        <c:auto val="1"/>
        <c:lblAlgn val="ctr"/>
        <c:lblOffset val="100"/>
        <c:noMultiLvlLbl val="0"/>
      </c:catAx>
      <c:valAx>
        <c:axId val="8003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Payoffs'!$Q$16:$R$16</c:f>
          <c:strCache>
            <c:ptCount val="2"/>
            <c:pt idx="0">
              <c:v>Short Put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Payoffs'!$Q$17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Payoffs'!$P$18:$P$68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Payoffs'!$Q$18:$Q$68</c:f>
              <c:numCache>
                <c:formatCode>General</c:formatCode>
                <c:ptCount val="51"/>
                <c:pt idx="0">
                  <c:v>-25</c:v>
                </c:pt>
                <c:pt idx="1">
                  <c:v>-24</c:v>
                </c:pt>
                <c:pt idx="2">
                  <c:v>-23</c:v>
                </c:pt>
                <c:pt idx="3">
                  <c:v>-22</c:v>
                </c:pt>
                <c:pt idx="4">
                  <c:v>-21</c:v>
                </c:pt>
                <c:pt idx="5">
                  <c:v>-20</c:v>
                </c:pt>
                <c:pt idx="6">
                  <c:v>-19</c:v>
                </c:pt>
                <c:pt idx="7">
                  <c:v>-18</c:v>
                </c:pt>
                <c:pt idx="8">
                  <c:v>-17</c:v>
                </c:pt>
                <c:pt idx="9">
                  <c:v>-16</c:v>
                </c:pt>
                <c:pt idx="10">
                  <c:v>-15</c:v>
                </c:pt>
                <c:pt idx="11">
                  <c:v>-14</c:v>
                </c:pt>
                <c:pt idx="12">
                  <c:v>-13</c:v>
                </c:pt>
                <c:pt idx="13">
                  <c:v>-12</c:v>
                </c:pt>
                <c:pt idx="14">
                  <c:v>-11</c:v>
                </c:pt>
                <c:pt idx="15">
                  <c:v>-10</c:v>
                </c:pt>
                <c:pt idx="16">
                  <c:v>-9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CD-4D2F-96D7-C744A9A90D90}"/>
            </c:ext>
          </c:extLst>
        </c:ser>
        <c:ser>
          <c:idx val="1"/>
          <c:order val="1"/>
          <c:tx>
            <c:strRef>
              <c:f>'Option Payoffs'!$R$17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Payoffs'!$P$18:$P$68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Payoffs'!$R$18:$R$68</c:f>
              <c:numCache>
                <c:formatCode>General</c:formatCode>
                <c:ptCount val="5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CD-4D2F-96D7-C744A9A90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548152"/>
        <c:axId val="535546512"/>
      </c:lineChart>
      <c:catAx>
        <c:axId val="53554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46512"/>
        <c:crosses val="autoZero"/>
        <c:auto val="1"/>
        <c:lblAlgn val="ctr"/>
        <c:lblOffset val="100"/>
        <c:noMultiLvlLbl val="0"/>
      </c:catAx>
      <c:valAx>
        <c:axId val="535546512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4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Payoffs'!$M$16:$N$16</c:f>
          <c:strCache>
            <c:ptCount val="2"/>
            <c:pt idx="0">
              <c:v>Long Put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Payoffs'!$M$17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Payoffs'!$L$18:$L$68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Payoffs'!$M$18:$M$68</c:f>
              <c:numCache>
                <c:formatCode>General</c:formatCode>
                <c:ptCount val="51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FA9-4AD4-8A60-196A8DB4B64E}"/>
            </c:ext>
          </c:extLst>
        </c:ser>
        <c:ser>
          <c:idx val="1"/>
          <c:order val="1"/>
          <c:tx>
            <c:strRef>
              <c:f>'Option Payoffs'!$N$17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Payoffs'!$L$18:$L$68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Payoffs'!$N$18:$N$68</c:f>
              <c:numCache>
                <c:formatCode>General</c:formatCode>
                <c:ptCount val="5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-5</c:v>
                </c:pt>
                <c:pt idx="42">
                  <c:v>-5</c:v>
                </c:pt>
                <c:pt idx="43">
                  <c:v>-5</c:v>
                </c:pt>
                <c:pt idx="44">
                  <c:v>-5</c:v>
                </c:pt>
                <c:pt idx="45">
                  <c:v>-5</c:v>
                </c:pt>
                <c:pt idx="46">
                  <c:v>-5</c:v>
                </c:pt>
                <c:pt idx="47">
                  <c:v>-5</c:v>
                </c:pt>
                <c:pt idx="48">
                  <c:v>-5</c:v>
                </c:pt>
                <c:pt idx="49">
                  <c:v>-5</c:v>
                </c:pt>
                <c:pt idx="50">
                  <c:v>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FA9-4AD4-8A60-196A8DB4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043632"/>
        <c:axId val="881042648"/>
      </c:lineChart>
      <c:catAx>
        <c:axId val="88104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042648"/>
        <c:crosses val="autoZero"/>
        <c:auto val="1"/>
        <c:lblAlgn val="ctr"/>
        <c:lblOffset val="100"/>
        <c:tickLblSkip val="5"/>
        <c:noMultiLvlLbl val="0"/>
      </c:catAx>
      <c:valAx>
        <c:axId val="881042648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04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Payoffs'!$I$16:$J$16</c:f>
          <c:strCache>
            <c:ptCount val="2"/>
            <c:pt idx="0">
              <c:v>Short Call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Payoffs'!$I$17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Payoffs'!$H$18:$H$68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Payoffs'!$I$18:$I$68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-12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-19</c:v>
                </c:pt>
                <c:pt idx="45">
                  <c:v>-20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-24</c:v>
                </c:pt>
                <c:pt idx="50">
                  <c:v>-25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BD-43D1-9A79-F38E2480F3D8}"/>
            </c:ext>
          </c:extLst>
        </c:ser>
        <c:ser>
          <c:idx val="1"/>
          <c:order val="1"/>
          <c:tx>
            <c:strRef>
              <c:f>'Option Payoffs'!$J$17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Payoffs'!$H$18:$H$68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Payoffs'!$J$18:$J$68</c:f>
              <c:numCache>
                <c:formatCode>General</c:formatCode>
                <c:ptCount val="5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-1</c:v>
                </c:pt>
                <c:pt idx="32">
                  <c:v>-2</c:v>
                </c:pt>
                <c:pt idx="33">
                  <c:v>-3</c:v>
                </c:pt>
                <c:pt idx="34">
                  <c:v>-4</c:v>
                </c:pt>
                <c:pt idx="35">
                  <c:v>-5</c:v>
                </c:pt>
                <c:pt idx="36">
                  <c:v>-6</c:v>
                </c:pt>
                <c:pt idx="37">
                  <c:v>-7</c:v>
                </c:pt>
                <c:pt idx="38">
                  <c:v>-8</c:v>
                </c:pt>
                <c:pt idx="39">
                  <c:v>-9</c:v>
                </c:pt>
                <c:pt idx="40">
                  <c:v>-10</c:v>
                </c:pt>
                <c:pt idx="41">
                  <c:v>-11</c:v>
                </c:pt>
                <c:pt idx="42">
                  <c:v>-12</c:v>
                </c:pt>
                <c:pt idx="43">
                  <c:v>-13</c:v>
                </c:pt>
                <c:pt idx="44">
                  <c:v>-14</c:v>
                </c:pt>
                <c:pt idx="45">
                  <c:v>-15</c:v>
                </c:pt>
                <c:pt idx="46">
                  <c:v>-16</c:v>
                </c:pt>
                <c:pt idx="47">
                  <c:v>-17</c:v>
                </c:pt>
                <c:pt idx="48">
                  <c:v>-18</c:v>
                </c:pt>
                <c:pt idx="49">
                  <c:v>-19</c:v>
                </c:pt>
                <c:pt idx="50">
                  <c:v>-20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BD-43D1-9A79-F38E2480F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989952"/>
        <c:axId val="664990280"/>
      </c:lineChart>
      <c:catAx>
        <c:axId val="6649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90280"/>
        <c:crosses val="autoZero"/>
        <c:auto val="1"/>
        <c:lblAlgn val="ctr"/>
        <c:lblOffset val="100"/>
        <c:noMultiLvlLbl val="0"/>
      </c:catAx>
      <c:valAx>
        <c:axId val="664990280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Payoffs'!$E$16:$F$16</c:f>
          <c:strCache>
            <c:ptCount val="2"/>
            <c:pt idx="0">
              <c:v>Long Call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Payoffs'!$E$17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Payoffs'!$D$18:$D$68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Payoffs'!$E$18:$E$68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94-4A17-9F48-78D49F281823}"/>
            </c:ext>
          </c:extLst>
        </c:ser>
        <c:ser>
          <c:idx val="1"/>
          <c:order val="1"/>
          <c:tx>
            <c:strRef>
              <c:f>'Option Payoffs'!$F$17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Payoffs'!$D$18:$D$68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Payoffs'!$F$18:$F$68</c:f>
              <c:numCache>
                <c:formatCode>General</c:formatCode>
                <c:ptCount val="51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B94-4A17-9F48-78D49F281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993736"/>
        <c:axId val="664992752"/>
      </c:lineChart>
      <c:catAx>
        <c:axId val="66499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92752"/>
        <c:crosses val="autoZero"/>
        <c:auto val="1"/>
        <c:lblAlgn val="ctr"/>
        <c:lblOffset val="100"/>
        <c:noMultiLvlLbl val="0"/>
      </c:catAx>
      <c:valAx>
        <c:axId val="664992752"/>
        <c:scaling>
          <c:orientation val="minMax"/>
          <c:max val="2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9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'Option Payoffs'!$Y$16:$Z$16</c:f>
          <c:strCache>
            <c:ptCount val="2"/>
            <c:pt idx="0">
              <c:v>Short Stock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'Option Payoffs'!$Y$17</c:f>
              <c:strCache>
                <c:ptCount val="1"/>
                <c:pt idx="0">
                  <c:v>Gross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Payoffs'!$X$18:$X$68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Payoffs'!$Y$18:$Y$68</c:f>
              <c:numCache>
                <c:formatCode>General</c:formatCode>
                <c:ptCount val="51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-12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-19</c:v>
                </c:pt>
                <c:pt idx="45">
                  <c:v>-20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-24</c:v>
                </c:pt>
                <c:pt idx="50">
                  <c:v>-25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AEF-4F57-87FE-83BDFB99A7E3}"/>
            </c:ext>
          </c:extLst>
        </c:ser>
        <c:ser>
          <c:idx val="1"/>
          <c:order val="1"/>
          <c:tx>
            <c:strRef>
              <c:f>'Option Payoffs'!$Z$17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'Option Payoffs'!$X$18:$X$68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'Option Payoffs'!$Z$18:$Z$68</c:f>
              <c:numCache>
                <c:formatCode>General</c:formatCode>
                <c:ptCount val="51"/>
                <c:pt idx="0">
                  <c:v>25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-12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-19</c:v>
                </c:pt>
                <c:pt idx="45">
                  <c:v>-20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-24</c:v>
                </c:pt>
                <c:pt idx="50">
                  <c:v>-25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AEF-4F57-87FE-83BDFB99A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297960"/>
        <c:axId val="800298288"/>
      </c:lineChart>
      <c:catAx>
        <c:axId val="80029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98288"/>
        <c:crosses val="autoZero"/>
        <c:auto val="1"/>
        <c:lblAlgn val="ctr"/>
        <c:lblOffset val="100"/>
        <c:noMultiLvlLbl val="0"/>
      </c:catAx>
      <c:valAx>
        <c:axId val="8002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29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5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3009272864551073"/>
          <c:y val="0.1037044538805981"/>
          <c:w val="0.63426212683614924"/>
          <c:h val="0.6592640282409449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9729343662006644E-2"/>
                  <c:y val="-1.23849082816356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C63-411D-96B3-873BDB165D05}"/>
                </c:ext>
              </c:extLst>
            </c:dLbl>
            <c:dLbl>
              <c:idx val="1"/>
              <c:layout>
                <c:manualLayout>
                  <c:x val="3.1191302757783479E-2"/>
                  <c:y val="6.711883240545435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63-411D-96B3-873BDB165D0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'Binomial Calc'!$O$12:$O$13</c:f>
              <c:strCache>
                <c:ptCount val="2"/>
                <c:pt idx="0">
                  <c:v>Underlying</c:v>
                </c:pt>
                <c:pt idx="1">
                  <c:v>Bond</c:v>
                </c:pt>
              </c:strCache>
            </c:strRef>
          </c:cat>
          <c:val>
            <c:numRef>
              <c:f>'Binomial Calc'!$P$12:$P$13</c:f>
              <c:numCache>
                <c:formatCode>0.0%</c:formatCode>
                <c:ptCount val="2"/>
                <c:pt idx="0">
                  <c:v>7.0651881720430225</c:v>
                </c:pt>
                <c:pt idx="1">
                  <c:v>-6.0651881720430225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3-411D-96B3-873BDB16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463744168"/>
        <c:axId val="1"/>
        <c:axId val="0"/>
      </c:bar3DChart>
      <c:catAx>
        <c:axId val="463744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"/>
          <c:min val="-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Weights</a:t>
                </a:r>
              </a:p>
            </c:rich>
          </c:tx>
          <c:layout>
            <c:manualLayout>
              <c:xMode val="edge"/>
              <c:yMode val="edge"/>
              <c:x val="7.4074289100959159E-2"/>
              <c:y val="0.31111344415281422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463744168"/>
        <c:crosses val="autoZero"/>
        <c:crossBetween val="between"/>
        <c:majorUnit val="0.5"/>
        <c:minorUnit val="0.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83183007773729"/>
          <c:y val="0.17054392671940649"/>
          <c:w val="0.66822582374832007"/>
          <c:h val="0.54263976683447523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FF66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numFmt formatCode="0.0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'Binomial Calc'!$O$15:$O$17</c:f>
              <c:numCache>
                <c:formatCode>General</c:formatCode>
                <c:ptCount val="3"/>
                <c:pt idx="0" formatCode="0.0">
                  <c:v>120</c:v>
                </c:pt>
                <c:pt idx="1">
                  <c:v>90.25</c:v>
                </c:pt>
                <c:pt idx="2">
                  <c:v>0</c:v>
                </c:pt>
              </c:numCache>
            </c:numRef>
          </c:xVal>
          <c:yVal>
            <c:numRef>
              <c:f>'Binomial Calc'!$P$15:$P$17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-30.336134453781519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0-462D-905A-F63938813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79808"/>
        <c:axId val="1"/>
      </c:scatterChart>
      <c:valAx>
        <c:axId val="72637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Underlying</a:t>
                </a:r>
              </a:p>
            </c:rich>
          </c:tx>
          <c:layout>
            <c:manualLayout>
              <c:xMode val="edge"/>
              <c:yMode val="edge"/>
              <c:x val="0.42523493865592382"/>
              <c:y val="0.7829519356955381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2"/>
          <c:min val="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Derivative</a:t>
                </a:r>
              </a:p>
            </c:rich>
          </c:tx>
          <c:layout>
            <c:manualLayout>
              <c:xMode val="edge"/>
              <c:yMode val="edge"/>
              <c:x val="9.345785265213942E-2"/>
              <c:y val="0.2248072506561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7263798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Value and Delta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Option Value</c:v>
          </c:tx>
          <c:marker>
            <c:symbol val="none"/>
          </c:marker>
          <c:xVal>
            <c:numRef>
              <c:f>'Black-Scholes Option Pricing'!$C$28:$AP$28</c:f>
              <c:numCache>
                <c:formatCode>0.00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'Black-Scholes Option Pricing'!$C$29:$AP$29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87-422B-BC9A-F98A77CDA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11488"/>
        <c:axId val="518112048"/>
      </c:scatterChart>
      <c:scatterChart>
        <c:scatterStyle val="lineMarker"/>
        <c:varyColors val="0"/>
        <c:ser>
          <c:idx val="1"/>
          <c:order val="1"/>
          <c:tx>
            <c:v>Intrinsic Value</c:v>
          </c:tx>
          <c:marker>
            <c:symbol val="none"/>
          </c:marker>
          <c:xVal>
            <c:numRef>
              <c:f>'Black-Scholes Option Pricing'!$C$28:$AP$28</c:f>
              <c:numCache>
                <c:formatCode>0.00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'Black-Scholes Option Pricing'!$C$32:$AP$32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10</c:v>
                </c:pt>
                <c:pt idx="22">
                  <c:v>15</c:v>
                </c:pt>
                <c:pt idx="23">
                  <c:v>20</c:v>
                </c:pt>
                <c:pt idx="24">
                  <c:v>25</c:v>
                </c:pt>
                <c:pt idx="25">
                  <c:v>30</c:v>
                </c:pt>
                <c:pt idx="26">
                  <c:v>35</c:v>
                </c:pt>
                <c:pt idx="27">
                  <c:v>40</c:v>
                </c:pt>
                <c:pt idx="28">
                  <c:v>45</c:v>
                </c:pt>
                <c:pt idx="29">
                  <c:v>50</c:v>
                </c:pt>
                <c:pt idx="30">
                  <c:v>55</c:v>
                </c:pt>
                <c:pt idx="31">
                  <c:v>60</c:v>
                </c:pt>
                <c:pt idx="32">
                  <c:v>65</c:v>
                </c:pt>
                <c:pt idx="33">
                  <c:v>70</c:v>
                </c:pt>
                <c:pt idx="34">
                  <c:v>75</c:v>
                </c:pt>
                <c:pt idx="35">
                  <c:v>80</c:v>
                </c:pt>
                <c:pt idx="36">
                  <c:v>85</c:v>
                </c:pt>
                <c:pt idx="37">
                  <c:v>90</c:v>
                </c:pt>
                <c:pt idx="38">
                  <c:v>95</c:v>
                </c:pt>
                <c:pt idx="3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87-422B-BC9A-F98A77CDA499}"/>
            </c:ext>
          </c:extLst>
        </c:ser>
        <c:ser>
          <c:idx val="2"/>
          <c:order val="2"/>
          <c:tx>
            <c:v>Value Point</c:v>
          </c:tx>
          <c:marker>
            <c:symbol val="triangle"/>
            <c:size val="10"/>
            <c:spPr>
              <a:solidFill>
                <a:schemeClr val="accent1"/>
              </a:solidFill>
            </c:spPr>
          </c:marker>
          <c:xVal>
            <c:numRef>
              <c:f>'Black-Scholes Option Pricing'!$B$33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'Black-Scholes Option Pricing'!$B$34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87-422B-BC9A-F98A77CDA499}"/>
            </c:ext>
          </c:extLst>
        </c:ser>
        <c:ser>
          <c:idx val="3"/>
          <c:order val="3"/>
          <c:tx>
            <c:v>Slope at Current</c:v>
          </c:tx>
          <c:marker>
            <c:symbol val="none"/>
          </c:marker>
          <c:xVal>
            <c:numRef>
              <c:f>'Black-Scholes Option Pricing'!$B$37:$F$37</c:f>
              <c:numCache>
                <c:formatCode>General</c:formatCode>
                <c:ptCount val="5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</c:numCache>
            </c:numRef>
          </c:xVal>
          <c:yVal>
            <c:numRef>
              <c:f>'Black-Scholes Option Pricing'!$B$38:$F$38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87-422B-BC9A-F98A77CDA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11488"/>
        <c:axId val="518112048"/>
      </c:scatterChart>
      <c:valAx>
        <c:axId val="518111488"/>
        <c:scaling>
          <c:orientation val="minMax"/>
          <c:max val="200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crossAx val="518112048"/>
        <c:crosses val="autoZero"/>
        <c:crossBetween val="midCat"/>
      </c:valAx>
      <c:valAx>
        <c:axId val="51811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111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Gamma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'Black-Scholes Option Pricing'!$C$28:$AP$28</c:f>
              <c:numCache>
                <c:formatCode>0.00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'Black-Scholes Option Pricing'!$C$31:$AP$31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A-4A8A-86AF-5D2F30F02625}"/>
            </c:ext>
          </c:extLst>
        </c:ser>
        <c:ser>
          <c:idx val="1"/>
          <c:order val="1"/>
          <c:marker>
            <c:symbol val="triangle"/>
            <c:size val="10"/>
          </c:marker>
          <c:xVal>
            <c:numRef>
              <c:f>'Black-Scholes Option Pricing'!$B$39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'Black-Scholes Option Pricing'!$B$40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A-4A8A-86AF-5D2F30F02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201760"/>
        <c:axId val="579202320"/>
      </c:scatterChart>
      <c:valAx>
        <c:axId val="579201760"/>
        <c:scaling>
          <c:orientation val="minMax"/>
          <c:max val="200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crossAx val="579202320"/>
        <c:crosses val="autoZero"/>
        <c:crossBetween val="midCat"/>
      </c:valAx>
      <c:valAx>
        <c:axId val="57920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9201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</xdr:colOff>
      <xdr:row>3</xdr:row>
      <xdr:rowOff>9526</xdr:rowOff>
    </xdr:from>
    <xdr:to>
      <xdr:col>22</xdr:col>
      <xdr:colOff>19050</xdr:colOff>
      <xdr:row>14</xdr:row>
      <xdr:rowOff>182218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6C0107-CBBC-4CF7-B841-27CC20429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17</xdr:col>
      <xdr:colOff>600075</xdr:colOff>
      <xdr:row>14</xdr:row>
      <xdr:rowOff>157372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572D96-D3D8-4362-8DF0-978A86E51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14</xdr:col>
      <xdr:colOff>0</xdr:colOff>
      <xdr:row>14</xdr:row>
      <xdr:rowOff>165651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E08CFB-D1D1-4789-AAEB-0DC01826B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885824</xdr:colOff>
      <xdr:row>3</xdr:row>
      <xdr:rowOff>0</xdr:rowOff>
    </xdr:from>
    <xdr:to>
      <xdr:col>10</xdr:col>
      <xdr:colOff>9525</xdr:colOff>
      <xdr:row>14</xdr:row>
      <xdr:rowOff>157369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70B389-D150-4796-8EA4-AE35DF3AF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6</xdr:col>
      <xdr:colOff>9525</xdr:colOff>
      <xdr:row>14</xdr:row>
      <xdr:rowOff>149086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2D9361-AF30-44E0-8AF3-3B2AAA2F5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3</xdr:row>
      <xdr:rowOff>9525</xdr:rowOff>
    </xdr:from>
    <xdr:to>
      <xdr:col>26</xdr:col>
      <xdr:colOff>0</xdr:colOff>
      <xdr:row>15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5496FF7-1373-4B0A-87E5-C39F9F6AA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</xdr:col>
      <xdr:colOff>266700</xdr:colOff>
      <xdr:row>4</xdr:row>
      <xdr:rowOff>171450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3A51D9A-EECE-4A64-BE13-9970BD901691}"/>
            </a:ext>
          </a:extLst>
        </xdr:cNvPr>
        <xdr:cNvSpPr>
          <a:spLocks noChangeShapeType="1"/>
        </xdr:cNvSpPr>
      </xdr:nvSpPr>
      <xdr:spPr bwMode="auto">
        <a:xfrm flipV="1">
          <a:off x="571500" y="676275"/>
          <a:ext cx="26670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600075</xdr:colOff>
      <xdr:row>5</xdr:row>
      <xdr:rowOff>0</xdr:rowOff>
    </xdr:from>
    <xdr:to>
      <xdr:col>2</xdr:col>
      <xdr:colOff>352425</xdr:colOff>
      <xdr:row>5</xdr:row>
      <xdr:rowOff>190500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FC3B86C-C313-4BEB-A554-10472BB3DA3F}"/>
            </a:ext>
          </a:extLst>
        </xdr:cNvPr>
        <xdr:cNvSpPr>
          <a:spLocks noChangeShapeType="1"/>
        </xdr:cNvSpPr>
      </xdr:nvSpPr>
      <xdr:spPr bwMode="auto">
        <a:xfrm>
          <a:off x="571500" y="857250"/>
          <a:ext cx="2667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342900</xdr:colOff>
      <xdr:row>0</xdr:row>
      <xdr:rowOff>57150</xdr:rowOff>
    </xdr:from>
    <xdr:to>
      <xdr:col>12</xdr:col>
      <xdr:colOff>438150</xdr:colOff>
      <xdr:row>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5AFE3E-DB3A-4B86-9809-9EB353AE0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8</xdr:row>
      <xdr:rowOff>38100</xdr:rowOff>
    </xdr:from>
    <xdr:to>
      <xdr:col>12</xdr:col>
      <xdr:colOff>428625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BCA7DD-6FEC-4EB2-A105-795874A71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82261</xdr:colOff>
      <xdr:row>0</xdr:row>
      <xdr:rowOff>188336</xdr:rowOff>
    </xdr:from>
    <xdr:to>
      <xdr:col>9</xdr:col>
      <xdr:colOff>383597</xdr:colOff>
      <xdr:row>15</xdr:row>
      <xdr:rowOff>74036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53D0D-94B9-4170-91AA-DCFF2126C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25977</xdr:colOff>
      <xdr:row>1</xdr:row>
      <xdr:rowOff>9524</xdr:rowOff>
    </xdr:from>
    <xdr:to>
      <xdr:col>17</xdr:col>
      <xdr:colOff>355022</xdr:colOff>
      <xdr:row>15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57DB6-33C1-40EB-8271-FE0ED341B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eaching/F560/Simple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g%20Session%201/F541/Class%2013/Black-Scholes%20Functions%20In%20A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D2">
            <v>0.1</v>
          </cell>
        </row>
        <row r="4">
          <cell r="F4">
            <v>1</v>
          </cell>
        </row>
        <row r="8">
          <cell r="F8">
            <v>0</v>
          </cell>
        </row>
        <row r="11">
          <cell r="F11">
            <v>0.66666666666666663</v>
          </cell>
        </row>
        <row r="12">
          <cell r="F12">
            <v>-0.30303030303030293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ck-Scholes Option Pricing"/>
      <sheetName val="Hidden"/>
      <sheetName val="Sheet3"/>
    </sheetNames>
    <sheetDataSet>
      <sheetData sheetId="0">
        <row r="28">
          <cell r="C28">
            <v>5</v>
          </cell>
          <cell r="D28">
            <v>10</v>
          </cell>
          <cell r="E28">
            <v>15</v>
          </cell>
          <cell r="F28">
            <v>20</v>
          </cell>
          <cell r="G28">
            <v>25</v>
          </cell>
          <cell r="H28">
            <v>30</v>
          </cell>
          <cell r="I28">
            <v>35</v>
          </cell>
          <cell r="J28">
            <v>40</v>
          </cell>
          <cell r="K28">
            <v>45</v>
          </cell>
          <cell r="L28">
            <v>50</v>
          </cell>
          <cell r="M28">
            <v>55</v>
          </cell>
          <cell r="N28">
            <v>60</v>
          </cell>
          <cell r="O28">
            <v>65</v>
          </cell>
          <cell r="P28">
            <v>70</v>
          </cell>
          <cell r="Q28">
            <v>75</v>
          </cell>
          <cell r="R28">
            <v>80</v>
          </cell>
          <cell r="S28">
            <v>85</v>
          </cell>
          <cell r="T28">
            <v>90</v>
          </cell>
          <cell r="U28">
            <v>95</v>
          </cell>
          <cell r="V28">
            <v>100</v>
          </cell>
          <cell r="W28">
            <v>105</v>
          </cell>
          <cell r="X28">
            <v>110</v>
          </cell>
          <cell r="Y28">
            <v>115</v>
          </cell>
          <cell r="Z28">
            <v>120</v>
          </cell>
          <cell r="AA28">
            <v>125</v>
          </cell>
          <cell r="AB28">
            <v>130</v>
          </cell>
          <cell r="AC28">
            <v>135</v>
          </cell>
          <cell r="AD28">
            <v>140</v>
          </cell>
          <cell r="AE28">
            <v>145</v>
          </cell>
          <cell r="AF28">
            <v>150</v>
          </cell>
          <cell r="AG28">
            <v>155</v>
          </cell>
          <cell r="AH28">
            <v>160</v>
          </cell>
          <cell r="AI28">
            <v>165</v>
          </cell>
          <cell r="AJ28">
            <v>170</v>
          </cell>
          <cell r="AK28">
            <v>175</v>
          </cell>
          <cell r="AL28">
            <v>180</v>
          </cell>
          <cell r="AM28">
            <v>185</v>
          </cell>
          <cell r="AN28">
            <v>190</v>
          </cell>
          <cell r="AO28">
            <v>195</v>
          </cell>
          <cell r="AP28">
            <v>200</v>
          </cell>
        </row>
        <row r="29">
          <cell r="C29">
            <v>1.3589002609739596E-17</v>
          </cell>
          <cell r="D29">
            <v>7.2059541241284262E-11</v>
          </cell>
          <cell r="E29">
            <v>1.1131888671502308E-7</v>
          </cell>
          <cell r="F29">
            <v>9.5743397268901608E-6</v>
          </cell>
          <cell r="G29">
            <v>1.9828683587842224E-4</v>
          </cell>
          <cell r="H29">
            <v>1.800022118476248E-3</v>
          </cell>
          <cell r="I29">
            <v>9.6484923690645374E-3</v>
          </cell>
          <cell r="J29">
            <v>3.6102279775727053E-2</v>
          </cell>
          <cell r="K29">
            <v>0.10445237836281951</v>
          </cell>
          <cell r="L29">
            <v>0.24972977561571286</v>
          </cell>
          <cell r="M29">
            <v>0.51623709523355066</v>
          </cell>
          <cell r="N29">
            <v>0.95269825925976459</v>
          </cell>
          <cell r="O29">
            <v>1.6066435472313589</v>
          </cell>
          <cell r="P29">
            <v>2.5194849589353687</v>
          </cell>
          <cell r="Q29">
            <v>3.7231314063032102</v>
          </cell>
          <cell r="R29">
            <v>5.2383652765096897</v>
          </cell>
          <cell r="S29">
            <v>7.0747649699321116</v>
          </cell>
          <cell r="T29">
            <v>9.2317487491767025</v>
          </cell>
          <cell r="U29">
            <v>11.700280790623047</v>
          </cell>
          <cell r="V29">
            <v>14.464846681027971</v>
          </cell>
          <cell r="W29">
            <v>17.505411600828289</v>
          </cell>
          <cell r="X29">
            <v>20.799181236942566</v>
          </cell>
          <cell r="Y29">
            <v>24.322073854551952</v>
          </cell>
          <cell r="Z29">
            <v>28.049876001749297</v>
          </cell>
          <cell r="AA29">
            <v>31.959095450677609</v>
          </cell>
          <cell r="AB29">
            <v>36.027547763246574</v>
          </cell>
          <cell r="AC29">
            <v>40.234722521172671</v>
          </cell>
          <cell r="AD29">
            <v>44.561976402564866</v>
          </cell>
          <cell r="AE29">
            <v>48.992596511906441</v>
          </cell>
          <cell r="AF29">
            <v>53.511771214828045</v>
          </cell>
          <cell r="AG29">
            <v>58.10649884222687</v>
          </cell>
          <cell r="AH29">
            <v>62.765457986222813</v>
          </cell>
          <cell r="AI29">
            <v>67.478857219955501</v>
          </cell>
          <cell r="AJ29">
            <v>72.238277136218102</v>
          </cell>
          <cell r="AK29">
            <v>77.036513635066996</v>
          </cell>
          <cell r="AL29">
            <v>81.867428317210113</v>
          </cell>
          <cell r="AM29">
            <v>86.725809532676706</v>
          </cell>
          <cell r="AN29">
            <v>91.607245955720387</v>
          </cell>
          <cell r="AO29">
            <v>96.508013376442918</v>
          </cell>
          <cell r="AP29">
            <v>101.42497460217142</v>
          </cell>
        </row>
        <row r="31">
          <cell r="C31">
            <v>3.2270167786543202E-16</v>
          </cell>
          <cell r="D31">
            <v>2.5881154531670721E-10</v>
          </cell>
          <cell r="E31">
            <v>1.2384682459659189E-7</v>
          </cell>
          <cell r="F31">
            <v>4.4453025653140115E-6</v>
          </cell>
          <cell r="G31">
            <v>4.5294901545462908E-5</v>
          </cell>
          <cell r="H31">
            <v>2.2456665923846592E-4</v>
          </cell>
          <cell r="I31">
            <v>7.0649109239612163E-4</v>
          </cell>
          <cell r="J31">
            <v>1.6351374461124762E-3</v>
          </cell>
          <cell r="K31">
            <v>3.045077422592332E-3</v>
          </cell>
          <cell r="L31">
            <v>4.8341379544666547E-3</v>
          </cell>
          <cell r="M31">
            <v>6.8024883150701113E-3</v>
          </cell>
          <cell r="N31">
            <v>8.720491008029508E-3</v>
          </cell>
          <cell r="O31">
            <v>1.0388336172197105E-2</v>
          </cell>
          <cell r="P31">
            <v>1.1669991051671866E-2</v>
          </cell>
          <cell r="Q31">
            <v>1.2501343341605527E-2</v>
          </cell>
          <cell r="R31">
            <v>1.2880788834730083E-2</v>
          </cell>
          <cell r="S31">
            <v>1.2851655419388356E-2</v>
          </cell>
          <cell r="T31">
            <v>1.2483510236337937E-2</v>
          </cell>
          <cell r="U31">
            <v>1.1856327929773983E-2</v>
          </cell>
          <cell r="V31">
            <v>1.1049026567333139E-2</v>
          </cell>
          <cell r="W31">
            <v>1.0132336576682961E-2</v>
          </cell>
          <cell r="X31">
            <v>9.1652221966572155E-3</v>
          </cell>
          <cell r="Y31">
            <v>8.1938580844753365E-3</v>
          </cell>
          <cell r="Z31">
            <v>7.2522348069915281E-3</v>
          </cell>
          <cell r="AA31">
            <v>6.363657823950433E-3</v>
          </cell>
          <cell r="AB31">
            <v>5.5426169545465618E-3</v>
          </cell>
          <cell r="AC31">
            <v>4.7966895788988852E-3</v>
          </cell>
          <cell r="AD31">
            <v>4.1282844476623875E-3</v>
          </cell>
          <cell r="AE31">
            <v>3.5361338783781444E-3</v>
          </cell>
          <cell r="AF31">
            <v>3.0165073160682491E-3</v>
          </cell>
          <cell r="AG31">
            <v>2.5641575953539576E-3</v>
          </cell>
          <cell r="AH31">
            <v>2.1730309635802753E-3</v>
          </cell>
          <cell r="AI31">
            <v>1.8367795981311769E-3</v>
          </cell>
          <cell r="AJ31">
            <v>1.5491158218441515E-3</v>
          </cell>
          <cell r="AK31">
            <v>1.3040438174318936E-3</v>
          </cell>
          <cell r="AL31">
            <v>1.0959995153610677E-3</v>
          </cell>
          <cell r="AM31">
            <v>9.1992377898117992E-4</v>
          </cell>
          <cell r="AN31">
            <v>7.7128875587053898E-4</v>
          </cell>
          <cell r="AO31">
            <v>6.4609265186804795E-4</v>
          </cell>
          <cell r="AP31">
            <v>5.4083433319651543E-4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5</v>
          </cell>
          <cell r="X32">
            <v>10</v>
          </cell>
          <cell r="Y32">
            <v>15</v>
          </cell>
          <cell r="Z32">
            <v>20</v>
          </cell>
          <cell r="AA32">
            <v>25</v>
          </cell>
          <cell r="AB32">
            <v>30</v>
          </cell>
          <cell r="AC32">
            <v>35</v>
          </cell>
          <cell r="AD32">
            <v>40</v>
          </cell>
          <cell r="AE32">
            <v>45</v>
          </cell>
          <cell r="AF32">
            <v>50</v>
          </cell>
          <cell r="AG32">
            <v>55</v>
          </cell>
          <cell r="AH32">
            <v>60</v>
          </cell>
          <cell r="AI32">
            <v>65</v>
          </cell>
          <cell r="AJ32">
            <v>70</v>
          </cell>
          <cell r="AK32">
            <v>75</v>
          </cell>
          <cell r="AL32">
            <v>80</v>
          </cell>
          <cell r="AM32">
            <v>85</v>
          </cell>
          <cell r="AN32">
            <v>90</v>
          </cell>
          <cell r="AO32">
            <v>95</v>
          </cell>
          <cell r="AP32">
            <v>100</v>
          </cell>
        </row>
        <row r="33">
          <cell r="B33">
            <v>100</v>
          </cell>
        </row>
        <row r="34">
          <cell r="B34">
            <v>14.464846681027971</v>
          </cell>
        </row>
        <row r="37">
          <cell r="B37">
            <v>60</v>
          </cell>
          <cell r="C37">
            <v>80</v>
          </cell>
          <cell r="D37">
            <v>100</v>
          </cell>
          <cell r="E37">
            <v>120</v>
          </cell>
          <cell r="F37">
            <v>140</v>
          </cell>
        </row>
        <row r="38">
          <cell r="B38">
            <v>-8.7846634683295584</v>
          </cell>
          <cell r="C38">
            <v>2.8400916063492065</v>
          </cell>
          <cell r="D38">
            <v>14.464846681027971</v>
          </cell>
          <cell r="E38">
            <v>26.089601755706738</v>
          </cell>
          <cell r="F38">
            <v>37.714356830385505</v>
          </cell>
        </row>
        <row r="39">
          <cell r="B39">
            <v>100</v>
          </cell>
        </row>
        <row r="40">
          <cell r="B40">
            <v>1.1049026567333139E-2</v>
          </cell>
        </row>
      </sheetData>
      <sheetData sheetId="1">
        <row r="2">
          <cell r="A2" t="str">
            <v>Call Option</v>
          </cell>
        </row>
        <row r="6">
          <cell r="A6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2560-EB06-4779-9C39-FBF9C7C2E593}">
  <dimension ref="A1:AF68"/>
  <sheetViews>
    <sheetView topLeftCell="A2" zoomScaleNormal="100" workbookViewId="0">
      <selection activeCell="AI4" sqref="AI4"/>
    </sheetView>
  </sheetViews>
  <sheetFormatPr defaultRowHeight="15" x14ac:dyDescent="0.25"/>
  <cols>
    <col min="1" max="1" width="14.28515625" bestFit="1" customWidth="1"/>
    <col min="2" max="2" width="6.5703125" customWidth="1"/>
    <col min="4" max="4" width="11.7109375" customWidth="1"/>
    <col min="6" max="6" width="10.42578125" customWidth="1"/>
    <col min="7" max="7" width="13.42578125" customWidth="1"/>
    <col min="8" max="8" width="10.85546875" customWidth="1"/>
    <col min="12" max="12" width="10.85546875" customWidth="1"/>
    <col min="16" max="16" width="10.7109375" bestFit="1" customWidth="1"/>
    <col min="20" max="20" width="10.7109375" bestFit="1" customWidth="1"/>
    <col min="24" max="24" width="10.7109375" customWidth="1"/>
  </cols>
  <sheetData>
    <row r="1" spans="1:32" x14ac:dyDescent="0.25">
      <c r="A1" s="37" t="s">
        <v>53</v>
      </c>
      <c r="B1">
        <v>5</v>
      </c>
      <c r="Q1" t="s">
        <v>40</v>
      </c>
    </row>
    <row r="2" spans="1:32" x14ac:dyDescent="0.25">
      <c r="A2" s="37" t="s">
        <v>43</v>
      </c>
      <c r="B2">
        <v>25</v>
      </c>
      <c r="Q2" t="s">
        <v>39</v>
      </c>
    </row>
    <row r="3" spans="1:32" x14ac:dyDescent="0.25">
      <c r="J3" s="1"/>
    </row>
    <row r="4" spans="1:32" x14ac:dyDescent="0.25">
      <c r="A4" s="37" t="s">
        <v>54</v>
      </c>
      <c r="B4">
        <v>5</v>
      </c>
    </row>
    <row r="5" spans="1:32" x14ac:dyDescent="0.25">
      <c r="A5" s="37" t="s">
        <v>44</v>
      </c>
      <c r="B5">
        <v>25</v>
      </c>
    </row>
    <row r="7" spans="1:32" x14ac:dyDescent="0.25">
      <c r="A7" s="37" t="s">
        <v>45</v>
      </c>
      <c r="B7">
        <v>25</v>
      </c>
    </row>
    <row r="8" spans="1:32" x14ac:dyDescent="0.25">
      <c r="A8" s="37" t="s">
        <v>47</v>
      </c>
      <c r="B8" s="1">
        <v>0.01</v>
      </c>
    </row>
    <row r="9" spans="1:32" x14ac:dyDescent="0.25">
      <c r="A9" s="37" t="s">
        <v>46</v>
      </c>
      <c r="B9">
        <v>100</v>
      </c>
    </row>
    <row r="16" spans="1:32" x14ac:dyDescent="0.25">
      <c r="D16" s="39" t="s">
        <v>146</v>
      </c>
      <c r="E16" s="41" t="s">
        <v>0</v>
      </c>
      <c r="F16" s="41"/>
      <c r="H16" s="39" t="s">
        <v>146</v>
      </c>
      <c r="I16" s="42" t="s">
        <v>4</v>
      </c>
      <c r="J16" s="43"/>
      <c r="L16" s="39" t="s">
        <v>146</v>
      </c>
      <c r="M16" s="42" t="s">
        <v>1</v>
      </c>
      <c r="N16" s="43"/>
      <c r="P16" s="39" t="s">
        <v>146</v>
      </c>
      <c r="Q16" s="42" t="s">
        <v>5</v>
      </c>
      <c r="R16" s="43"/>
      <c r="T16" s="39" t="s">
        <v>146</v>
      </c>
      <c r="U16" s="42" t="s">
        <v>41</v>
      </c>
      <c r="V16" s="43"/>
      <c r="X16" s="39" t="s">
        <v>146</v>
      </c>
      <c r="Y16" s="41" t="s">
        <v>42</v>
      </c>
      <c r="Z16" s="41"/>
      <c r="AB16" s="5" t="s">
        <v>48</v>
      </c>
      <c r="AC16" s="5"/>
      <c r="AD16" s="5"/>
      <c r="AE16" s="5" t="s">
        <v>49</v>
      </c>
      <c r="AF16" s="5"/>
    </row>
    <row r="17" spans="4:32" x14ac:dyDescent="0.25">
      <c r="D17" s="40"/>
      <c r="E17" s="5" t="s">
        <v>2</v>
      </c>
      <c r="F17" s="5" t="s">
        <v>3</v>
      </c>
      <c r="H17" s="40"/>
      <c r="I17" s="5" t="s">
        <v>2</v>
      </c>
      <c r="J17" s="5" t="s">
        <v>3</v>
      </c>
      <c r="L17" s="40"/>
      <c r="M17" s="5" t="s">
        <v>2</v>
      </c>
      <c r="N17" s="5" t="s">
        <v>3</v>
      </c>
      <c r="P17" s="40"/>
      <c r="Q17" s="5" t="s">
        <v>2</v>
      </c>
      <c r="R17" s="5" t="s">
        <v>3</v>
      </c>
      <c r="T17" s="40"/>
      <c r="U17" s="5" t="s">
        <v>2</v>
      </c>
      <c r="V17" s="5" t="s">
        <v>3</v>
      </c>
      <c r="X17" s="40"/>
      <c r="Y17" s="5" t="s">
        <v>2</v>
      </c>
      <c r="Z17" s="5" t="s">
        <v>3</v>
      </c>
      <c r="AB17" s="5" t="s">
        <v>2</v>
      </c>
      <c r="AC17" s="5" t="s">
        <v>3</v>
      </c>
      <c r="AD17" s="5"/>
      <c r="AE17" s="5" t="s">
        <v>2</v>
      </c>
      <c r="AF17" s="5" t="s">
        <v>3</v>
      </c>
    </row>
    <row r="18" spans="4:32" x14ac:dyDescent="0.25">
      <c r="D18" s="5">
        <v>0</v>
      </c>
      <c r="E18" s="5">
        <f t="shared" ref="E18:E49" si="0">IF(D18&lt;=Call_Strike,0,D18-Call_Strike)</f>
        <v>0</v>
      </c>
      <c r="F18" s="5">
        <f t="shared" ref="F18:F49" si="1">E18-Call_Price</f>
        <v>-5</v>
      </c>
      <c r="H18" s="5">
        <v>0</v>
      </c>
      <c r="I18" s="5">
        <f>-E18</f>
        <v>0</v>
      </c>
      <c r="J18" s="5">
        <f>-F18</f>
        <v>5</v>
      </c>
      <c r="L18" s="5">
        <v>0</v>
      </c>
      <c r="M18" s="5">
        <f>IF(L18&gt;=Put_Strike,0,Put_Strike-L18)</f>
        <v>25</v>
      </c>
      <c r="N18" s="5">
        <f t="shared" ref="N18:N49" si="2">M18-Put_Price</f>
        <v>20</v>
      </c>
      <c r="P18" s="5">
        <v>0</v>
      </c>
      <c r="Q18" s="5">
        <f>-M18</f>
        <v>-25</v>
      </c>
      <c r="R18" s="5">
        <f>-N18</f>
        <v>-20</v>
      </c>
      <c r="T18" s="5">
        <v>0</v>
      </c>
      <c r="U18" s="5">
        <f t="shared" ref="U18:U49" si="3">D18-Stock_Price</f>
        <v>-25</v>
      </c>
      <c r="V18" s="5">
        <f>U18</f>
        <v>-25</v>
      </c>
      <c r="X18" s="5">
        <v>0</v>
      </c>
      <c r="Y18" s="5">
        <f>-U18</f>
        <v>25</v>
      </c>
      <c r="Z18" s="5">
        <f>Y18</f>
        <v>25</v>
      </c>
      <c r="AB18" s="5">
        <f t="shared" ref="AB18:AB49" si="4">$B$9</f>
        <v>100</v>
      </c>
      <c r="AC18" s="5">
        <f t="shared" ref="AC18:AC49" si="5">AB18*$B$8</f>
        <v>1</v>
      </c>
      <c r="AD18" s="5"/>
      <c r="AE18" s="5">
        <f>-AB18</f>
        <v>-100</v>
      </c>
      <c r="AF18" s="5">
        <f>-AC18</f>
        <v>-1</v>
      </c>
    </row>
    <row r="19" spans="4:32" x14ac:dyDescent="0.25">
      <c r="D19" s="5">
        <v>1</v>
      </c>
      <c r="E19" s="5">
        <f t="shared" si="0"/>
        <v>0</v>
      </c>
      <c r="F19" s="5">
        <f t="shared" si="1"/>
        <v>-5</v>
      </c>
      <c r="H19" s="5">
        <v>1</v>
      </c>
      <c r="I19" s="5">
        <f t="shared" ref="I19:I68" si="6">-E19</f>
        <v>0</v>
      </c>
      <c r="J19" s="5">
        <f>-F19</f>
        <v>5</v>
      </c>
      <c r="L19" s="5">
        <v>1</v>
      </c>
      <c r="M19" s="5">
        <f t="shared" ref="M19:M50" si="7">IF(D19&gt;=$B$5,0,$B$5-D19)</f>
        <v>24</v>
      </c>
      <c r="N19" s="5">
        <f t="shared" si="2"/>
        <v>19</v>
      </c>
      <c r="P19" s="5">
        <v>1</v>
      </c>
      <c r="Q19" s="5">
        <f t="shared" ref="Q19:Q68" si="8">-M19</f>
        <v>-24</v>
      </c>
      <c r="R19" s="5">
        <f t="shared" ref="R19:R68" si="9">-N19</f>
        <v>-19</v>
      </c>
      <c r="T19" s="5">
        <v>1</v>
      </c>
      <c r="U19" s="5">
        <f t="shared" si="3"/>
        <v>-24</v>
      </c>
      <c r="V19" s="5">
        <f t="shared" ref="V19:V68" si="10">U19</f>
        <v>-24</v>
      </c>
      <c r="X19" s="5">
        <v>1</v>
      </c>
      <c r="Y19" s="5">
        <f t="shared" ref="Y19:Y68" si="11">-U19</f>
        <v>24</v>
      </c>
      <c r="Z19" s="5">
        <f t="shared" ref="Z19:Z68" si="12">Y19</f>
        <v>24</v>
      </c>
      <c r="AB19" s="5">
        <f t="shared" si="4"/>
        <v>100</v>
      </c>
      <c r="AC19" s="5">
        <f t="shared" si="5"/>
        <v>1</v>
      </c>
      <c r="AD19" s="5"/>
      <c r="AE19" s="5">
        <f t="shared" ref="AE19:AE68" si="13">-AB19</f>
        <v>-100</v>
      </c>
      <c r="AF19" s="5">
        <f t="shared" ref="AF19:AF68" si="14">-AC19</f>
        <v>-1</v>
      </c>
    </row>
    <row r="20" spans="4:32" x14ac:dyDescent="0.25">
      <c r="D20" s="5">
        <v>2</v>
      </c>
      <c r="E20" s="5">
        <f t="shared" si="0"/>
        <v>0</v>
      </c>
      <c r="F20" s="5">
        <f t="shared" si="1"/>
        <v>-5</v>
      </c>
      <c r="H20" s="5">
        <v>2</v>
      </c>
      <c r="I20" s="5">
        <f t="shared" si="6"/>
        <v>0</v>
      </c>
      <c r="J20" s="5">
        <f t="shared" ref="J20:J68" si="15">-F20</f>
        <v>5</v>
      </c>
      <c r="L20" s="5">
        <v>2</v>
      </c>
      <c r="M20" s="5">
        <f t="shared" si="7"/>
        <v>23</v>
      </c>
      <c r="N20" s="5">
        <f t="shared" si="2"/>
        <v>18</v>
      </c>
      <c r="P20" s="5">
        <v>2</v>
      </c>
      <c r="Q20" s="5">
        <f t="shared" si="8"/>
        <v>-23</v>
      </c>
      <c r="R20" s="5">
        <f t="shared" si="9"/>
        <v>-18</v>
      </c>
      <c r="T20" s="5">
        <v>2</v>
      </c>
      <c r="U20" s="5">
        <f t="shared" si="3"/>
        <v>-23</v>
      </c>
      <c r="V20" s="5">
        <f t="shared" si="10"/>
        <v>-23</v>
      </c>
      <c r="X20" s="5">
        <v>2</v>
      </c>
      <c r="Y20" s="5">
        <f t="shared" si="11"/>
        <v>23</v>
      </c>
      <c r="Z20" s="5">
        <f t="shared" si="12"/>
        <v>23</v>
      </c>
      <c r="AB20" s="5">
        <f t="shared" si="4"/>
        <v>100</v>
      </c>
      <c r="AC20" s="5">
        <f t="shared" si="5"/>
        <v>1</v>
      </c>
      <c r="AD20" s="5"/>
      <c r="AE20" s="5">
        <f t="shared" si="13"/>
        <v>-100</v>
      </c>
      <c r="AF20" s="5">
        <f t="shared" si="14"/>
        <v>-1</v>
      </c>
    </row>
    <row r="21" spans="4:32" x14ac:dyDescent="0.25">
      <c r="D21" s="5">
        <v>3</v>
      </c>
      <c r="E21" s="5">
        <f t="shared" si="0"/>
        <v>0</v>
      </c>
      <c r="F21" s="5">
        <f t="shared" si="1"/>
        <v>-5</v>
      </c>
      <c r="H21" s="5">
        <v>3</v>
      </c>
      <c r="I21" s="5">
        <f t="shared" si="6"/>
        <v>0</v>
      </c>
      <c r="J21" s="5">
        <f t="shared" si="15"/>
        <v>5</v>
      </c>
      <c r="L21" s="5">
        <v>3</v>
      </c>
      <c r="M21" s="5">
        <f t="shared" si="7"/>
        <v>22</v>
      </c>
      <c r="N21" s="5">
        <f t="shared" si="2"/>
        <v>17</v>
      </c>
      <c r="P21" s="5">
        <v>3</v>
      </c>
      <c r="Q21" s="5">
        <f t="shared" si="8"/>
        <v>-22</v>
      </c>
      <c r="R21" s="5">
        <f t="shared" si="9"/>
        <v>-17</v>
      </c>
      <c r="T21" s="5">
        <v>3</v>
      </c>
      <c r="U21" s="5">
        <f t="shared" si="3"/>
        <v>-22</v>
      </c>
      <c r="V21" s="5">
        <f t="shared" si="10"/>
        <v>-22</v>
      </c>
      <c r="X21" s="5">
        <v>3</v>
      </c>
      <c r="Y21" s="5">
        <f t="shared" si="11"/>
        <v>22</v>
      </c>
      <c r="Z21" s="5">
        <f t="shared" si="12"/>
        <v>22</v>
      </c>
      <c r="AB21" s="5">
        <f t="shared" si="4"/>
        <v>100</v>
      </c>
      <c r="AC21" s="5">
        <f t="shared" si="5"/>
        <v>1</v>
      </c>
      <c r="AD21" s="5"/>
      <c r="AE21" s="5">
        <f t="shared" si="13"/>
        <v>-100</v>
      </c>
      <c r="AF21" s="5">
        <f t="shared" si="14"/>
        <v>-1</v>
      </c>
    </row>
    <row r="22" spans="4:32" x14ac:dyDescent="0.25">
      <c r="D22" s="5">
        <v>4</v>
      </c>
      <c r="E22" s="5">
        <f t="shared" si="0"/>
        <v>0</v>
      </c>
      <c r="F22" s="5">
        <f t="shared" si="1"/>
        <v>-5</v>
      </c>
      <c r="H22" s="5">
        <v>4</v>
      </c>
      <c r="I22" s="5">
        <f t="shared" si="6"/>
        <v>0</v>
      </c>
      <c r="J22" s="5">
        <f t="shared" si="15"/>
        <v>5</v>
      </c>
      <c r="L22" s="5">
        <v>4</v>
      </c>
      <c r="M22" s="5">
        <f t="shared" si="7"/>
        <v>21</v>
      </c>
      <c r="N22" s="5">
        <f t="shared" si="2"/>
        <v>16</v>
      </c>
      <c r="P22" s="5">
        <v>4</v>
      </c>
      <c r="Q22" s="5">
        <f t="shared" si="8"/>
        <v>-21</v>
      </c>
      <c r="R22" s="5">
        <f t="shared" si="9"/>
        <v>-16</v>
      </c>
      <c r="T22" s="5">
        <v>4</v>
      </c>
      <c r="U22" s="5">
        <f t="shared" si="3"/>
        <v>-21</v>
      </c>
      <c r="V22" s="5">
        <f t="shared" si="10"/>
        <v>-21</v>
      </c>
      <c r="X22" s="5">
        <v>4</v>
      </c>
      <c r="Y22" s="5">
        <f t="shared" si="11"/>
        <v>21</v>
      </c>
      <c r="Z22" s="5">
        <f t="shared" si="12"/>
        <v>21</v>
      </c>
      <c r="AB22" s="5">
        <f t="shared" si="4"/>
        <v>100</v>
      </c>
      <c r="AC22" s="5">
        <f t="shared" si="5"/>
        <v>1</v>
      </c>
      <c r="AD22" s="5"/>
      <c r="AE22" s="5">
        <f t="shared" si="13"/>
        <v>-100</v>
      </c>
      <c r="AF22" s="5">
        <f t="shared" si="14"/>
        <v>-1</v>
      </c>
    </row>
    <row r="23" spans="4:32" x14ac:dyDescent="0.25">
      <c r="D23" s="5">
        <v>5</v>
      </c>
      <c r="E23" s="5">
        <f t="shared" si="0"/>
        <v>0</v>
      </c>
      <c r="F23" s="5">
        <f t="shared" si="1"/>
        <v>-5</v>
      </c>
      <c r="H23" s="5">
        <v>5</v>
      </c>
      <c r="I23" s="5">
        <f t="shared" si="6"/>
        <v>0</v>
      </c>
      <c r="J23" s="5">
        <f t="shared" si="15"/>
        <v>5</v>
      </c>
      <c r="L23" s="5">
        <v>5</v>
      </c>
      <c r="M23" s="5">
        <f t="shared" si="7"/>
        <v>20</v>
      </c>
      <c r="N23" s="5">
        <f t="shared" si="2"/>
        <v>15</v>
      </c>
      <c r="P23" s="5">
        <v>5</v>
      </c>
      <c r="Q23" s="5">
        <f t="shared" si="8"/>
        <v>-20</v>
      </c>
      <c r="R23" s="5">
        <f t="shared" si="9"/>
        <v>-15</v>
      </c>
      <c r="T23" s="5">
        <v>5</v>
      </c>
      <c r="U23" s="5">
        <f t="shared" si="3"/>
        <v>-20</v>
      </c>
      <c r="V23" s="5">
        <f t="shared" si="10"/>
        <v>-20</v>
      </c>
      <c r="X23" s="5">
        <v>5</v>
      </c>
      <c r="Y23" s="5">
        <f t="shared" si="11"/>
        <v>20</v>
      </c>
      <c r="Z23" s="5">
        <f t="shared" si="12"/>
        <v>20</v>
      </c>
      <c r="AB23" s="5">
        <f t="shared" si="4"/>
        <v>100</v>
      </c>
      <c r="AC23" s="5">
        <f t="shared" si="5"/>
        <v>1</v>
      </c>
      <c r="AD23" s="5"/>
      <c r="AE23" s="5">
        <f t="shared" si="13"/>
        <v>-100</v>
      </c>
      <c r="AF23" s="5">
        <f t="shared" si="14"/>
        <v>-1</v>
      </c>
    </row>
    <row r="24" spans="4:32" x14ac:dyDescent="0.25">
      <c r="D24" s="5">
        <v>6</v>
      </c>
      <c r="E24" s="5">
        <f t="shared" si="0"/>
        <v>0</v>
      </c>
      <c r="F24" s="5">
        <f t="shared" si="1"/>
        <v>-5</v>
      </c>
      <c r="H24" s="5">
        <v>6</v>
      </c>
      <c r="I24" s="5">
        <f t="shared" si="6"/>
        <v>0</v>
      </c>
      <c r="J24" s="5">
        <f t="shared" si="15"/>
        <v>5</v>
      </c>
      <c r="L24" s="5">
        <v>6</v>
      </c>
      <c r="M24" s="5">
        <f t="shared" si="7"/>
        <v>19</v>
      </c>
      <c r="N24" s="5">
        <f t="shared" si="2"/>
        <v>14</v>
      </c>
      <c r="P24" s="5">
        <v>6</v>
      </c>
      <c r="Q24" s="5">
        <f t="shared" si="8"/>
        <v>-19</v>
      </c>
      <c r="R24" s="5">
        <f t="shared" si="9"/>
        <v>-14</v>
      </c>
      <c r="T24" s="5">
        <v>6</v>
      </c>
      <c r="U24" s="5">
        <f t="shared" si="3"/>
        <v>-19</v>
      </c>
      <c r="V24" s="5">
        <f t="shared" si="10"/>
        <v>-19</v>
      </c>
      <c r="X24" s="5">
        <v>6</v>
      </c>
      <c r="Y24" s="5">
        <f t="shared" si="11"/>
        <v>19</v>
      </c>
      <c r="Z24" s="5">
        <f t="shared" si="12"/>
        <v>19</v>
      </c>
      <c r="AB24" s="5">
        <f t="shared" si="4"/>
        <v>100</v>
      </c>
      <c r="AC24" s="5">
        <f t="shared" si="5"/>
        <v>1</v>
      </c>
      <c r="AD24" s="5"/>
      <c r="AE24" s="5">
        <f t="shared" si="13"/>
        <v>-100</v>
      </c>
      <c r="AF24" s="5">
        <f t="shared" si="14"/>
        <v>-1</v>
      </c>
    </row>
    <row r="25" spans="4:32" x14ac:dyDescent="0.25">
      <c r="D25" s="5">
        <v>7</v>
      </c>
      <c r="E25" s="5">
        <f t="shared" si="0"/>
        <v>0</v>
      </c>
      <c r="F25" s="5">
        <f t="shared" si="1"/>
        <v>-5</v>
      </c>
      <c r="H25" s="5">
        <v>7</v>
      </c>
      <c r="I25" s="5">
        <f t="shared" si="6"/>
        <v>0</v>
      </c>
      <c r="J25" s="5">
        <f t="shared" si="15"/>
        <v>5</v>
      </c>
      <c r="L25" s="5">
        <v>7</v>
      </c>
      <c r="M25" s="5">
        <f t="shared" si="7"/>
        <v>18</v>
      </c>
      <c r="N25" s="5">
        <f t="shared" si="2"/>
        <v>13</v>
      </c>
      <c r="P25" s="5">
        <v>7</v>
      </c>
      <c r="Q25" s="5">
        <f t="shared" si="8"/>
        <v>-18</v>
      </c>
      <c r="R25" s="5">
        <f t="shared" si="9"/>
        <v>-13</v>
      </c>
      <c r="T25" s="5">
        <v>7</v>
      </c>
      <c r="U25" s="5">
        <f t="shared" si="3"/>
        <v>-18</v>
      </c>
      <c r="V25" s="5">
        <f t="shared" si="10"/>
        <v>-18</v>
      </c>
      <c r="X25" s="5">
        <v>7</v>
      </c>
      <c r="Y25" s="5">
        <f t="shared" si="11"/>
        <v>18</v>
      </c>
      <c r="Z25" s="5">
        <f t="shared" si="12"/>
        <v>18</v>
      </c>
      <c r="AB25" s="5">
        <f t="shared" si="4"/>
        <v>100</v>
      </c>
      <c r="AC25" s="5">
        <f t="shared" si="5"/>
        <v>1</v>
      </c>
      <c r="AD25" s="5"/>
      <c r="AE25" s="5">
        <f t="shared" si="13"/>
        <v>-100</v>
      </c>
      <c r="AF25" s="5">
        <f t="shared" si="14"/>
        <v>-1</v>
      </c>
    </row>
    <row r="26" spans="4:32" x14ac:dyDescent="0.25">
      <c r="D26" s="5">
        <v>8</v>
      </c>
      <c r="E26" s="5">
        <f t="shared" si="0"/>
        <v>0</v>
      </c>
      <c r="F26" s="5">
        <f t="shared" si="1"/>
        <v>-5</v>
      </c>
      <c r="H26" s="5">
        <v>8</v>
      </c>
      <c r="I26" s="5">
        <f t="shared" si="6"/>
        <v>0</v>
      </c>
      <c r="J26" s="5">
        <f t="shared" si="15"/>
        <v>5</v>
      </c>
      <c r="L26" s="5">
        <v>8</v>
      </c>
      <c r="M26" s="5">
        <f t="shared" si="7"/>
        <v>17</v>
      </c>
      <c r="N26" s="5">
        <f t="shared" si="2"/>
        <v>12</v>
      </c>
      <c r="P26" s="5">
        <v>8</v>
      </c>
      <c r="Q26" s="5">
        <f t="shared" si="8"/>
        <v>-17</v>
      </c>
      <c r="R26" s="5">
        <f t="shared" si="9"/>
        <v>-12</v>
      </c>
      <c r="T26" s="5">
        <v>8</v>
      </c>
      <c r="U26" s="5">
        <f t="shared" si="3"/>
        <v>-17</v>
      </c>
      <c r="V26" s="5">
        <f t="shared" si="10"/>
        <v>-17</v>
      </c>
      <c r="X26" s="5">
        <v>8</v>
      </c>
      <c r="Y26" s="5">
        <f t="shared" si="11"/>
        <v>17</v>
      </c>
      <c r="Z26" s="5">
        <f t="shared" si="12"/>
        <v>17</v>
      </c>
      <c r="AB26" s="5">
        <f t="shared" si="4"/>
        <v>100</v>
      </c>
      <c r="AC26" s="5">
        <f t="shared" si="5"/>
        <v>1</v>
      </c>
      <c r="AD26" s="5"/>
      <c r="AE26" s="5">
        <f t="shared" si="13"/>
        <v>-100</v>
      </c>
      <c r="AF26" s="5">
        <f t="shared" si="14"/>
        <v>-1</v>
      </c>
    </row>
    <row r="27" spans="4:32" x14ac:dyDescent="0.25">
      <c r="D27" s="5">
        <v>9</v>
      </c>
      <c r="E27" s="5">
        <f t="shared" si="0"/>
        <v>0</v>
      </c>
      <c r="F27" s="5">
        <f t="shared" si="1"/>
        <v>-5</v>
      </c>
      <c r="H27" s="5">
        <v>9</v>
      </c>
      <c r="I27" s="5">
        <f t="shared" si="6"/>
        <v>0</v>
      </c>
      <c r="J27" s="5">
        <f t="shared" si="15"/>
        <v>5</v>
      </c>
      <c r="L27" s="5">
        <v>9</v>
      </c>
      <c r="M27" s="5">
        <f t="shared" si="7"/>
        <v>16</v>
      </c>
      <c r="N27" s="5">
        <f t="shared" si="2"/>
        <v>11</v>
      </c>
      <c r="P27" s="5">
        <v>9</v>
      </c>
      <c r="Q27" s="5">
        <f t="shared" si="8"/>
        <v>-16</v>
      </c>
      <c r="R27" s="5">
        <f t="shared" si="9"/>
        <v>-11</v>
      </c>
      <c r="T27" s="5">
        <v>9</v>
      </c>
      <c r="U27" s="5">
        <f t="shared" si="3"/>
        <v>-16</v>
      </c>
      <c r="V27" s="5">
        <f t="shared" si="10"/>
        <v>-16</v>
      </c>
      <c r="X27" s="5">
        <v>9</v>
      </c>
      <c r="Y27" s="5">
        <f t="shared" si="11"/>
        <v>16</v>
      </c>
      <c r="Z27" s="5">
        <f t="shared" si="12"/>
        <v>16</v>
      </c>
      <c r="AB27" s="5">
        <f t="shared" si="4"/>
        <v>100</v>
      </c>
      <c r="AC27" s="5">
        <f t="shared" si="5"/>
        <v>1</v>
      </c>
      <c r="AD27" s="5"/>
      <c r="AE27" s="5">
        <f t="shared" si="13"/>
        <v>-100</v>
      </c>
      <c r="AF27" s="5">
        <f t="shared" si="14"/>
        <v>-1</v>
      </c>
    </row>
    <row r="28" spans="4:32" x14ac:dyDescent="0.25">
      <c r="D28" s="5">
        <v>10</v>
      </c>
      <c r="E28" s="5">
        <f t="shared" si="0"/>
        <v>0</v>
      </c>
      <c r="F28" s="5">
        <f t="shared" si="1"/>
        <v>-5</v>
      </c>
      <c r="H28" s="5">
        <v>10</v>
      </c>
      <c r="I28" s="5">
        <f t="shared" si="6"/>
        <v>0</v>
      </c>
      <c r="J28" s="5">
        <f t="shared" si="15"/>
        <v>5</v>
      </c>
      <c r="L28" s="5">
        <v>10</v>
      </c>
      <c r="M28" s="5">
        <f t="shared" si="7"/>
        <v>15</v>
      </c>
      <c r="N28" s="5">
        <f t="shared" si="2"/>
        <v>10</v>
      </c>
      <c r="P28" s="5">
        <v>10</v>
      </c>
      <c r="Q28" s="5">
        <f t="shared" si="8"/>
        <v>-15</v>
      </c>
      <c r="R28" s="5">
        <f t="shared" si="9"/>
        <v>-10</v>
      </c>
      <c r="T28" s="5">
        <v>10</v>
      </c>
      <c r="U28" s="5">
        <f t="shared" si="3"/>
        <v>-15</v>
      </c>
      <c r="V28" s="5">
        <f t="shared" si="10"/>
        <v>-15</v>
      </c>
      <c r="X28" s="5">
        <v>10</v>
      </c>
      <c r="Y28" s="5">
        <f t="shared" si="11"/>
        <v>15</v>
      </c>
      <c r="Z28" s="5">
        <f t="shared" si="12"/>
        <v>15</v>
      </c>
      <c r="AB28" s="5">
        <f t="shared" si="4"/>
        <v>100</v>
      </c>
      <c r="AC28" s="5">
        <f t="shared" si="5"/>
        <v>1</v>
      </c>
      <c r="AD28" s="5"/>
      <c r="AE28" s="5">
        <f t="shared" si="13"/>
        <v>-100</v>
      </c>
      <c r="AF28" s="5">
        <f t="shared" si="14"/>
        <v>-1</v>
      </c>
    </row>
    <row r="29" spans="4:32" x14ac:dyDescent="0.25">
      <c r="D29" s="5">
        <v>11</v>
      </c>
      <c r="E29" s="5">
        <f t="shared" si="0"/>
        <v>0</v>
      </c>
      <c r="F29" s="5">
        <f t="shared" si="1"/>
        <v>-5</v>
      </c>
      <c r="H29" s="5">
        <v>11</v>
      </c>
      <c r="I29" s="5">
        <f t="shared" si="6"/>
        <v>0</v>
      </c>
      <c r="J29" s="5">
        <f t="shared" si="15"/>
        <v>5</v>
      </c>
      <c r="L29" s="5">
        <v>11</v>
      </c>
      <c r="M29" s="5">
        <f t="shared" si="7"/>
        <v>14</v>
      </c>
      <c r="N29" s="5">
        <f t="shared" si="2"/>
        <v>9</v>
      </c>
      <c r="P29" s="5">
        <v>11</v>
      </c>
      <c r="Q29" s="5">
        <f t="shared" si="8"/>
        <v>-14</v>
      </c>
      <c r="R29" s="5">
        <f t="shared" si="9"/>
        <v>-9</v>
      </c>
      <c r="T29" s="5">
        <v>11</v>
      </c>
      <c r="U29" s="5">
        <f t="shared" si="3"/>
        <v>-14</v>
      </c>
      <c r="V29" s="5">
        <f t="shared" si="10"/>
        <v>-14</v>
      </c>
      <c r="X29" s="5">
        <v>11</v>
      </c>
      <c r="Y29" s="5">
        <f t="shared" si="11"/>
        <v>14</v>
      </c>
      <c r="Z29" s="5">
        <f t="shared" si="12"/>
        <v>14</v>
      </c>
      <c r="AB29" s="5">
        <f t="shared" si="4"/>
        <v>100</v>
      </c>
      <c r="AC29" s="5">
        <f t="shared" si="5"/>
        <v>1</v>
      </c>
      <c r="AD29" s="5"/>
      <c r="AE29" s="5">
        <f t="shared" si="13"/>
        <v>-100</v>
      </c>
      <c r="AF29" s="5">
        <f t="shared" si="14"/>
        <v>-1</v>
      </c>
    </row>
    <row r="30" spans="4:32" x14ac:dyDescent="0.25">
      <c r="D30" s="5">
        <v>12</v>
      </c>
      <c r="E30" s="5">
        <f t="shared" si="0"/>
        <v>0</v>
      </c>
      <c r="F30" s="5">
        <f t="shared" si="1"/>
        <v>-5</v>
      </c>
      <c r="H30" s="5">
        <v>12</v>
      </c>
      <c r="I30" s="5">
        <f t="shared" si="6"/>
        <v>0</v>
      </c>
      <c r="J30" s="5">
        <f t="shared" si="15"/>
        <v>5</v>
      </c>
      <c r="L30" s="5">
        <v>12</v>
      </c>
      <c r="M30" s="5">
        <f t="shared" si="7"/>
        <v>13</v>
      </c>
      <c r="N30" s="5">
        <f t="shared" si="2"/>
        <v>8</v>
      </c>
      <c r="P30" s="5">
        <v>12</v>
      </c>
      <c r="Q30" s="5">
        <f t="shared" si="8"/>
        <v>-13</v>
      </c>
      <c r="R30" s="5">
        <f t="shared" si="9"/>
        <v>-8</v>
      </c>
      <c r="T30" s="5">
        <v>12</v>
      </c>
      <c r="U30" s="5">
        <f t="shared" si="3"/>
        <v>-13</v>
      </c>
      <c r="V30" s="5">
        <f t="shared" si="10"/>
        <v>-13</v>
      </c>
      <c r="X30" s="5">
        <v>12</v>
      </c>
      <c r="Y30" s="5">
        <f t="shared" si="11"/>
        <v>13</v>
      </c>
      <c r="Z30" s="5">
        <f t="shared" si="12"/>
        <v>13</v>
      </c>
      <c r="AB30" s="5">
        <f t="shared" si="4"/>
        <v>100</v>
      </c>
      <c r="AC30" s="5">
        <f t="shared" si="5"/>
        <v>1</v>
      </c>
      <c r="AD30" s="5"/>
      <c r="AE30" s="5">
        <f t="shared" si="13"/>
        <v>-100</v>
      </c>
      <c r="AF30" s="5">
        <f t="shared" si="14"/>
        <v>-1</v>
      </c>
    </row>
    <row r="31" spans="4:32" x14ac:dyDescent="0.25">
      <c r="D31" s="5">
        <v>13</v>
      </c>
      <c r="E31" s="5">
        <f t="shared" si="0"/>
        <v>0</v>
      </c>
      <c r="F31" s="5">
        <f t="shared" si="1"/>
        <v>-5</v>
      </c>
      <c r="H31" s="5">
        <v>13</v>
      </c>
      <c r="I31" s="5">
        <f t="shared" si="6"/>
        <v>0</v>
      </c>
      <c r="J31" s="5">
        <f t="shared" si="15"/>
        <v>5</v>
      </c>
      <c r="L31" s="5">
        <v>13</v>
      </c>
      <c r="M31" s="5">
        <f t="shared" si="7"/>
        <v>12</v>
      </c>
      <c r="N31" s="5">
        <f t="shared" si="2"/>
        <v>7</v>
      </c>
      <c r="P31" s="5">
        <v>13</v>
      </c>
      <c r="Q31" s="5">
        <f t="shared" si="8"/>
        <v>-12</v>
      </c>
      <c r="R31" s="5">
        <f t="shared" si="9"/>
        <v>-7</v>
      </c>
      <c r="T31" s="5">
        <v>13</v>
      </c>
      <c r="U31" s="5">
        <f t="shared" si="3"/>
        <v>-12</v>
      </c>
      <c r="V31" s="5">
        <f t="shared" si="10"/>
        <v>-12</v>
      </c>
      <c r="X31" s="5">
        <v>13</v>
      </c>
      <c r="Y31" s="5">
        <f t="shared" si="11"/>
        <v>12</v>
      </c>
      <c r="Z31" s="5">
        <f t="shared" si="12"/>
        <v>12</v>
      </c>
      <c r="AB31" s="5">
        <f t="shared" si="4"/>
        <v>100</v>
      </c>
      <c r="AC31" s="5">
        <f t="shared" si="5"/>
        <v>1</v>
      </c>
      <c r="AD31" s="5"/>
      <c r="AE31" s="5">
        <f t="shared" si="13"/>
        <v>-100</v>
      </c>
      <c r="AF31" s="5">
        <f t="shared" si="14"/>
        <v>-1</v>
      </c>
    </row>
    <row r="32" spans="4:32" x14ac:dyDescent="0.25">
      <c r="D32" s="5">
        <v>14</v>
      </c>
      <c r="E32" s="5">
        <f t="shared" si="0"/>
        <v>0</v>
      </c>
      <c r="F32" s="5">
        <f t="shared" si="1"/>
        <v>-5</v>
      </c>
      <c r="H32" s="5">
        <v>14</v>
      </c>
      <c r="I32" s="5">
        <f t="shared" si="6"/>
        <v>0</v>
      </c>
      <c r="J32" s="5">
        <f t="shared" si="15"/>
        <v>5</v>
      </c>
      <c r="L32" s="5">
        <v>14</v>
      </c>
      <c r="M32" s="5">
        <f t="shared" si="7"/>
        <v>11</v>
      </c>
      <c r="N32" s="5">
        <f t="shared" si="2"/>
        <v>6</v>
      </c>
      <c r="P32" s="5">
        <v>14</v>
      </c>
      <c r="Q32" s="5">
        <f t="shared" si="8"/>
        <v>-11</v>
      </c>
      <c r="R32" s="5">
        <f t="shared" si="9"/>
        <v>-6</v>
      </c>
      <c r="T32" s="5">
        <v>14</v>
      </c>
      <c r="U32" s="5">
        <f t="shared" si="3"/>
        <v>-11</v>
      </c>
      <c r="V32" s="5">
        <f t="shared" si="10"/>
        <v>-11</v>
      </c>
      <c r="X32" s="5">
        <v>14</v>
      </c>
      <c r="Y32" s="5">
        <f t="shared" si="11"/>
        <v>11</v>
      </c>
      <c r="Z32" s="5">
        <f t="shared" si="12"/>
        <v>11</v>
      </c>
      <c r="AB32" s="5">
        <f t="shared" si="4"/>
        <v>100</v>
      </c>
      <c r="AC32" s="5">
        <f t="shared" si="5"/>
        <v>1</v>
      </c>
      <c r="AD32" s="5"/>
      <c r="AE32" s="5">
        <f t="shared" si="13"/>
        <v>-100</v>
      </c>
      <c r="AF32" s="5">
        <f t="shared" si="14"/>
        <v>-1</v>
      </c>
    </row>
    <row r="33" spans="4:32" x14ac:dyDescent="0.25">
      <c r="D33" s="5">
        <v>15</v>
      </c>
      <c r="E33" s="5">
        <f t="shared" si="0"/>
        <v>0</v>
      </c>
      <c r="F33" s="5">
        <f t="shared" si="1"/>
        <v>-5</v>
      </c>
      <c r="H33" s="5">
        <v>15</v>
      </c>
      <c r="I33" s="5">
        <f t="shared" si="6"/>
        <v>0</v>
      </c>
      <c r="J33" s="5">
        <f t="shared" si="15"/>
        <v>5</v>
      </c>
      <c r="L33" s="5">
        <v>15</v>
      </c>
      <c r="M33" s="5">
        <f t="shared" si="7"/>
        <v>10</v>
      </c>
      <c r="N33" s="5">
        <f t="shared" si="2"/>
        <v>5</v>
      </c>
      <c r="P33" s="5">
        <v>15</v>
      </c>
      <c r="Q33" s="5">
        <f t="shared" si="8"/>
        <v>-10</v>
      </c>
      <c r="R33" s="5">
        <f t="shared" si="9"/>
        <v>-5</v>
      </c>
      <c r="T33" s="5">
        <v>15</v>
      </c>
      <c r="U33" s="5">
        <f t="shared" si="3"/>
        <v>-10</v>
      </c>
      <c r="V33" s="5">
        <f t="shared" si="10"/>
        <v>-10</v>
      </c>
      <c r="X33" s="5">
        <v>15</v>
      </c>
      <c r="Y33" s="5">
        <f t="shared" si="11"/>
        <v>10</v>
      </c>
      <c r="Z33" s="5">
        <f t="shared" si="12"/>
        <v>10</v>
      </c>
      <c r="AB33" s="5">
        <f t="shared" si="4"/>
        <v>100</v>
      </c>
      <c r="AC33" s="5">
        <f t="shared" si="5"/>
        <v>1</v>
      </c>
      <c r="AD33" s="5"/>
      <c r="AE33" s="5">
        <f t="shared" si="13"/>
        <v>-100</v>
      </c>
      <c r="AF33" s="5">
        <f t="shared" si="14"/>
        <v>-1</v>
      </c>
    </row>
    <row r="34" spans="4:32" x14ac:dyDescent="0.25">
      <c r="D34" s="5">
        <v>16</v>
      </c>
      <c r="E34" s="5">
        <f t="shared" si="0"/>
        <v>0</v>
      </c>
      <c r="F34" s="5">
        <f t="shared" si="1"/>
        <v>-5</v>
      </c>
      <c r="H34" s="5">
        <v>16</v>
      </c>
      <c r="I34" s="5">
        <f t="shared" si="6"/>
        <v>0</v>
      </c>
      <c r="J34" s="5">
        <f t="shared" si="15"/>
        <v>5</v>
      </c>
      <c r="L34" s="5">
        <v>16</v>
      </c>
      <c r="M34" s="5">
        <f t="shared" si="7"/>
        <v>9</v>
      </c>
      <c r="N34" s="5">
        <f t="shared" si="2"/>
        <v>4</v>
      </c>
      <c r="P34" s="5">
        <v>16</v>
      </c>
      <c r="Q34" s="5">
        <f t="shared" si="8"/>
        <v>-9</v>
      </c>
      <c r="R34" s="5">
        <f t="shared" si="9"/>
        <v>-4</v>
      </c>
      <c r="T34" s="5">
        <v>16</v>
      </c>
      <c r="U34" s="5">
        <f t="shared" si="3"/>
        <v>-9</v>
      </c>
      <c r="V34" s="5">
        <f t="shared" si="10"/>
        <v>-9</v>
      </c>
      <c r="X34" s="5">
        <v>16</v>
      </c>
      <c r="Y34" s="5">
        <f t="shared" si="11"/>
        <v>9</v>
      </c>
      <c r="Z34" s="5">
        <f t="shared" si="12"/>
        <v>9</v>
      </c>
      <c r="AB34" s="5">
        <f t="shared" si="4"/>
        <v>100</v>
      </c>
      <c r="AC34" s="5">
        <f t="shared" si="5"/>
        <v>1</v>
      </c>
      <c r="AD34" s="5"/>
      <c r="AE34" s="5">
        <f t="shared" si="13"/>
        <v>-100</v>
      </c>
      <c r="AF34" s="5">
        <f t="shared" si="14"/>
        <v>-1</v>
      </c>
    </row>
    <row r="35" spans="4:32" x14ac:dyDescent="0.25">
      <c r="D35" s="5">
        <v>17</v>
      </c>
      <c r="E35" s="5">
        <f t="shared" si="0"/>
        <v>0</v>
      </c>
      <c r="F35" s="5">
        <f t="shared" si="1"/>
        <v>-5</v>
      </c>
      <c r="H35" s="5">
        <v>17</v>
      </c>
      <c r="I35" s="5">
        <f t="shared" si="6"/>
        <v>0</v>
      </c>
      <c r="J35" s="5">
        <f t="shared" si="15"/>
        <v>5</v>
      </c>
      <c r="L35" s="5">
        <v>17</v>
      </c>
      <c r="M35" s="5">
        <f t="shared" si="7"/>
        <v>8</v>
      </c>
      <c r="N35" s="5">
        <f t="shared" si="2"/>
        <v>3</v>
      </c>
      <c r="P35" s="5">
        <v>17</v>
      </c>
      <c r="Q35" s="5">
        <f t="shared" si="8"/>
        <v>-8</v>
      </c>
      <c r="R35" s="5">
        <f t="shared" si="9"/>
        <v>-3</v>
      </c>
      <c r="T35" s="5">
        <v>17</v>
      </c>
      <c r="U35" s="5">
        <f t="shared" si="3"/>
        <v>-8</v>
      </c>
      <c r="V35" s="5">
        <f t="shared" si="10"/>
        <v>-8</v>
      </c>
      <c r="X35" s="5">
        <v>17</v>
      </c>
      <c r="Y35" s="5">
        <f t="shared" si="11"/>
        <v>8</v>
      </c>
      <c r="Z35" s="5">
        <f t="shared" si="12"/>
        <v>8</v>
      </c>
      <c r="AB35" s="5">
        <f t="shared" si="4"/>
        <v>100</v>
      </c>
      <c r="AC35" s="5">
        <f t="shared" si="5"/>
        <v>1</v>
      </c>
      <c r="AD35" s="5"/>
      <c r="AE35" s="5">
        <f t="shared" si="13"/>
        <v>-100</v>
      </c>
      <c r="AF35" s="5">
        <f t="shared" si="14"/>
        <v>-1</v>
      </c>
    </row>
    <row r="36" spans="4:32" x14ac:dyDescent="0.25">
      <c r="D36" s="5">
        <v>18</v>
      </c>
      <c r="E36" s="5">
        <f t="shared" si="0"/>
        <v>0</v>
      </c>
      <c r="F36" s="5">
        <f t="shared" si="1"/>
        <v>-5</v>
      </c>
      <c r="H36" s="5">
        <v>18</v>
      </c>
      <c r="I36" s="5">
        <f t="shared" si="6"/>
        <v>0</v>
      </c>
      <c r="J36" s="5">
        <f t="shared" si="15"/>
        <v>5</v>
      </c>
      <c r="L36" s="5">
        <v>18</v>
      </c>
      <c r="M36" s="5">
        <f t="shared" si="7"/>
        <v>7</v>
      </c>
      <c r="N36" s="5">
        <f t="shared" si="2"/>
        <v>2</v>
      </c>
      <c r="P36" s="5">
        <v>18</v>
      </c>
      <c r="Q36" s="5">
        <f t="shared" si="8"/>
        <v>-7</v>
      </c>
      <c r="R36" s="5">
        <f t="shared" si="9"/>
        <v>-2</v>
      </c>
      <c r="T36" s="5">
        <v>18</v>
      </c>
      <c r="U36" s="5">
        <f t="shared" si="3"/>
        <v>-7</v>
      </c>
      <c r="V36" s="5">
        <f t="shared" si="10"/>
        <v>-7</v>
      </c>
      <c r="X36" s="5">
        <v>18</v>
      </c>
      <c r="Y36" s="5">
        <f t="shared" si="11"/>
        <v>7</v>
      </c>
      <c r="Z36" s="5">
        <f t="shared" si="12"/>
        <v>7</v>
      </c>
      <c r="AB36" s="5">
        <f t="shared" si="4"/>
        <v>100</v>
      </c>
      <c r="AC36" s="5">
        <f t="shared" si="5"/>
        <v>1</v>
      </c>
      <c r="AD36" s="5"/>
      <c r="AE36" s="5">
        <f t="shared" si="13"/>
        <v>-100</v>
      </c>
      <c r="AF36" s="5">
        <f t="shared" si="14"/>
        <v>-1</v>
      </c>
    </row>
    <row r="37" spans="4:32" x14ac:dyDescent="0.25">
      <c r="D37" s="5">
        <v>19</v>
      </c>
      <c r="E37" s="5">
        <f t="shared" si="0"/>
        <v>0</v>
      </c>
      <c r="F37" s="5">
        <f t="shared" si="1"/>
        <v>-5</v>
      </c>
      <c r="H37" s="5">
        <v>19</v>
      </c>
      <c r="I37" s="5">
        <f t="shared" si="6"/>
        <v>0</v>
      </c>
      <c r="J37" s="5">
        <f t="shared" si="15"/>
        <v>5</v>
      </c>
      <c r="L37" s="5">
        <v>19</v>
      </c>
      <c r="M37" s="5">
        <f t="shared" si="7"/>
        <v>6</v>
      </c>
      <c r="N37" s="5">
        <f t="shared" si="2"/>
        <v>1</v>
      </c>
      <c r="P37" s="5">
        <v>19</v>
      </c>
      <c r="Q37" s="5">
        <f t="shared" si="8"/>
        <v>-6</v>
      </c>
      <c r="R37" s="5">
        <f t="shared" si="9"/>
        <v>-1</v>
      </c>
      <c r="T37" s="5">
        <v>19</v>
      </c>
      <c r="U37" s="5">
        <f t="shared" si="3"/>
        <v>-6</v>
      </c>
      <c r="V37" s="5">
        <f t="shared" si="10"/>
        <v>-6</v>
      </c>
      <c r="X37" s="5">
        <v>19</v>
      </c>
      <c r="Y37" s="5">
        <f t="shared" si="11"/>
        <v>6</v>
      </c>
      <c r="Z37" s="5">
        <f t="shared" si="12"/>
        <v>6</v>
      </c>
      <c r="AB37" s="5">
        <f t="shared" si="4"/>
        <v>100</v>
      </c>
      <c r="AC37" s="5">
        <f t="shared" si="5"/>
        <v>1</v>
      </c>
      <c r="AD37" s="5"/>
      <c r="AE37" s="5">
        <f t="shared" si="13"/>
        <v>-100</v>
      </c>
      <c r="AF37" s="5">
        <f t="shared" si="14"/>
        <v>-1</v>
      </c>
    </row>
    <row r="38" spans="4:32" x14ac:dyDescent="0.25">
      <c r="D38" s="5">
        <v>20</v>
      </c>
      <c r="E38" s="5">
        <f t="shared" si="0"/>
        <v>0</v>
      </c>
      <c r="F38" s="5">
        <f t="shared" si="1"/>
        <v>-5</v>
      </c>
      <c r="H38" s="5">
        <v>20</v>
      </c>
      <c r="I38" s="5">
        <f t="shared" si="6"/>
        <v>0</v>
      </c>
      <c r="J38" s="5">
        <f t="shared" si="15"/>
        <v>5</v>
      </c>
      <c r="L38" s="5">
        <v>20</v>
      </c>
      <c r="M38" s="5">
        <f t="shared" si="7"/>
        <v>5</v>
      </c>
      <c r="N38" s="5">
        <f t="shared" si="2"/>
        <v>0</v>
      </c>
      <c r="P38" s="5">
        <v>20</v>
      </c>
      <c r="Q38" s="5">
        <f t="shared" si="8"/>
        <v>-5</v>
      </c>
      <c r="R38" s="5">
        <f t="shared" si="9"/>
        <v>0</v>
      </c>
      <c r="T38" s="5">
        <v>20</v>
      </c>
      <c r="U38" s="5">
        <f t="shared" si="3"/>
        <v>-5</v>
      </c>
      <c r="V38" s="5">
        <f t="shared" si="10"/>
        <v>-5</v>
      </c>
      <c r="X38" s="5">
        <v>20</v>
      </c>
      <c r="Y38" s="5">
        <f t="shared" si="11"/>
        <v>5</v>
      </c>
      <c r="Z38" s="5">
        <f t="shared" si="12"/>
        <v>5</v>
      </c>
      <c r="AB38" s="5">
        <f t="shared" si="4"/>
        <v>100</v>
      </c>
      <c r="AC38" s="5">
        <f t="shared" si="5"/>
        <v>1</v>
      </c>
      <c r="AD38" s="5"/>
      <c r="AE38" s="5">
        <f t="shared" si="13"/>
        <v>-100</v>
      </c>
      <c r="AF38" s="5">
        <f t="shared" si="14"/>
        <v>-1</v>
      </c>
    </row>
    <row r="39" spans="4:32" x14ac:dyDescent="0.25">
      <c r="D39" s="5">
        <v>21</v>
      </c>
      <c r="E39" s="5">
        <f t="shared" si="0"/>
        <v>0</v>
      </c>
      <c r="F39" s="5">
        <f t="shared" si="1"/>
        <v>-5</v>
      </c>
      <c r="H39" s="5">
        <v>21</v>
      </c>
      <c r="I39" s="5">
        <f t="shared" si="6"/>
        <v>0</v>
      </c>
      <c r="J39" s="5">
        <f t="shared" si="15"/>
        <v>5</v>
      </c>
      <c r="L39" s="5">
        <v>21</v>
      </c>
      <c r="M39" s="5">
        <f t="shared" si="7"/>
        <v>4</v>
      </c>
      <c r="N39" s="5">
        <f t="shared" si="2"/>
        <v>-1</v>
      </c>
      <c r="P39" s="5">
        <v>21</v>
      </c>
      <c r="Q39" s="5">
        <f t="shared" si="8"/>
        <v>-4</v>
      </c>
      <c r="R39" s="5">
        <f t="shared" si="9"/>
        <v>1</v>
      </c>
      <c r="T39" s="5">
        <v>21</v>
      </c>
      <c r="U39" s="5">
        <f t="shared" si="3"/>
        <v>-4</v>
      </c>
      <c r="V39" s="5">
        <f t="shared" si="10"/>
        <v>-4</v>
      </c>
      <c r="X39" s="5">
        <v>21</v>
      </c>
      <c r="Y39" s="5">
        <f t="shared" si="11"/>
        <v>4</v>
      </c>
      <c r="Z39" s="5">
        <f t="shared" si="12"/>
        <v>4</v>
      </c>
      <c r="AB39" s="5">
        <f t="shared" si="4"/>
        <v>100</v>
      </c>
      <c r="AC39" s="5">
        <f t="shared" si="5"/>
        <v>1</v>
      </c>
      <c r="AD39" s="5"/>
      <c r="AE39" s="5">
        <f t="shared" si="13"/>
        <v>-100</v>
      </c>
      <c r="AF39" s="5">
        <f t="shared" si="14"/>
        <v>-1</v>
      </c>
    </row>
    <row r="40" spans="4:32" x14ac:dyDescent="0.25">
      <c r="D40" s="5">
        <v>22</v>
      </c>
      <c r="E40" s="5">
        <f t="shared" si="0"/>
        <v>0</v>
      </c>
      <c r="F40" s="5">
        <f t="shared" si="1"/>
        <v>-5</v>
      </c>
      <c r="H40" s="5">
        <v>22</v>
      </c>
      <c r="I40" s="5">
        <f t="shared" si="6"/>
        <v>0</v>
      </c>
      <c r="J40" s="5">
        <f t="shared" si="15"/>
        <v>5</v>
      </c>
      <c r="L40" s="5">
        <v>22</v>
      </c>
      <c r="M40" s="5">
        <f t="shared" si="7"/>
        <v>3</v>
      </c>
      <c r="N40" s="5">
        <f t="shared" si="2"/>
        <v>-2</v>
      </c>
      <c r="P40" s="5">
        <v>22</v>
      </c>
      <c r="Q40" s="5">
        <f t="shared" si="8"/>
        <v>-3</v>
      </c>
      <c r="R40" s="5">
        <f t="shared" si="9"/>
        <v>2</v>
      </c>
      <c r="T40" s="5">
        <v>22</v>
      </c>
      <c r="U40" s="5">
        <f t="shared" si="3"/>
        <v>-3</v>
      </c>
      <c r="V40" s="5">
        <f t="shared" si="10"/>
        <v>-3</v>
      </c>
      <c r="X40" s="5">
        <v>22</v>
      </c>
      <c r="Y40" s="5">
        <f t="shared" si="11"/>
        <v>3</v>
      </c>
      <c r="Z40" s="5">
        <f t="shared" si="12"/>
        <v>3</v>
      </c>
      <c r="AB40" s="5">
        <f t="shared" si="4"/>
        <v>100</v>
      </c>
      <c r="AC40" s="5">
        <f t="shared" si="5"/>
        <v>1</v>
      </c>
      <c r="AD40" s="5"/>
      <c r="AE40" s="5">
        <f t="shared" si="13"/>
        <v>-100</v>
      </c>
      <c r="AF40" s="5">
        <f t="shared" si="14"/>
        <v>-1</v>
      </c>
    </row>
    <row r="41" spans="4:32" x14ac:dyDescent="0.25">
      <c r="D41" s="5">
        <v>23</v>
      </c>
      <c r="E41" s="5">
        <f t="shared" si="0"/>
        <v>0</v>
      </c>
      <c r="F41" s="5">
        <f t="shared" si="1"/>
        <v>-5</v>
      </c>
      <c r="H41" s="5">
        <v>23</v>
      </c>
      <c r="I41" s="5">
        <f t="shared" si="6"/>
        <v>0</v>
      </c>
      <c r="J41" s="5">
        <f t="shared" si="15"/>
        <v>5</v>
      </c>
      <c r="L41" s="5">
        <v>23</v>
      </c>
      <c r="M41" s="5">
        <f t="shared" si="7"/>
        <v>2</v>
      </c>
      <c r="N41" s="5">
        <f t="shared" si="2"/>
        <v>-3</v>
      </c>
      <c r="P41" s="5">
        <v>23</v>
      </c>
      <c r="Q41" s="5">
        <f t="shared" si="8"/>
        <v>-2</v>
      </c>
      <c r="R41" s="5">
        <f t="shared" si="9"/>
        <v>3</v>
      </c>
      <c r="T41" s="5">
        <v>23</v>
      </c>
      <c r="U41" s="5">
        <f t="shared" si="3"/>
        <v>-2</v>
      </c>
      <c r="V41" s="5">
        <f t="shared" si="10"/>
        <v>-2</v>
      </c>
      <c r="X41" s="5">
        <v>23</v>
      </c>
      <c r="Y41" s="5">
        <f t="shared" si="11"/>
        <v>2</v>
      </c>
      <c r="Z41" s="5">
        <f t="shared" si="12"/>
        <v>2</v>
      </c>
      <c r="AB41" s="5">
        <f t="shared" si="4"/>
        <v>100</v>
      </c>
      <c r="AC41" s="5">
        <f t="shared" si="5"/>
        <v>1</v>
      </c>
      <c r="AD41" s="5"/>
      <c r="AE41" s="5">
        <f t="shared" si="13"/>
        <v>-100</v>
      </c>
      <c r="AF41" s="5">
        <f t="shared" si="14"/>
        <v>-1</v>
      </c>
    </row>
    <row r="42" spans="4:32" x14ac:dyDescent="0.25">
      <c r="D42" s="5">
        <v>24</v>
      </c>
      <c r="E42" s="5">
        <f t="shared" si="0"/>
        <v>0</v>
      </c>
      <c r="F42" s="5">
        <f t="shared" si="1"/>
        <v>-5</v>
      </c>
      <c r="H42" s="5">
        <v>24</v>
      </c>
      <c r="I42" s="5">
        <f t="shared" si="6"/>
        <v>0</v>
      </c>
      <c r="J42" s="5">
        <f t="shared" si="15"/>
        <v>5</v>
      </c>
      <c r="L42" s="5">
        <v>24</v>
      </c>
      <c r="M42" s="5">
        <f t="shared" si="7"/>
        <v>1</v>
      </c>
      <c r="N42" s="5">
        <f t="shared" si="2"/>
        <v>-4</v>
      </c>
      <c r="P42" s="5">
        <v>24</v>
      </c>
      <c r="Q42" s="5">
        <f t="shared" si="8"/>
        <v>-1</v>
      </c>
      <c r="R42" s="5">
        <f t="shared" si="9"/>
        <v>4</v>
      </c>
      <c r="T42" s="5">
        <v>24</v>
      </c>
      <c r="U42" s="5">
        <f t="shared" si="3"/>
        <v>-1</v>
      </c>
      <c r="V42" s="5">
        <f t="shared" si="10"/>
        <v>-1</v>
      </c>
      <c r="X42" s="5">
        <v>24</v>
      </c>
      <c r="Y42" s="5">
        <f t="shared" si="11"/>
        <v>1</v>
      </c>
      <c r="Z42" s="5">
        <f t="shared" si="12"/>
        <v>1</v>
      </c>
      <c r="AB42" s="5">
        <f t="shared" si="4"/>
        <v>100</v>
      </c>
      <c r="AC42" s="5">
        <f t="shared" si="5"/>
        <v>1</v>
      </c>
      <c r="AD42" s="5"/>
      <c r="AE42" s="5">
        <f t="shared" si="13"/>
        <v>-100</v>
      </c>
      <c r="AF42" s="5">
        <f t="shared" si="14"/>
        <v>-1</v>
      </c>
    </row>
    <row r="43" spans="4:32" x14ac:dyDescent="0.25">
      <c r="D43" s="5">
        <v>25</v>
      </c>
      <c r="E43" s="5">
        <f t="shared" si="0"/>
        <v>0</v>
      </c>
      <c r="F43" s="5">
        <f t="shared" si="1"/>
        <v>-5</v>
      </c>
      <c r="H43" s="5">
        <v>25</v>
      </c>
      <c r="I43" s="5">
        <f t="shared" si="6"/>
        <v>0</v>
      </c>
      <c r="J43" s="5">
        <f t="shared" si="15"/>
        <v>5</v>
      </c>
      <c r="L43" s="5">
        <v>25</v>
      </c>
      <c r="M43" s="5">
        <f t="shared" si="7"/>
        <v>0</v>
      </c>
      <c r="N43" s="5">
        <f t="shared" si="2"/>
        <v>-5</v>
      </c>
      <c r="P43" s="5">
        <v>25</v>
      </c>
      <c r="Q43" s="5">
        <f t="shared" si="8"/>
        <v>0</v>
      </c>
      <c r="R43" s="5">
        <f t="shared" si="9"/>
        <v>5</v>
      </c>
      <c r="T43" s="5">
        <v>25</v>
      </c>
      <c r="U43" s="5">
        <f t="shared" si="3"/>
        <v>0</v>
      </c>
      <c r="V43" s="5">
        <f t="shared" si="10"/>
        <v>0</v>
      </c>
      <c r="X43" s="5">
        <v>25</v>
      </c>
      <c r="Y43" s="5">
        <f t="shared" si="11"/>
        <v>0</v>
      </c>
      <c r="Z43" s="5">
        <f t="shared" si="12"/>
        <v>0</v>
      </c>
      <c r="AB43" s="5">
        <f t="shared" si="4"/>
        <v>100</v>
      </c>
      <c r="AC43" s="5">
        <f t="shared" si="5"/>
        <v>1</v>
      </c>
      <c r="AD43" s="5"/>
      <c r="AE43" s="5">
        <f t="shared" si="13"/>
        <v>-100</v>
      </c>
      <c r="AF43" s="5">
        <f t="shared" si="14"/>
        <v>-1</v>
      </c>
    </row>
    <row r="44" spans="4:32" x14ac:dyDescent="0.25">
      <c r="D44" s="5">
        <v>26</v>
      </c>
      <c r="E44" s="5">
        <f t="shared" si="0"/>
        <v>1</v>
      </c>
      <c r="F44" s="5">
        <f t="shared" si="1"/>
        <v>-4</v>
      </c>
      <c r="H44" s="5">
        <v>26</v>
      </c>
      <c r="I44" s="5">
        <f t="shared" si="6"/>
        <v>-1</v>
      </c>
      <c r="J44" s="5">
        <f t="shared" si="15"/>
        <v>4</v>
      </c>
      <c r="L44" s="5">
        <v>26</v>
      </c>
      <c r="M44" s="5">
        <f t="shared" si="7"/>
        <v>0</v>
      </c>
      <c r="N44" s="5">
        <f t="shared" si="2"/>
        <v>-5</v>
      </c>
      <c r="P44" s="5">
        <v>26</v>
      </c>
      <c r="Q44" s="5">
        <f t="shared" si="8"/>
        <v>0</v>
      </c>
      <c r="R44" s="5">
        <f t="shared" si="9"/>
        <v>5</v>
      </c>
      <c r="T44" s="5">
        <v>26</v>
      </c>
      <c r="U44" s="5">
        <f t="shared" si="3"/>
        <v>1</v>
      </c>
      <c r="V44" s="5">
        <f t="shared" si="10"/>
        <v>1</v>
      </c>
      <c r="X44" s="5">
        <v>26</v>
      </c>
      <c r="Y44" s="5">
        <f t="shared" si="11"/>
        <v>-1</v>
      </c>
      <c r="Z44" s="5">
        <f t="shared" si="12"/>
        <v>-1</v>
      </c>
      <c r="AB44" s="5">
        <f t="shared" si="4"/>
        <v>100</v>
      </c>
      <c r="AC44" s="5">
        <f t="shared" si="5"/>
        <v>1</v>
      </c>
      <c r="AD44" s="5"/>
      <c r="AE44" s="5">
        <f t="shared" si="13"/>
        <v>-100</v>
      </c>
      <c r="AF44" s="5">
        <f t="shared" si="14"/>
        <v>-1</v>
      </c>
    </row>
    <row r="45" spans="4:32" x14ac:dyDescent="0.25">
      <c r="D45" s="5">
        <v>27</v>
      </c>
      <c r="E45" s="5">
        <f t="shared" si="0"/>
        <v>2</v>
      </c>
      <c r="F45" s="5">
        <f t="shared" si="1"/>
        <v>-3</v>
      </c>
      <c r="H45" s="5">
        <v>27</v>
      </c>
      <c r="I45" s="5">
        <f t="shared" si="6"/>
        <v>-2</v>
      </c>
      <c r="J45" s="5">
        <f t="shared" si="15"/>
        <v>3</v>
      </c>
      <c r="L45" s="5">
        <v>27</v>
      </c>
      <c r="M45" s="5">
        <f t="shared" si="7"/>
        <v>0</v>
      </c>
      <c r="N45" s="5">
        <f t="shared" si="2"/>
        <v>-5</v>
      </c>
      <c r="P45" s="5">
        <v>27</v>
      </c>
      <c r="Q45" s="5">
        <f t="shared" si="8"/>
        <v>0</v>
      </c>
      <c r="R45" s="5">
        <f t="shared" si="9"/>
        <v>5</v>
      </c>
      <c r="T45" s="5">
        <v>27</v>
      </c>
      <c r="U45" s="5">
        <f t="shared" si="3"/>
        <v>2</v>
      </c>
      <c r="V45" s="5">
        <f t="shared" si="10"/>
        <v>2</v>
      </c>
      <c r="X45" s="5">
        <v>27</v>
      </c>
      <c r="Y45" s="5">
        <f t="shared" si="11"/>
        <v>-2</v>
      </c>
      <c r="Z45" s="5">
        <f t="shared" si="12"/>
        <v>-2</v>
      </c>
      <c r="AB45" s="5">
        <f t="shared" si="4"/>
        <v>100</v>
      </c>
      <c r="AC45" s="5">
        <f t="shared" si="5"/>
        <v>1</v>
      </c>
      <c r="AD45" s="5"/>
      <c r="AE45" s="5">
        <f t="shared" si="13"/>
        <v>-100</v>
      </c>
      <c r="AF45" s="5">
        <f t="shared" si="14"/>
        <v>-1</v>
      </c>
    </row>
    <row r="46" spans="4:32" x14ac:dyDescent="0.25">
      <c r="D46" s="5">
        <v>28</v>
      </c>
      <c r="E46" s="5">
        <f t="shared" si="0"/>
        <v>3</v>
      </c>
      <c r="F46" s="5">
        <f t="shared" si="1"/>
        <v>-2</v>
      </c>
      <c r="H46" s="5">
        <v>28</v>
      </c>
      <c r="I46" s="5">
        <f t="shared" si="6"/>
        <v>-3</v>
      </c>
      <c r="J46" s="5">
        <f t="shared" si="15"/>
        <v>2</v>
      </c>
      <c r="L46" s="5">
        <v>28</v>
      </c>
      <c r="M46" s="5">
        <f t="shared" si="7"/>
        <v>0</v>
      </c>
      <c r="N46" s="5">
        <f t="shared" si="2"/>
        <v>-5</v>
      </c>
      <c r="P46" s="5">
        <v>28</v>
      </c>
      <c r="Q46" s="5">
        <f t="shared" si="8"/>
        <v>0</v>
      </c>
      <c r="R46" s="5">
        <f t="shared" si="9"/>
        <v>5</v>
      </c>
      <c r="T46" s="5">
        <v>28</v>
      </c>
      <c r="U46" s="5">
        <f t="shared" si="3"/>
        <v>3</v>
      </c>
      <c r="V46" s="5">
        <f t="shared" si="10"/>
        <v>3</v>
      </c>
      <c r="X46" s="5">
        <v>28</v>
      </c>
      <c r="Y46" s="5">
        <f t="shared" si="11"/>
        <v>-3</v>
      </c>
      <c r="Z46" s="5">
        <f t="shared" si="12"/>
        <v>-3</v>
      </c>
      <c r="AB46" s="5">
        <f t="shared" si="4"/>
        <v>100</v>
      </c>
      <c r="AC46" s="5">
        <f t="shared" si="5"/>
        <v>1</v>
      </c>
      <c r="AD46" s="5"/>
      <c r="AE46" s="5">
        <f t="shared" si="13"/>
        <v>-100</v>
      </c>
      <c r="AF46" s="5">
        <f t="shared" si="14"/>
        <v>-1</v>
      </c>
    </row>
    <row r="47" spans="4:32" x14ac:dyDescent="0.25">
      <c r="D47" s="5">
        <v>29</v>
      </c>
      <c r="E47" s="5">
        <f t="shared" si="0"/>
        <v>4</v>
      </c>
      <c r="F47" s="5">
        <f t="shared" si="1"/>
        <v>-1</v>
      </c>
      <c r="H47" s="5">
        <v>29</v>
      </c>
      <c r="I47" s="5">
        <f t="shared" si="6"/>
        <v>-4</v>
      </c>
      <c r="J47" s="5">
        <f t="shared" si="15"/>
        <v>1</v>
      </c>
      <c r="L47" s="5">
        <v>29</v>
      </c>
      <c r="M47" s="5">
        <f t="shared" si="7"/>
        <v>0</v>
      </c>
      <c r="N47" s="5">
        <f t="shared" si="2"/>
        <v>-5</v>
      </c>
      <c r="P47" s="5">
        <v>29</v>
      </c>
      <c r="Q47" s="5">
        <f t="shared" si="8"/>
        <v>0</v>
      </c>
      <c r="R47" s="5">
        <f t="shared" si="9"/>
        <v>5</v>
      </c>
      <c r="T47" s="5">
        <v>29</v>
      </c>
      <c r="U47" s="5">
        <f t="shared" si="3"/>
        <v>4</v>
      </c>
      <c r="V47" s="5">
        <f t="shared" si="10"/>
        <v>4</v>
      </c>
      <c r="X47" s="5">
        <v>29</v>
      </c>
      <c r="Y47" s="5">
        <f t="shared" si="11"/>
        <v>-4</v>
      </c>
      <c r="Z47" s="5">
        <f t="shared" si="12"/>
        <v>-4</v>
      </c>
      <c r="AB47" s="5">
        <f t="shared" si="4"/>
        <v>100</v>
      </c>
      <c r="AC47" s="5">
        <f t="shared" si="5"/>
        <v>1</v>
      </c>
      <c r="AD47" s="5"/>
      <c r="AE47" s="5">
        <f t="shared" si="13"/>
        <v>-100</v>
      </c>
      <c r="AF47" s="5">
        <f t="shared" si="14"/>
        <v>-1</v>
      </c>
    </row>
    <row r="48" spans="4:32" x14ac:dyDescent="0.25">
      <c r="D48" s="5">
        <v>30</v>
      </c>
      <c r="E48" s="5">
        <f t="shared" si="0"/>
        <v>5</v>
      </c>
      <c r="F48" s="5">
        <f t="shared" si="1"/>
        <v>0</v>
      </c>
      <c r="H48" s="5">
        <v>30</v>
      </c>
      <c r="I48" s="5">
        <f t="shared" si="6"/>
        <v>-5</v>
      </c>
      <c r="J48" s="5">
        <f t="shared" si="15"/>
        <v>0</v>
      </c>
      <c r="L48" s="5">
        <v>30</v>
      </c>
      <c r="M48" s="5">
        <f t="shared" si="7"/>
        <v>0</v>
      </c>
      <c r="N48" s="5">
        <f t="shared" si="2"/>
        <v>-5</v>
      </c>
      <c r="P48" s="5">
        <v>30</v>
      </c>
      <c r="Q48" s="5">
        <f t="shared" si="8"/>
        <v>0</v>
      </c>
      <c r="R48" s="5">
        <f t="shared" si="9"/>
        <v>5</v>
      </c>
      <c r="T48" s="5">
        <v>30</v>
      </c>
      <c r="U48" s="5">
        <f t="shared" si="3"/>
        <v>5</v>
      </c>
      <c r="V48" s="5">
        <f t="shared" si="10"/>
        <v>5</v>
      </c>
      <c r="X48" s="5">
        <v>30</v>
      </c>
      <c r="Y48" s="5">
        <f t="shared" si="11"/>
        <v>-5</v>
      </c>
      <c r="Z48" s="5">
        <f t="shared" si="12"/>
        <v>-5</v>
      </c>
      <c r="AB48" s="5">
        <f t="shared" si="4"/>
        <v>100</v>
      </c>
      <c r="AC48" s="5">
        <f t="shared" si="5"/>
        <v>1</v>
      </c>
      <c r="AD48" s="5"/>
      <c r="AE48" s="5">
        <f t="shared" si="13"/>
        <v>-100</v>
      </c>
      <c r="AF48" s="5">
        <f t="shared" si="14"/>
        <v>-1</v>
      </c>
    </row>
    <row r="49" spans="4:32" x14ac:dyDescent="0.25">
      <c r="D49" s="5">
        <v>31</v>
      </c>
      <c r="E49" s="5">
        <f t="shared" si="0"/>
        <v>6</v>
      </c>
      <c r="F49" s="5">
        <f t="shared" si="1"/>
        <v>1</v>
      </c>
      <c r="H49" s="5">
        <v>31</v>
      </c>
      <c r="I49" s="5">
        <f t="shared" si="6"/>
        <v>-6</v>
      </c>
      <c r="J49" s="5">
        <f t="shared" si="15"/>
        <v>-1</v>
      </c>
      <c r="L49" s="5">
        <v>31</v>
      </c>
      <c r="M49" s="5">
        <f t="shared" si="7"/>
        <v>0</v>
      </c>
      <c r="N49" s="5">
        <f t="shared" si="2"/>
        <v>-5</v>
      </c>
      <c r="P49" s="5">
        <v>31</v>
      </c>
      <c r="Q49" s="5">
        <f t="shared" si="8"/>
        <v>0</v>
      </c>
      <c r="R49" s="5">
        <f t="shared" si="9"/>
        <v>5</v>
      </c>
      <c r="T49" s="5">
        <v>31</v>
      </c>
      <c r="U49" s="5">
        <f t="shared" si="3"/>
        <v>6</v>
      </c>
      <c r="V49" s="5">
        <f t="shared" si="10"/>
        <v>6</v>
      </c>
      <c r="X49" s="5">
        <v>31</v>
      </c>
      <c r="Y49" s="5">
        <f t="shared" si="11"/>
        <v>-6</v>
      </c>
      <c r="Z49" s="5">
        <f t="shared" si="12"/>
        <v>-6</v>
      </c>
      <c r="AB49" s="5">
        <f t="shared" si="4"/>
        <v>100</v>
      </c>
      <c r="AC49" s="5">
        <f t="shared" si="5"/>
        <v>1</v>
      </c>
      <c r="AD49" s="5"/>
      <c r="AE49" s="5">
        <f t="shared" si="13"/>
        <v>-100</v>
      </c>
      <c r="AF49" s="5">
        <f t="shared" si="14"/>
        <v>-1</v>
      </c>
    </row>
    <row r="50" spans="4:32" x14ac:dyDescent="0.25">
      <c r="D50" s="5">
        <v>32</v>
      </c>
      <c r="E50" s="5">
        <f t="shared" ref="E50:E68" si="16">IF(D50&lt;=Call_Strike,0,D50-Call_Strike)</f>
        <v>7</v>
      </c>
      <c r="F50" s="5">
        <f t="shared" ref="F50:F68" si="17">E50-Call_Price</f>
        <v>2</v>
      </c>
      <c r="H50" s="5">
        <v>32</v>
      </c>
      <c r="I50" s="5">
        <f t="shared" si="6"/>
        <v>-7</v>
      </c>
      <c r="J50" s="5">
        <f t="shared" si="15"/>
        <v>-2</v>
      </c>
      <c r="L50" s="5">
        <v>32</v>
      </c>
      <c r="M50" s="5">
        <f t="shared" si="7"/>
        <v>0</v>
      </c>
      <c r="N50" s="5">
        <f t="shared" ref="N50:N68" si="18">M50-Put_Price</f>
        <v>-5</v>
      </c>
      <c r="P50" s="5">
        <v>32</v>
      </c>
      <c r="Q50" s="5">
        <f t="shared" si="8"/>
        <v>0</v>
      </c>
      <c r="R50" s="5">
        <f t="shared" si="9"/>
        <v>5</v>
      </c>
      <c r="T50" s="5">
        <v>32</v>
      </c>
      <c r="U50" s="5">
        <f t="shared" ref="U50:U68" si="19">D50-Stock_Price</f>
        <v>7</v>
      </c>
      <c r="V50" s="5">
        <f t="shared" si="10"/>
        <v>7</v>
      </c>
      <c r="X50" s="5">
        <v>32</v>
      </c>
      <c r="Y50" s="5">
        <f t="shared" si="11"/>
        <v>-7</v>
      </c>
      <c r="Z50" s="5">
        <f t="shared" si="12"/>
        <v>-7</v>
      </c>
      <c r="AB50" s="5">
        <f t="shared" ref="AB50:AB68" si="20">$B$9</f>
        <v>100</v>
      </c>
      <c r="AC50" s="5">
        <f t="shared" ref="AC50:AC68" si="21">AB50*$B$8</f>
        <v>1</v>
      </c>
      <c r="AD50" s="5"/>
      <c r="AE50" s="5">
        <f t="shared" si="13"/>
        <v>-100</v>
      </c>
      <c r="AF50" s="5">
        <f t="shared" si="14"/>
        <v>-1</v>
      </c>
    </row>
    <row r="51" spans="4:32" x14ac:dyDescent="0.25">
      <c r="D51" s="5">
        <v>33</v>
      </c>
      <c r="E51" s="5">
        <f t="shared" si="16"/>
        <v>8</v>
      </c>
      <c r="F51" s="5">
        <f t="shared" si="17"/>
        <v>3</v>
      </c>
      <c r="H51" s="5">
        <v>33</v>
      </c>
      <c r="I51" s="5">
        <f t="shared" si="6"/>
        <v>-8</v>
      </c>
      <c r="J51" s="5">
        <f t="shared" si="15"/>
        <v>-3</v>
      </c>
      <c r="L51" s="5">
        <v>33</v>
      </c>
      <c r="M51" s="5">
        <f t="shared" ref="M51:M68" si="22">IF(D51&gt;=$B$5,0,$B$5-D51)</f>
        <v>0</v>
      </c>
      <c r="N51" s="5">
        <f t="shared" si="18"/>
        <v>-5</v>
      </c>
      <c r="P51" s="5">
        <v>33</v>
      </c>
      <c r="Q51" s="5">
        <f t="shared" si="8"/>
        <v>0</v>
      </c>
      <c r="R51" s="5">
        <f t="shared" si="9"/>
        <v>5</v>
      </c>
      <c r="T51" s="5">
        <v>33</v>
      </c>
      <c r="U51" s="5">
        <f t="shared" si="19"/>
        <v>8</v>
      </c>
      <c r="V51" s="5">
        <f t="shared" si="10"/>
        <v>8</v>
      </c>
      <c r="X51" s="5">
        <v>33</v>
      </c>
      <c r="Y51" s="5">
        <f t="shared" si="11"/>
        <v>-8</v>
      </c>
      <c r="Z51" s="5">
        <f t="shared" si="12"/>
        <v>-8</v>
      </c>
      <c r="AB51" s="5">
        <f t="shared" si="20"/>
        <v>100</v>
      </c>
      <c r="AC51" s="5">
        <f t="shared" si="21"/>
        <v>1</v>
      </c>
      <c r="AD51" s="5"/>
      <c r="AE51" s="5">
        <f t="shared" si="13"/>
        <v>-100</v>
      </c>
      <c r="AF51" s="5">
        <f t="shared" si="14"/>
        <v>-1</v>
      </c>
    </row>
    <row r="52" spans="4:32" x14ac:dyDescent="0.25">
      <c r="D52" s="5">
        <v>34</v>
      </c>
      <c r="E52" s="5">
        <f t="shared" si="16"/>
        <v>9</v>
      </c>
      <c r="F52" s="5">
        <f t="shared" si="17"/>
        <v>4</v>
      </c>
      <c r="H52" s="5">
        <v>34</v>
      </c>
      <c r="I52" s="5">
        <f t="shared" si="6"/>
        <v>-9</v>
      </c>
      <c r="J52" s="5">
        <f t="shared" si="15"/>
        <v>-4</v>
      </c>
      <c r="L52" s="5">
        <v>34</v>
      </c>
      <c r="M52" s="5">
        <f t="shared" si="22"/>
        <v>0</v>
      </c>
      <c r="N52" s="5">
        <f t="shared" si="18"/>
        <v>-5</v>
      </c>
      <c r="P52" s="5">
        <v>34</v>
      </c>
      <c r="Q52" s="5">
        <f t="shared" si="8"/>
        <v>0</v>
      </c>
      <c r="R52" s="5">
        <f t="shared" si="9"/>
        <v>5</v>
      </c>
      <c r="T52" s="5">
        <v>34</v>
      </c>
      <c r="U52" s="5">
        <f t="shared" si="19"/>
        <v>9</v>
      </c>
      <c r="V52" s="5">
        <f t="shared" si="10"/>
        <v>9</v>
      </c>
      <c r="X52" s="5">
        <v>34</v>
      </c>
      <c r="Y52" s="5">
        <f t="shared" si="11"/>
        <v>-9</v>
      </c>
      <c r="Z52" s="5">
        <f t="shared" si="12"/>
        <v>-9</v>
      </c>
      <c r="AB52" s="5">
        <f t="shared" si="20"/>
        <v>100</v>
      </c>
      <c r="AC52" s="5">
        <f t="shared" si="21"/>
        <v>1</v>
      </c>
      <c r="AD52" s="5"/>
      <c r="AE52" s="5">
        <f t="shared" si="13"/>
        <v>-100</v>
      </c>
      <c r="AF52" s="5">
        <f t="shared" si="14"/>
        <v>-1</v>
      </c>
    </row>
    <row r="53" spans="4:32" x14ac:dyDescent="0.25">
      <c r="D53" s="5">
        <v>35</v>
      </c>
      <c r="E53" s="5">
        <f t="shared" si="16"/>
        <v>10</v>
      </c>
      <c r="F53" s="5">
        <f t="shared" si="17"/>
        <v>5</v>
      </c>
      <c r="H53" s="5">
        <v>35</v>
      </c>
      <c r="I53" s="5">
        <f t="shared" si="6"/>
        <v>-10</v>
      </c>
      <c r="J53" s="5">
        <f t="shared" si="15"/>
        <v>-5</v>
      </c>
      <c r="L53" s="5">
        <v>35</v>
      </c>
      <c r="M53" s="5">
        <f t="shared" si="22"/>
        <v>0</v>
      </c>
      <c r="N53" s="5">
        <f t="shared" si="18"/>
        <v>-5</v>
      </c>
      <c r="P53" s="5">
        <v>35</v>
      </c>
      <c r="Q53" s="5">
        <f t="shared" si="8"/>
        <v>0</v>
      </c>
      <c r="R53" s="5">
        <f t="shared" si="9"/>
        <v>5</v>
      </c>
      <c r="T53" s="5">
        <v>35</v>
      </c>
      <c r="U53" s="5">
        <f t="shared" si="19"/>
        <v>10</v>
      </c>
      <c r="V53" s="5">
        <f t="shared" si="10"/>
        <v>10</v>
      </c>
      <c r="X53" s="5">
        <v>35</v>
      </c>
      <c r="Y53" s="5">
        <f t="shared" si="11"/>
        <v>-10</v>
      </c>
      <c r="Z53" s="5">
        <f t="shared" si="12"/>
        <v>-10</v>
      </c>
      <c r="AB53" s="5">
        <f t="shared" si="20"/>
        <v>100</v>
      </c>
      <c r="AC53" s="5">
        <f t="shared" si="21"/>
        <v>1</v>
      </c>
      <c r="AD53" s="5"/>
      <c r="AE53" s="5">
        <f t="shared" si="13"/>
        <v>-100</v>
      </c>
      <c r="AF53" s="5">
        <f t="shared" si="14"/>
        <v>-1</v>
      </c>
    </row>
    <row r="54" spans="4:32" x14ac:dyDescent="0.25">
      <c r="D54" s="5">
        <v>36</v>
      </c>
      <c r="E54" s="5">
        <f t="shared" si="16"/>
        <v>11</v>
      </c>
      <c r="F54" s="5">
        <f t="shared" si="17"/>
        <v>6</v>
      </c>
      <c r="H54" s="5">
        <v>36</v>
      </c>
      <c r="I54" s="5">
        <f t="shared" si="6"/>
        <v>-11</v>
      </c>
      <c r="J54" s="5">
        <f t="shared" si="15"/>
        <v>-6</v>
      </c>
      <c r="L54" s="5">
        <v>36</v>
      </c>
      <c r="M54" s="5">
        <f t="shared" si="22"/>
        <v>0</v>
      </c>
      <c r="N54" s="5">
        <f t="shared" si="18"/>
        <v>-5</v>
      </c>
      <c r="P54" s="5">
        <v>36</v>
      </c>
      <c r="Q54" s="5">
        <f t="shared" si="8"/>
        <v>0</v>
      </c>
      <c r="R54" s="5">
        <f t="shared" si="9"/>
        <v>5</v>
      </c>
      <c r="T54" s="5">
        <v>36</v>
      </c>
      <c r="U54" s="5">
        <f t="shared" si="19"/>
        <v>11</v>
      </c>
      <c r="V54" s="5">
        <f t="shared" si="10"/>
        <v>11</v>
      </c>
      <c r="X54" s="5">
        <v>36</v>
      </c>
      <c r="Y54" s="5">
        <f t="shared" si="11"/>
        <v>-11</v>
      </c>
      <c r="Z54" s="5">
        <f t="shared" si="12"/>
        <v>-11</v>
      </c>
      <c r="AB54" s="5">
        <f t="shared" si="20"/>
        <v>100</v>
      </c>
      <c r="AC54" s="5">
        <f t="shared" si="21"/>
        <v>1</v>
      </c>
      <c r="AD54" s="5"/>
      <c r="AE54" s="5">
        <f t="shared" si="13"/>
        <v>-100</v>
      </c>
      <c r="AF54" s="5">
        <f t="shared" si="14"/>
        <v>-1</v>
      </c>
    </row>
    <row r="55" spans="4:32" x14ac:dyDescent="0.25">
      <c r="D55" s="5">
        <v>37</v>
      </c>
      <c r="E55" s="5">
        <f t="shared" si="16"/>
        <v>12</v>
      </c>
      <c r="F55" s="5">
        <f t="shared" si="17"/>
        <v>7</v>
      </c>
      <c r="H55" s="5">
        <v>37</v>
      </c>
      <c r="I55" s="5">
        <f t="shared" si="6"/>
        <v>-12</v>
      </c>
      <c r="J55" s="5">
        <f t="shared" si="15"/>
        <v>-7</v>
      </c>
      <c r="L55" s="5">
        <v>37</v>
      </c>
      <c r="M55" s="5">
        <f t="shared" si="22"/>
        <v>0</v>
      </c>
      <c r="N55" s="5">
        <f t="shared" si="18"/>
        <v>-5</v>
      </c>
      <c r="P55" s="5">
        <v>37</v>
      </c>
      <c r="Q55" s="5">
        <f t="shared" si="8"/>
        <v>0</v>
      </c>
      <c r="R55" s="5">
        <f t="shared" si="9"/>
        <v>5</v>
      </c>
      <c r="T55" s="5">
        <v>37</v>
      </c>
      <c r="U55" s="5">
        <f t="shared" si="19"/>
        <v>12</v>
      </c>
      <c r="V55" s="5">
        <f t="shared" si="10"/>
        <v>12</v>
      </c>
      <c r="X55" s="5">
        <v>37</v>
      </c>
      <c r="Y55" s="5">
        <f t="shared" si="11"/>
        <v>-12</v>
      </c>
      <c r="Z55" s="5">
        <f t="shared" si="12"/>
        <v>-12</v>
      </c>
      <c r="AB55" s="5">
        <f t="shared" si="20"/>
        <v>100</v>
      </c>
      <c r="AC55" s="5">
        <f t="shared" si="21"/>
        <v>1</v>
      </c>
      <c r="AD55" s="5"/>
      <c r="AE55" s="5">
        <f t="shared" si="13"/>
        <v>-100</v>
      </c>
      <c r="AF55" s="5">
        <f t="shared" si="14"/>
        <v>-1</v>
      </c>
    </row>
    <row r="56" spans="4:32" x14ac:dyDescent="0.25">
      <c r="D56" s="5">
        <v>38</v>
      </c>
      <c r="E56" s="5">
        <f t="shared" si="16"/>
        <v>13</v>
      </c>
      <c r="F56" s="5">
        <f t="shared" si="17"/>
        <v>8</v>
      </c>
      <c r="H56" s="5">
        <v>38</v>
      </c>
      <c r="I56" s="5">
        <f t="shared" si="6"/>
        <v>-13</v>
      </c>
      <c r="J56" s="5">
        <f t="shared" si="15"/>
        <v>-8</v>
      </c>
      <c r="L56" s="5">
        <v>38</v>
      </c>
      <c r="M56" s="5">
        <f t="shared" si="22"/>
        <v>0</v>
      </c>
      <c r="N56" s="5">
        <f t="shared" si="18"/>
        <v>-5</v>
      </c>
      <c r="P56" s="5">
        <v>38</v>
      </c>
      <c r="Q56" s="5">
        <f t="shared" si="8"/>
        <v>0</v>
      </c>
      <c r="R56" s="5">
        <f t="shared" si="9"/>
        <v>5</v>
      </c>
      <c r="T56" s="5">
        <v>38</v>
      </c>
      <c r="U56" s="5">
        <f t="shared" si="19"/>
        <v>13</v>
      </c>
      <c r="V56" s="5">
        <f t="shared" si="10"/>
        <v>13</v>
      </c>
      <c r="X56" s="5">
        <v>38</v>
      </c>
      <c r="Y56" s="5">
        <f t="shared" si="11"/>
        <v>-13</v>
      </c>
      <c r="Z56" s="5">
        <f t="shared" si="12"/>
        <v>-13</v>
      </c>
      <c r="AB56" s="5">
        <f t="shared" si="20"/>
        <v>100</v>
      </c>
      <c r="AC56" s="5">
        <f t="shared" si="21"/>
        <v>1</v>
      </c>
      <c r="AD56" s="5"/>
      <c r="AE56" s="5">
        <f t="shared" si="13"/>
        <v>-100</v>
      </c>
      <c r="AF56" s="5">
        <f t="shared" si="14"/>
        <v>-1</v>
      </c>
    </row>
    <row r="57" spans="4:32" x14ac:dyDescent="0.25">
      <c r="D57" s="5">
        <v>39</v>
      </c>
      <c r="E57" s="5">
        <f t="shared" si="16"/>
        <v>14</v>
      </c>
      <c r="F57" s="5">
        <f t="shared" si="17"/>
        <v>9</v>
      </c>
      <c r="H57" s="5">
        <v>39</v>
      </c>
      <c r="I57" s="5">
        <f t="shared" si="6"/>
        <v>-14</v>
      </c>
      <c r="J57" s="5">
        <f t="shared" si="15"/>
        <v>-9</v>
      </c>
      <c r="L57" s="5">
        <v>39</v>
      </c>
      <c r="M57" s="5">
        <f t="shared" si="22"/>
        <v>0</v>
      </c>
      <c r="N57" s="5">
        <f t="shared" si="18"/>
        <v>-5</v>
      </c>
      <c r="P57" s="5">
        <v>39</v>
      </c>
      <c r="Q57" s="5">
        <f t="shared" si="8"/>
        <v>0</v>
      </c>
      <c r="R57" s="5">
        <f t="shared" si="9"/>
        <v>5</v>
      </c>
      <c r="T57" s="5">
        <v>39</v>
      </c>
      <c r="U57" s="5">
        <f t="shared" si="19"/>
        <v>14</v>
      </c>
      <c r="V57" s="5">
        <f t="shared" si="10"/>
        <v>14</v>
      </c>
      <c r="X57" s="5">
        <v>39</v>
      </c>
      <c r="Y57" s="5">
        <f t="shared" si="11"/>
        <v>-14</v>
      </c>
      <c r="Z57" s="5">
        <f t="shared" si="12"/>
        <v>-14</v>
      </c>
      <c r="AB57" s="5">
        <f t="shared" si="20"/>
        <v>100</v>
      </c>
      <c r="AC57" s="5">
        <f t="shared" si="21"/>
        <v>1</v>
      </c>
      <c r="AD57" s="5"/>
      <c r="AE57" s="5">
        <f t="shared" si="13"/>
        <v>-100</v>
      </c>
      <c r="AF57" s="5">
        <f t="shared" si="14"/>
        <v>-1</v>
      </c>
    </row>
    <row r="58" spans="4:32" x14ac:dyDescent="0.25">
      <c r="D58" s="5">
        <v>40</v>
      </c>
      <c r="E58" s="5">
        <f t="shared" si="16"/>
        <v>15</v>
      </c>
      <c r="F58" s="5">
        <f t="shared" si="17"/>
        <v>10</v>
      </c>
      <c r="H58" s="5">
        <v>40</v>
      </c>
      <c r="I58" s="5">
        <f t="shared" si="6"/>
        <v>-15</v>
      </c>
      <c r="J58" s="5">
        <f t="shared" si="15"/>
        <v>-10</v>
      </c>
      <c r="L58" s="5">
        <v>40</v>
      </c>
      <c r="M58" s="5">
        <f t="shared" si="22"/>
        <v>0</v>
      </c>
      <c r="N58" s="5">
        <f t="shared" si="18"/>
        <v>-5</v>
      </c>
      <c r="P58" s="5">
        <v>40</v>
      </c>
      <c r="Q58" s="5">
        <f t="shared" si="8"/>
        <v>0</v>
      </c>
      <c r="R58" s="5">
        <f t="shared" si="9"/>
        <v>5</v>
      </c>
      <c r="T58" s="5">
        <v>40</v>
      </c>
      <c r="U58" s="5">
        <f t="shared" si="19"/>
        <v>15</v>
      </c>
      <c r="V58" s="5">
        <f t="shared" si="10"/>
        <v>15</v>
      </c>
      <c r="X58" s="5">
        <v>40</v>
      </c>
      <c r="Y58" s="5">
        <f t="shared" si="11"/>
        <v>-15</v>
      </c>
      <c r="Z58" s="5">
        <f t="shared" si="12"/>
        <v>-15</v>
      </c>
      <c r="AB58" s="5">
        <f t="shared" si="20"/>
        <v>100</v>
      </c>
      <c r="AC58" s="5">
        <f t="shared" si="21"/>
        <v>1</v>
      </c>
      <c r="AD58" s="5"/>
      <c r="AE58" s="5">
        <f t="shared" si="13"/>
        <v>-100</v>
      </c>
      <c r="AF58" s="5">
        <f t="shared" si="14"/>
        <v>-1</v>
      </c>
    </row>
    <row r="59" spans="4:32" x14ac:dyDescent="0.25">
      <c r="D59" s="5">
        <v>41</v>
      </c>
      <c r="E59" s="5">
        <f t="shared" si="16"/>
        <v>16</v>
      </c>
      <c r="F59" s="5">
        <f t="shared" si="17"/>
        <v>11</v>
      </c>
      <c r="H59" s="5">
        <v>41</v>
      </c>
      <c r="I59" s="5">
        <f t="shared" si="6"/>
        <v>-16</v>
      </c>
      <c r="J59" s="5">
        <f t="shared" si="15"/>
        <v>-11</v>
      </c>
      <c r="L59" s="5">
        <v>41</v>
      </c>
      <c r="M59" s="5">
        <f t="shared" si="22"/>
        <v>0</v>
      </c>
      <c r="N59" s="5">
        <f t="shared" si="18"/>
        <v>-5</v>
      </c>
      <c r="P59" s="5">
        <v>41</v>
      </c>
      <c r="Q59" s="5">
        <f t="shared" si="8"/>
        <v>0</v>
      </c>
      <c r="R59" s="5">
        <f t="shared" si="9"/>
        <v>5</v>
      </c>
      <c r="T59" s="5">
        <v>41</v>
      </c>
      <c r="U59" s="5">
        <f t="shared" si="19"/>
        <v>16</v>
      </c>
      <c r="V59" s="5">
        <f t="shared" si="10"/>
        <v>16</v>
      </c>
      <c r="X59" s="5">
        <v>41</v>
      </c>
      <c r="Y59" s="5">
        <f t="shared" si="11"/>
        <v>-16</v>
      </c>
      <c r="Z59" s="5">
        <f t="shared" si="12"/>
        <v>-16</v>
      </c>
      <c r="AB59" s="5">
        <f t="shared" si="20"/>
        <v>100</v>
      </c>
      <c r="AC59" s="5">
        <f t="shared" si="21"/>
        <v>1</v>
      </c>
      <c r="AD59" s="5"/>
      <c r="AE59" s="5">
        <f t="shared" si="13"/>
        <v>-100</v>
      </c>
      <c r="AF59" s="5">
        <f t="shared" si="14"/>
        <v>-1</v>
      </c>
    </row>
    <row r="60" spans="4:32" x14ac:dyDescent="0.25">
      <c r="D60" s="5">
        <v>42</v>
      </c>
      <c r="E60" s="5">
        <f t="shared" si="16"/>
        <v>17</v>
      </c>
      <c r="F60" s="5">
        <f t="shared" si="17"/>
        <v>12</v>
      </c>
      <c r="H60" s="5">
        <v>42</v>
      </c>
      <c r="I60" s="5">
        <f t="shared" si="6"/>
        <v>-17</v>
      </c>
      <c r="J60" s="5">
        <f t="shared" si="15"/>
        <v>-12</v>
      </c>
      <c r="L60" s="5">
        <v>42</v>
      </c>
      <c r="M60" s="5">
        <f t="shared" si="22"/>
        <v>0</v>
      </c>
      <c r="N60" s="5">
        <f t="shared" si="18"/>
        <v>-5</v>
      </c>
      <c r="P60" s="5">
        <v>42</v>
      </c>
      <c r="Q60" s="5">
        <f t="shared" si="8"/>
        <v>0</v>
      </c>
      <c r="R60" s="5">
        <f t="shared" si="9"/>
        <v>5</v>
      </c>
      <c r="T60" s="5">
        <v>42</v>
      </c>
      <c r="U60" s="5">
        <f t="shared" si="19"/>
        <v>17</v>
      </c>
      <c r="V60" s="5">
        <f t="shared" si="10"/>
        <v>17</v>
      </c>
      <c r="X60" s="5">
        <v>42</v>
      </c>
      <c r="Y60" s="5">
        <f t="shared" si="11"/>
        <v>-17</v>
      </c>
      <c r="Z60" s="5">
        <f t="shared" si="12"/>
        <v>-17</v>
      </c>
      <c r="AB60" s="5">
        <f t="shared" si="20"/>
        <v>100</v>
      </c>
      <c r="AC60" s="5">
        <f t="shared" si="21"/>
        <v>1</v>
      </c>
      <c r="AD60" s="5"/>
      <c r="AE60" s="5">
        <f t="shared" si="13"/>
        <v>-100</v>
      </c>
      <c r="AF60" s="5">
        <f t="shared" si="14"/>
        <v>-1</v>
      </c>
    </row>
    <row r="61" spans="4:32" x14ac:dyDescent="0.25">
      <c r="D61" s="5">
        <v>43</v>
      </c>
      <c r="E61" s="5">
        <f t="shared" si="16"/>
        <v>18</v>
      </c>
      <c r="F61" s="5">
        <f t="shared" si="17"/>
        <v>13</v>
      </c>
      <c r="H61" s="5">
        <v>43</v>
      </c>
      <c r="I61" s="5">
        <f t="shared" si="6"/>
        <v>-18</v>
      </c>
      <c r="J61" s="5">
        <f t="shared" si="15"/>
        <v>-13</v>
      </c>
      <c r="L61" s="5">
        <v>43</v>
      </c>
      <c r="M61" s="5">
        <f t="shared" si="22"/>
        <v>0</v>
      </c>
      <c r="N61" s="5">
        <f t="shared" si="18"/>
        <v>-5</v>
      </c>
      <c r="P61" s="5">
        <v>43</v>
      </c>
      <c r="Q61" s="5">
        <f t="shared" si="8"/>
        <v>0</v>
      </c>
      <c r="R61" s="5">
        <f t="shared" si="9"/>
        <v>5</v>
      </c>
      <c r="T61" s="5">
        <v>43</v>
      </c>
      <c r="U61" s="5">
        <f t="shared" si="19"/>
        <v>18</v>
      </c>
      <c r="V61" s="5">
        <f t="shared" si="10"/>
        <v>18</v>
      </c>
      <c r="X61" s="5">
        <v>43</v>
      </c>
      <c r="Y61" s="5">
        <f t="shared" si="11"/>
        <v>-18</v>
      </c>
      <c r="Z61" s="5">
        <f t="shared" si="12"/>
        <v>-18</v>
      </c>
      <c r="AB61" s="5">
        <f t="shared" si="20"/>
        <v>100</v>
      </c>
      <c r="AC61" s="5">
        <f t="shared" si="21"/>
        <v>1</v>
      </c>
      <c r="AD61" s="5"/>
      <c r="AE61" s="5">
        <f t="shared" si="13"/>
        <v>-100</v>
      </c>
      <c r="AF61" s="5">
        <f t="shared" si="14"/>
        <v>-1</v>
      </c>
    </row>
    <row r="62" spans="4:32" x14ac:dyDescent="0.25">
      <c r="D62" s="5">
        <v>44</v>
      </c>
      <c r="E62" s="5">
        <f t="shared" si="16"/>
        <v>19</v>
      </c>
      <c r="F62" s="5">
        <f t="shared" si="17"/>
        <v>14</v>
      </c>
      <c r="H62" s="5">
        <v>44</v>
      </c>
      <c r="I62" s="5">
        <f t="shared" si="6"/>
        <v>-19</v>
      </c>
      <c r="J62" s="5">
        <f t="shared" si="15"/>
        <v>-14</v>
      </c>
      <c r="L62" s="5">
        <v>44</v>
      </c>
      <c r="M62" s="5">
        <f t="shared" si="22"/>
        <v>0</v>
      </c>
      <c r="N62" s="5">
        <f t="shared" si="18"/>
        <v>-5</v>
      </c>
      <c r="P62" s="5">
        <v>44</v>
      </c>
      <c r="Q62" s="5">
        <f t="shared" si="8"/>
        <v>0</v>
      </c>
      <c r="R62" s="5">
        <f t="shared" si="9"/>
        <v>5</v>
      </c>
      <c r="T62" s="5">
        <v>44</v>
      </c>
      <c r="U62" s="5">
        <f t="shared" si="19"/>
        <v>19</v>
      </c>
      <c r="V62" s="5">
        <f t="shared" si="10"/>
        <v>19</v>
      </c>
      <c r="X62" s="5">
        <v>44</v>
      </c>
      <c r="Y62" s="5">
        <f t="shared" si="11"/>
        <v>-19</v>
      </c>
      <c r="Z62" s="5">
        <f t="shared" si="12"/>
        <v>-19</v>
      </c>
      <c r="AB62" s="5">
        <f t="shared" si="20"/>
        <v>100</v>
      </c>
      <c r="AC62" s="5">
        <f t="shared" si="21"/>
        <v>1</v>
      </c>
      <c r="AD62" s="5"/>
      <c r="AE62" s="5">
        <f t="shared" si="13"/>
        <v>-100</v>
      </c>
      <c r="AF62" s="5">
        <f t="shared" si="14"/>
        <v>-1</v>
      </c>
    </row>
    <row r="63" spans="4:32" x14ac:dyDescent="0.25">
      <c r="D63" s="5">
        <v>45</v>
      </c>
      <c r="E63" s="5">
        <f t="shared" si="16"/>
        <v>20</v>
      </c>
      <c r="F63" s="5">
        <f t="shared" si="17"/>
        <v>15</v>
      </c>
      <c r="H63" s="5">
        <v>45</v>
      </c>
      <c r="I63" s="5">
        <f t="shared" si="6"/>
        <v>-20</v>
      </c>
      <c r="J63" s="5">
        <f t="shared" si="15"/>
        <v>-15</v>
      </c>
      <c r="L63" s="5">
        <v>45</v>
      </c>
      <c r="M63" s="5">
        <f t="shared" si="22"/>
        <v>0</v>
      </c>
      <c r="N63" s="5">
        <f t="shared" si="18"/>
        <v>-5</v>
      </c>
      <c r="P63" s="5">
        <v>45</v>
      </c>
      <c r="Q63" s="5">
        <f t="shared" si="8"/>
        <v>0</v>
      </c>
      <c r="R63" s="5">
        <f t="shared" si="9"/>
        <v>5</v>
      </c>
      <c r="T63" s="5">
        <v>45</v>
      </c>
      <c r="U63" s="5">
        <f t="shared" si="19"/>
        <v>20</v>
      </c>
      <c r="V63" s="5">
        <f t="shared" si="10"/>
        <v>20</v>
      </c>
      <c r="X63" s="5">
        <v>45</v>
      </c>
      <c r="Y63" s="5">
        <f t="shared" si="11"/>
        <v>-20</v>
      </c>
      <c r="Z63" s="5">
        <f t="shared" si="12"/>
        <v>-20</v>
      </c>
      <c r="AB63" s="5">
        <f t="shared" si="20"/>
        <v>100</v>
      </c>
      <c r="AC63" s="5">
        <f t="shared" si="21"/>
        <v>1</v>
      </c>
      <c r="AD63" s="5"/>
      <c r="AE63" s="5">
        <f t="shared" si="13"/>
        <v>-100</v>
      </c>
      <c r="AF63" s="5">
        <f t="shared" si="14"/>
        <v>-1</v>
      </c>
    </row>
    <row r="64" spans="4:32" x14ac:dyDescent="0.25">
      <c r="D64" s="5">
        <v>46</v>
      </c>
      <c r="E64" s="5">
        <f t="shared" si="16"/>
        <v>21</v>
      </c>
      <c r="F64" s="5">
        <f t="shared" si="17"/>
        <v>16</v>
      </c>
      <c r="H64" s="5">
        <v>46</v>
      </c>
      <c r="I64" s="5">
        <f t="shared" si="6"/>
        <v>-21</v>
      </c>
      <c r="J64" s="5">
        <f t="shared" si="15"/>
        <v>-16</v>
      </c>
      <c r="L64" s="5">
        <v>46</v>
      </c>
      <c r="M64" s="5">
        <f t="shared" si="22"/>
        <v>0</v>
      </c>
      <c r="N64" s="5">
        <f t="shared" si="18"/>
        <v>-5</v>
      </c>
      <c r="P64" s="5">
        <v>46</v>
      </c>
      <c r="Q64" s="5">
        <f t="shared" si="8"/>
        <v>0</v>
      </c>
      <c r="R64" s="5">
        <f t="shared" si="9"/>
        <v>5</v>
      </c>
      <c r="T64" s="5">
        <v>46</v>
      </c>
      <c r="U64" s="5">
        <f t="shared" si="19"/>
        <v>21</v>
      </c>
      <c r="V64" s="5">
        <f t="shared" si="10"/>
        <v>21</v>
      </c>
      <c r="X64" s="5">
        <v>46</v>
      </c>
      <c r="Y64" s="5">
        <f t="shared" si="11"/>
        <v>-21</v>
      </c>
      <c r="Z64" s="5">
        <f t="shared" si="12"/>
        <v>-21</v>
      </c>
      <c r="AB64" s="5">
        <f t="shared" si="20"/>
        <v>100</v>
      </c>
      <c r="AC64" s="5">
        <f t="shared" si="21"/>
        <v>1</v>
      </c>
      <c r="AD64" s="5"/>
      <c r="AE64" s="5">
        <f t="shared" si="13"/>
        <v>-100</v>
      </c>
      <c r="AF64" s="5">
        <f t="shared" si="14"/>
        <v>-1</v>
      </c>
    </row>
    <row r="65" spans="4:32" x14ac:dyDescent="0.25">
      <c r="D65" s="5">
        <v>47</v>
      </c>
      <c r="E65" s="5">
        <f t="shared" si="16"/>
        <v>22</v>
      </c>
      <c r="F65" s="5">
        <f t="shared" si="17"/>
        <v>17</v>
      </c>
      <c r="H65" s="5">
        <v>47</v>
      </c>
      <c r="I65" s="5">
        <f t="shared" si="6"/>
        <v>-22</v>
      </c>
      <c r="J65" s="5">
        <f t="shared" si="15"/>
        <v>-17</v>
      </c>
      <c r="L65" s="5">
        <v>47</v>
      </c>
      <c r="M65" s="5">
        <f t="shared" si="22"/>
        <v>0</v>
      </c>
      <c r="N65" s="5">
        <f t="shared" si="18"/>
        <v>-5</v>
      </c>
      <c r="P65" s="5">
        <v>47</v>
      </c>
      <c r="Q65" s="5">
        <f t="shared" si="8"/>
        <v>0</v>
      </c>
      <c r="R65" s="5">
        <f t="shared" si="9"/>
        <v>5</v>
      </c>
      <c r="T65" s="5">
        <v>47</v>
      </c>
      <c r="U65" s="5">
        <f t="shared" si="19"/>
        <v>22</v>
      </c>
      <c r="V65" s="5">
        <f t="shared" si="10"/>
        <v>22</v>
      </c>
      <c r="X65" s="5">
        <v>47</v>
      </c>
      <c r="Y65" s="5">
        <f t="shared" si="11"/>
        <v>-22</v>
      </c>
      <c r="Z65" s="5">
        <f t="shared" si="12"/>
        <v>-22</v>
      </c>
      <c r="AB65" s="5">
        <f t="shared" si="20"/>
        <v>100</v>
      </c>
      <c r="AC65" s="5">
        <f t="shared" si="21"/>
        <v>1</v>
      </c>
      <c r="AD65" s="5"/>
      <c r="AE65" s="5">
        <f t="shared" si="13"/>
        <v>-100</v>
      </c>
      <c r="AF65" s="5">
        <f t="shared" si="14"/>
        <v>-1</v>
      </c>
    </row>
    <row r="66" spans="4:32" x14ac:dyDescent="0.25">
      <c r="D66" s="5">
        <v>48</v>
      </c>
      <c r="E66" s="5">
        <f t="shared" si="16"/>
        <v>23</v>
      </c>
      <c r="F66" s="5">
        <f t="shared" si="17"/>
        <v>18</v>
      </c>
      <c r="H66" s="5">
        <v>48</v>
      </c>
      <c r="I66" s="5">
        <f t="shared" si="6"/>
        <v>-23</v>
      </c>
      <c r="J66" s="5">
        <f t="shared" si="15"/>
        <v>-18</v>
      </c>
      <c r="L66" s="5">
        <v>48</v>
      </c>
      <c r="M66" s="5">
        <f t="shared" si="22"/>
        <v>0</v>
      </c>
      <c r="N66" s="5">
        <f t="shared" si="18"/>
        <v>-5</v>
      </c>
      <c r="P66" s="5">
        <v>48</v>
      </c>
      <c r="Q66" s="5">
        <f t="shared" si="8"/>
        <v>0</v>
      </c>
      <c r="R66" s="5">
        <f t="shared" si="9"/>
        <v>5</v>
      </c>
      <c r="T66" s="5">
        <v>48</v>
      </c>
      <c r="U66" s="5">
        <f t="shared" si="19"/>
        <v>23</v>
      </c>
      <c r="V66" s="5">
        <f t="shared" si="10"/>
        <v>23</v>
      </c>
      <c r="X66" s="5">
        <v>48</v>
      </c>
      <c r="Y66" s="5">
        <f t="shared" si="11"/>
        <v>-23</v>
      </c>
      <c r="Z66" s="5">
        <f t="shared" si="12"/>
        <v>-23</v>
      </c>
      <c r="AB66" s="5">
        <f t="shared" si="20"/>
        <v>100</v>
      </c>
      <c r="AC66" s="5">
        <f t="shared" si="21"/>
        <v>1</v>
      </c>
      <c r="AD66" s="5"/>
      <c r="AE66" s="5">
        <f t="shared" si="13"/>
        <v>-100</v>
      </c>
      <c r="AF66" s="5">
        <f t="shared" si="14"/>
        <v>-1</v>
      </c>
    </row>
    <row r="67" spans="4:32" x14ac:dyDescent="0.25">
      <c r="D67" s="5">
        <v>49</v>
      </c>
      <c r="E67" s="5">
        <f t="shared" si="16"/>
        <v>24</v>
      </c>
      <c r="F67" s="5">
        <f t="shared" si="17"/>
        <v>19</v>
      </c>
      <c r="H67" s="5">
        <v>49</v>
      </c>
      <c r="I67" s="5">
        <f t="shared" si="6"/>
        <v>-24</v>
      </c>
      <c r="J67" s="5">
        <f t="shared" si="15"/>
        <v>-19</v>
      </c>
      <c r="L67" s="5">
        <v>49</v>
      </c>
      <c r="M67" s="5">
        <f t="shared" si="22"/>
        <v>0</v>
      </c>
      <c r="N67" s="5">
        <f t="shared" si="18"/>
        <v>-5</v>
      </c>
      <c r="P67" s="5">
        <v>49</v>
      </c>
      <c r="Q67" s="5">
        <f t="shared" si="8"/>
        <v>0</v>
      </c>
      <c r="R67" s="5">
        <f t="shared" si="9"/>
        <v>5</v>
      </c>
      <c r="T67" s="5">
        <v>49</v>
      </c>
      <c r="U67" s="5">
        <f t="shared" si="19"/>
        <v>24</v>
      </c>
      <c r="V67" s="5">
        <f t="shared" si="10"/>
        <v>24</v>
      </c>
      <c r="X67" s="5">
        <v>49</v>
      </c>
      <c r="Y67" s="5">
        <f t="shared" si="11"/>
        <v>-24</v>
      </c>
      <c r="Z67" s="5">
        <f t="shared" si="12"/>
        <v>-24</v>
      </c>
      <c r="AB67" s="5">
        <f t="shared" si="20"/>
        <v>100</v>
      </c>
      <c r="AC67" s="5">
        <f t="shared" si="21"/>
        <v>1</v>
      </c>
      <c r="AD67" s="5"/>
      <c r="AE67" s="5">
        <f t="shared" si="13"/>
        <v>-100</v>
      </c>
      <c r="AF67" s="5">
        <f t="shared" si="14"/>
        <v>-1</v>
      </c>
    </row>
    <row r="68" spans="4:32" x14ac:dyDescent="0.25">
      <c r="D68" s="5">
        <v>50</v>
      </c>
      <c r="E68" s="5">
        <f t="shared" si="16"/>
        <v>25</v>
      </c>
      <c r="F68" s="5">
        <f t="shared" si="17"/>
        <v>20</v>
      </c>
      <c r="H68" s="5">
        <v>50</v>
      </c>
      <c r="I68" s="5">
        <f t="shared" si="6"/>
        <v>-25</v>
      </c>
      <c r="J68" s="5">
        <f t="shared" si="15"/>
        <v>-20</v>
      </c>
      <c r="L68" s="5">
        <v>50</v>
      </c>
      <c r="M68" s="5">
        <f t="shared" si="22"/>
        <v>0</v>
      </c>
      <c r="N68" s="5">
        <f t="shared" si="18"/>
        <v>-5</v>
      </c>
      <c r="P68" s="5">
        <v>50</v>
      </c>
      <c r="Q68" s="5">
        <f t="shared" si="8"/>
        <v>0</v>
      </c>
      <c r="R68" s="5">
        <f t="shared" si="9"/>
        <v>5</v>
      </c>
      <c r="T68" s="5">
        <v>50</v>
      </c>
      <c r="U68" s="5">
        <f t="shared" si="19"/>
        <v>25</v>
      </c>
      <c r="V68" s="5">
        <f t="shared" si="10"/>
        <v>25</v>
      </c>
      <c r="X68" s="5">
        <v>50</v>
      </c>
      <c r="Y68" s="5">
        <f t="shared" si="11"/>
        <v>-25</v>
      </c>
      <c r="Z68" s="5">
        <f t="shared" si="12"/>
        <v>-25</v>
      </c>
      <c r="AB68" s="5">
        <f t="shared" si="20"/>
        <v>100</v>
      </c>
      <c r="AC68" s="5">
        <f t="shared" si="21"/>
        <v>1</v>
      </c>
      <c r="AD68" s="5"/>
      <c r="AE68" s="5">
        <f t="shared" si="13"/>
        <v>-100</v>
      </c>
      <c r="AF68" s="5">
        <f t="shared" si="14"/>
        <v>-1</v>
      </c>
    </row>
  </sheetData>
  <mergeCells count="12">
    <mergeCell ref="Y16:Z16"/>
    <mergeCell ref="Q16:R16"/>
    <mergeCell ref="U16:V16"/>
    <mergeCell ref="T16:T17"/>
    <mergeCell ref="P16:P17"/>
    <mergeCell ref="D16:D17"/>
    <mergeCell ref="X16:X17"/>
    <mergeCell ref="E16:F16"/>
    <mergeCell ref="I16:J16"/>
    <mergeCell ref="M16:N16"/>
    <mergeCell ref="L16:L17"/>
    <mergeCell ref="H16:H17"/>
  </mergeCells>
  <pageMargins left="0.7" right="0.7" top="0.75" bottom="0.75" header="0.3" footer="0.3"/>
  <ignoredErrors>
    <ignoredError sqref="Y1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EDBC-3FCE-4F9D-8906-61AB20DEB935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AF1D-60F2-440C-AB15-CF6F4EE16F6B}">
  <dimension ref="A1:U19"/>
  <sheetViews>
    <sheetView workbookViewId="0">
      <selection activeCell="G13" sqref="G13"/>
    </sheetView>
  </sheetViews>
  <sheetFormatPr defaultRowHeight="15" x14ac:dyDescent="0.25"/>
  <cols>
    <col min="1" max="1" width="40.42578125" bestFit="1" customWidth="1"/>
    <col min="2" max="2" width="10.42578125" customWidth="1"/>
    <col min="7" max="7" width="10" bestFit="1" customWidth="1"/>
    <col min="21" max="21" width="18.5703125" customWidth="1"/>
  </cols>
  <sheetData>
    <row r="1" spans="1:21" x14ac:dyDescent="0.25">
      <c r="A1" t="s">
        <v>55</v>
      </c>
      <c r="U1" t="s">
        <v>121</v>
      </c>
    </row>
    <row r="2" spans="1:21" x14ac:dyDescent="0.25">
      <c r="A2" t="s">
        <v>123</v>
      </c>
      <c r="B2" t="s">
        <v>121</v>
      </c>
      <c r="U2" t="s">
        <v>122</v>
      </c>
    </row>
    <row r="3" spans="1:21" x14ac:dyDescent="0.25">
      <c r="A3" t="s">
        <v>57</v>
      </c>
      <c r="B3" s="2">
        <v>100</v>
      </c>
    </row>
    <row r="4" spans="1:21" x14ac:dyDescent="0.25">
      <c r="A4" t="s">
        <v>58</v>
      </c>
      <c r="B4" s="34">
        <v>0.14247000000000001</v>
      </c>
      <c r="U4" t="s">
        <v>124</v>
      </c>
    </row>
    <row r="5" spans="1:21" x14ac:dyDescent="0.25">
      <c r="A5" t="s">
        <v>59</v>
      </c>
      <c r="B5" s="34">
        <v>0</v>
      </c>
      <c r="E5" t="s">
        <v>120</v>
      </c>
      <c r="U5" t="s">
        <v>125</v>
      </c>
    </row>
    <row r="6" spans="1:21" ht="15.75" thickBot="1" x14ac:dyDescent="0.3">
      <c r="A6" t="s">
        <v>60</v>
      </c>
      <c r="B6" s="34">
        <v>0.05</v>
      </c>
      <c r="E6" s="31">
        <v>0</v>
      </c>
      <c r="F6" s="31">
        <v>1</v>
      </c>
      <c r="G6" s="31">
        <v>2</v>
      </c>
      <c r="H6" s="31">
        <v>3</v>
      </c>
      <c r="I6" s="31">
        <v>4</v>
      </c>
      <c r="J6" s="31">
        <v>5</v>
      </c>
      <c r="K6" s="31">
        <v>6</v>
      </c>
      <c r="L6" s="31">
        <v>7</v>
      </c>
      <c r="M6" s="31">
        <v>8</v>
      </c>
      <c r="N6" s="31">
        <v>9</v>
      </c>
      <c r="O6" s="31">
        <v>10</v>
      </c>
      <c r="U6" t="s">
        <v>126</v>
      </c>
    </row>
    <row r="7" spans="1:21" x14ac:dyDescent="0.25">
      <c r="A7" t="s">
        <v>61</v>
      </c>
      <c r="B7" s="35">
        <v>110</v>
      </c>
      <c r="E7">
        <f>Current_Stock_Price</f>
        <v>100</v>
      </c>
      <c r="F7" s="32">
        <f t="shared" ref="F7:O7" si="0">E7*Up</f>
        <v>110.59907096561672</v>
      </c>
      <c r="G7" s="32">
        <f t="shared" si="0"/>
        <v>122.32154498457523</v>
      </c>
      <c r="H7" s="32">
        <f t="shared" si="0"/>
        <v>135.28649234372912</v>
      </c>
      <c r="I7" s="32">
        <f t="shared" si="0"/>
        <v>149.6256036741346</v>
      </c>
      <c r="J7" s="32">
        <f t="shared" si="0"/>
        <v>165.48452759028854</v>
      </c>
      <c r="K7" s="32">
        <f t="shared" si="0"/>
        <v>183.02435010669879</v>
      </c>
      <c r="L7" s="32">
        <f t="shared" si="0"/>
        <v>202.42323085886659</v>
      </c>
      <c r="M7" s="32">
        <f t="shared" si="0"/>
        <v>223.87821274849202</v>
      </c>
      <c r="N7" s="32">
        <f t="shared" si="0"/>
        <v>247.60722339425905</v>
      </c>
      <c r="O7" s="32">
        <f t="shared" si="0"/>
        <v>273.85128871780967</v>
      </c>
    </row>
    <row r="8" spans="1:21" x14ac:dyDescent="0.25">
      <c r="A8" t="s">
        <v>62</v>
      </c>
      <c r="B8" s="3">
        <v>1</v>
      </c>
      <c r="F8" s="32">
        <f t="shared" ref="F8:O8" si="1">E7*Down</f>
        <v>90.416672696182246</v>
      </c>
      <c r="G8" s="32">
        <f t="shared" si="1"/>
        <v>100</v>
      </c>
      <c r="H8" s="32">
        <f t="shared" si="1"/>
        <v>110.5990709656167</v>
      </c>
      <c r="I8" s="32">
        <f t="shared" si="1"/>
        <v>122.32154498457521</v>
      </c>
      <c r="J8" s="32">
        <f t="shared" si="1"/>
        <v>135.28649234372912</v>
      </c>
      <c r="K8" s="32">
        <f t="shared" si="1"/>
        <v>149.6256036741346</v>
      </c>
      <c r="L8" s="32">
        <f t="shared" si="1"/>
        <v>165.48452759028851</v>
      </c>
      <c r="M8" s="32">
        <f t="shared" si="1"/>
        <v>183.02435010669876</v>
      </c>
      <c r="N8" s="32">
        <f t="shared" si="1"/>
        <v>202.42323085886659</v>
      </c>
      <c r="O8" s="32">
        <f t="shared" si="1"/>
        <v>223.87821274849199</v>
      </c>
    </row>
    <row r="9" spans="1:21" x14ac:dyDescent="0.25">
      <c r="A9" t="s">
        <v>63</v>
      </c>
      <c r="B9" s="4">
        <v>2</v>
      </c>
      <c r="F9" s="32"/>
      <c r="G9" s="32">
        <f t="shared" ref="G9:O9" si="2">F8*Down</f>
        <v>81.751747014485474</v>
      </c>
      <c r="H9" s="32">
        <f t="shared" si="2"/>
        <v>90.416672696182246</v>
      </c>
      <c r="I9" s="32">
        <f t="shared" si="2"/>
        <v>99.999999999999986</v>
      </c>
      <c r="J9" s="32">
        <f t="shared" si="2"/>
        <v>110.59907096561669</v>
      </c>
      <c r="K9" s="32">
        <f t="shared" si="2"/>
        <v>122.32154498457521</v>
      </c>
      <c r="L9" s="32">
        <f t="shared" si="2"/>
        <v>135.28649234372912</v>
      </c>
      <c r="M9" s="32">
        <f t="shared" si="2"/>
        <v>149.62560367413457</v>
      </c>
      <c r="N9" s="32">
        <f t="shared" si="2"/>
        <v>165.48452759028851</v>
      </c>
      <c r="O9" s="32">
        <f t="shared" si="2"/>
        <v>183.02435010669876</v>
      </c>
    </row>
    <row r="10" spans="1:21" x14ac:dyDescent="0.25">
      <c r="F10" s="32"/>
      <c r="G10" s="32"/>
      <c r="H10" s="32">
        <f t="shared" ref="H10:O10" si="3">G9*Down</f>
        <v>73.917209521498265</v>
      </c>
      <c r="I10" s="32">
        <f t="shared" si="3"/>
        <v>81.751747014485474</v>
      </c>
      <c r="J10" s="32">
        <f t="shared" si="3"/>
        <v>90.416672696182232</v>
      </c>
      <c r="K10" s="32">
        <f t="shared" si="3"/>
        <v>99.999999999999972</v>
      </c>
      <c r="L10" s="32">
        <f t="shared" si="3"/>
        <v>110.59907096561669</v>
      </c>
      <c r="M10" s="32">
        <f t="shared" si="3"/>
        <v>122.32154498457521</v>
      </c>
      <c r="N10" s="32">
        <f t="shared" si="3"/>
        <v>135.28649234372909</v>
      </c>
      <c r="O10" s="32">
        <f t="shared" si="3"/>
        <v>149.62560367413457</v>
      </c>
    </row>
    <row r="11" spans="1:21" x14ac:dyDescent="0.25">
      <c r="F11" s="32"/>
      <c r="G11" s="32"/>
      <c r="H11" s="32"/>
      <c r="I11" s="32">
        <f t="shared" ref="I11:O11" si="4">H10*Down</f>
        <v>66.833481399204345</v>
      </c>
      <c r="J11" s="32">
        <f t="shared" si="4"/>
        <v>73.917209521498265</v>
      </c>
      <c r="K11" s="32">
        <f t="shared" si="4"/>
        <v>81.75174701448546</v>
      </c>
      <c r="L11" s="32">
        <f t="shared" si="4"/>
        <v>90.416672696182218</v>
      </c>
      <c r="M11" s="32">
        <f t="shared" si="4"/>
        <v>99.999999999999972</v>
      </c>
      <c r="N11" s="32">
        <f t="shared" si="4"/>
        <v>110.59907096561669</v>
      </c>
      <c r="O11" s="32">
        <f t="shared" si="4"/>
        <v>122.32154498457518</v>
      </c>
    </row>
    <row r="12" spans="1:21" x14ac:dyDescent="0.25">
      <c r="A12" t="s">
        <v>56</v>
      </c>
      <c r="F12" s="32"/>
      <c r="G12" s="32"/>
      <c r="H12" s="32"/>
      <c r="I12" s="32"/>
      <c r="J12" s="32">
        <f t="shared" ref="J12:O12" si="5">I11*Down</f>
        <v>60.428610128182434</v>
      </c>
      <c r="K12" s="32">
        <f t="shared" si="5"/>
        <v>66.833481399204345</v>
      </c>
      <c r="L12" s="32">
        <f t="shared" si="5"/>
        <v>73.917209521498251</v>
      </c>
      <c r="M12" s="32">
        <f t="shared" si="5"/>
        <v>81.751747014485446</v>
      </c>
      <c r="N12" s="32">
        <f t="shared" si="5"/>
        <v>90.416672696182218</v>
      </c>
      <c r="O12" s="32">
        <f t="shared" si="5"/>
        <v>99.999999999999972</v>
      </c>
    </row>
    <row r="13" spans="1:21" x14ac:dyDescent="0.25">
      <c r="A13" t="s">
        <v>64</v>
      </c>
      <c r="B13">
        <f>Time_to_Maturity_of_Option__years/Time_Steps_for_Valuation</f>
        <v>0.5</v>
      </c>
      <c r="F13" s="32"/>
      <c r="G13" s="32"/>
      <c r="H13" s="32"/>
      <c r="I13" s="32"/>
      <c r="J13" s="32"/>
      <c r="K13" s="32">
        <f>J12*Down</f>
        <v>54.637538634450742</v>
      </c>
      <c r="L13" s="32">
        <f>K12*Down</f>
        <v>60.428610128182434</v>
      </c>
      <c r="M13" s="32">
        <f>L12*Down</f>
        <v>66.833481399204331</v>
      </c>
      <c r="N13" s="32">
        <f>M12*Down</f>
        <v>73.917209521498251</v>
      </c>
      <c r="O13" s="32">
        <f>N12*Down</f>
        <v>81.751747014485446</v>
      </c>
    </row>
    <row r="14" spans="1:21" x14ac:dyDescent="0.25">
      <c r="A14" t="s">
        <v>124</v>
      </c>
      <c r="B14" t="s">
        <v>126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21" x14ac:dyDescent="0.25">
      <c r="A15" t="s">
        <v>65</v>
      </c>
      <c r="B15">
        <f>EXP(Annual_Volatility_of_Returns*SQRT(Length_of_each_time_step))</f>
        <v>1.1059907096561672</v>
      </c>
      <c r="F15" s="33"/>
      <c r="G15" s="32"/>
      <c r="H15" s="32"/>
      <c r="I15" s="32"/>
      <c r="J15" s="32"/>
      <c r="K15" s="32"/>
      <c r="L15" s="32">
        <f>K13*Down</f>
        <v>49.401444476361448</v>
      </c>
      <c r="M15" s="32">
        <f>L13*Down</f>
        <v>54.637538634450742</v>
      </c>
      <c r="N15" s="32">
        <f>M13*Down</f>
        <v>60.42861012818242</v>
      </c>
      <c r="O15" s="32">
        <f>N13*Down</f>
        <v>66.833481399204331</v>
      </c>
    </row>
    <row r="16" spans="1:21" x14ac:dyDescent="0.25">
      <c r="A16" t="s">
        <v>66</v>
      </c>
      <c r="B16">
        <f>1/Up</f>
        <v>0.90416672696182243</v>
      </c>
      <c r="F16" s="32"/>
      <c r="G16" s="32"/>
      <c r="H16" s="32"/>
      <c r="I16" s="32"/>
      <c r="J16" s="32"/>
      <c r="K16" s="32"/>
      <c r="L16" s="32"/>
      <c r="M16" s="32">
        <f>L15*Down</f>
        <v>44.667142359377934</v>
      </c>
      <c r="N16" s="32">
        <f>M15*Down</f>
        <v>49.401444476361448</v>
      </c>
      <c r="O16" s="32">
        <f>N15*Down</f>
        <v>54.637538634450735</v>
      </c>
    </row>
    <row r="17" spans="1:15" x14ac:dyDescent="0.25">
      <c r="A17" t="s">
        <v>68</v>
      </c>
      <c r="B17">
        <f>(EXP((Annual_Risk_free_Rate-Annaul_Dividend_Yield)*Length_of_each_time_step)-Down)/(Up-Down)</f>
        <v>0.60026757942876074</v>
      </c>
      <c r="F17" s="32"/>
      <c r="G17" s="32"/>
      <c r="H17" s="32"/>
      <c r="I17" s="32"/>
      <c r="J17" s="32"/>
      <c r="K17" s="32"/>
      <c r="L17" s="32"/>
      <c r="M17" s="32"/>
      <c r="N17" s="32">
        <f>M16*Down</f>
        <v>40.386543909816524</v>
      </c>
      <c r="O17" s="32">
        <f>N16*Down</f>
        <v>44.667142359377934</v>
      </c>
    </row>
    <row r="18" spans="1:15" x14ac:dyDescent="0.25">
      <c r="A18" t="s">
        <v>67</v>
      </c>
      <c r="B18">
        <f>1-Rnp_q</f>
        <v>0.39973242057123926</v>
      </c>
      <c r="F18" s="32"/>
      <c r="G18" s="32"/>
      <c r="H18" s="32"/>
      <c r="I18" s="32"/>
      <c r="J18" s="32"/>
      <c r="K18" s="32"/>
      <c r="L18" s="32"/>
      <c r="M18" s="32"/>
      <c r="N18" s="32"/>
      <c r="O18" s="32">
        <f>N17*Down</f>
        <v>36.51616922023873</v>
      </c>
    </row>
    <row r="19" spans="1:15" x14ac:dyDescent="0.25">
      <c r="A19" t="s">
        <v>69</v>
      </c>
      <c r="B19">
        <f>EXP(Annual_Risk_free_Rate*Length_of_each_time_step)</f>
        <v>1.0253151205244289</v>
      </c>
    </row>
  </sheetData>
  <dataValidations count="3">
    <dataValidation type="list" allowBlank="1" showInputMessage="1" showErrorMessage="1" sqref="B2" xr:uid="{76D29691-9B13-4051-B277-9150E1B06977}">
      <formula1>$U$1:$U$2</formula1>
    </dataValidation>
    <dataValidation type="list" allowBlank="1" showInputMessage="1" showErrorMessage="1" sqref="B9" xr:uid="{6688B41E-F7A7-4CAE-97A3-C91B4CB7303E}">
      <formula1>$F$6:$O$6</formula1>
    </dataValidation>
    <dataValidation type="list" allowBlank="1" showInputMessage="1" showErrorMessage="1" sqref="B14" xr:uid="{ABA2A643-D6B9-4F74-912B-F12AB00D9F44}">
      <formula1>$U$5:$U$6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99CF-C1C8-4BFA-841C-C96EE43A040C}">
  <dimension ref="B2:H28"/>
  <sheetViews>
    <sheetView workbookViewId="0">
      <selection activeCell="C33" sqref="C33"/>
    </sheetView>
  </sheetViews>
  <sheetFormatPr defaultRowHeight="15" x14ac:dyDescent="0.25"/>
  <sheetData>
    <row r="2" spans="2:8" x14ac:dyDescent="0.25">
      <c r="B2" t="s">
        <v>6</v>
      </c>
      <c r="H2" t="s">
        <v>7</v>
      </c>
    </row>
    <row r="3" spans="2:8" x14ac:dyDescent="0.25">
      <c r="H3" t="s">
        <v>8</v>
      </c>
    </row>
    <row r="4" spans="2:8" x14ac:dyDescent="0.25">
      <c r="B4" t="s">
        <v>16</v>
      </c>
      <c r="H4" t="s">
        <v>9</v>
      </c>
    </row>
    <row r="5" spans="2:8" x14ac:dyDescent="0.25">
      <c r="B5" t="s">
        <v>17</v>
      </c>
      <c r="H5" t="s">
        <v>10</v>
      </c>
    </row>
    <row r="6" spans="2:8" x14ac:dyDescent="0.25">
      <c r="B6" t="s">
        <v>18</v>
      </c>
      <c r="H6" t="s">
        <v>11</v>
      </c>
    </row>
    <row r="7" spans="2:8" x14ac:dyDescent="0.25">
      <c r="B7" t="s">
        <v>19</v>
      </c>
      <c r="H7" t="s">
        <v>12</v>
      </c>
    </row>
    <row r="9" spans="2:8" x14ac:dyDescent="0.25">
      <c r="H9" t="s">
        <v>13</v>
      </c>
    </row>
    <row r="10" spans="2:8" x14ac:dyDescent="0.25">
      <c r="H10" t="s">
        <v>14</v>
      </c>
    </row>
    <row r="11" spans="2:8" x14ac:dyDescent="0.25">
      <c r="H11" t="s">
        <v>15</v>
      </c>
    </row>
    <row r="13" spans="2:8" x14ac:dyDescent="0.25">
      <c r="B13" t="s">
        <v>20</v>
      </c>
    </row>
    <row r="15" spans="2:8" x14ac:dyDescent="0.25">
      <c r="B15" t="s">
        <v>21</v>
      </c>
    </row>
    <row r="17" spans="2:3" x14ac:dyDescent="0.25">
      <c r="B17" t="s">
        <v>22</v>
      </c>
    </row>
    <row r="18" spans="2:3" x14ac:dyDescent="0.25">
      <c r="B18" t="s">
        <v>23</v>
      </c>
    </row>
    <row r="19" spans="2:3" x14ac:dyDescent="0.25">
      <c r="B19" t="s">
        <v>24</v>
      </c>
    </row>
    <row r="20" spans="2:3" x14ac:dyDescent="0.25">
      <c r="B20" t="s">
        <v>25</v>
      </c>
    </row>
    <row r="21" spans="2:3" x14ac:dyDescent="0.25">
      <c r="B21" t="s">
        <v>26</v>
      </c>
    </row>
    <row r="22" spans="2:3" x14ac:dyDescent="0.25">
      <c r="B22" t="s">
        <v>27</v>
      </c>
    </row>
    <row r="24" spans="2:3" x14ac:dyDescent="0.25">
      <c r="B24" t="s">
        <v>28</v>
      </c>
    </row>
    <row r="25" spans="2:3" x14ac:dyDescent="0.25">
      <c r="B25" t="s">
        <v>29</v>
      </c>
    </row>
    <row r="26" spans="2:3" x14ac:dyDescent="0.25">
      <c r="C26" t="s">
        <v>30</v>
      </c>
    </row>
    <row r="27" spans="2:3" x14ac:dyDescent="0.25">
      <c r="C27" t="s">
        <v>31</v>
      </c>
    </row>
    <row r="28" spans="2:3" x14ac:dyDescent="0.25">
      <c r="C2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E3AF-5E61-4FBC-9721-B305A9AE0310}">
  <dimension ref="B2:B15"/>
  <sheetViews>
    <sheetView workbookViewId="0">
      <selection activeCell="G17" sqref="G17"/>
    </sheetView>
  </sheetViews>
  <sheetFormatPr defaultRowHeight="15" x14ac:dyDescent="0.25"/>
  <sheetData>
    <row r="2" spans="2:2" x14ac:dyDescent="0.25">
      <c r="B2" t="s">
        <v>33</v>
      </c>
    </row>
    <row r="3" spans="2:2" x14ac:dyDescent="0.25">
      <c r="B3" t="s">
        <v>34</v>
      </c>
    </row>
    <row r="4" spans="2:2" x14ac:dyDescent="0.25">
      <c r="B4" t="s">
        <v>35</v>
      </c>
    </row>
    <row r="5" spans="2:2" x14ac:dyDescent="0.25">
      <c r="B5" t="s">
        <v>36</v>
      </c>
    </row>
    <row r="8" spans="2:2" x14ac:dyDescent="0.25">
      <c r="B8" t="s">
        <v>37</v>
      </c>
    </row>
    <row r="9" spans="2:2" x14ac:dyDescent="0.25">
      <c r="B9" t="s">
        <v>38</v>
      </c>
    </row>
    <row r="13" spans="2:2" x14ac:dyDescent="0.25">
      <c r="B13" t="s">
        <v>50</v>
      </c>
    </row>
    <row r="14" spans="2:2" x14ac:dyDescent="0.25">
      <c r="B14" t="s">
        <v>51</v>
      </c>
    </row>
    <row r="15" spans="2:2" x14ac:dyDescent="0.25">
      <c r="B1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7E01-4053-429A-94D8-DBC66B7B216C}">
  <dimension ref="A1:G30"/>
  <sheetViews>
    <sheetView zoomScaleNormal="100" workbookViewId="0">
      <selection activeCell="G2" sqref="G2"/>
    </sheetView>
  </sheetViews>
  <sheetFormatPr defaultRowHeight="15" x14ac:dyDescent="0.25"/>
  <cols>
    <col min="1" max="1" width="15.140625" bestFit="1" customWidth="1"/>
    <col min="3" max="3" width="37.7109375" bestFit="1" customWidth="1"/>
  </cols>
  <sheetData>
    <row r="1" spans="1:7" x14ac:dyDescent="0.25">
      <c r="A1" t="s">
        <v>70</v>
      </c>
    </row>
    <row r="2" spans="1:7" x14ac:dyDescent="0.25">
      <c r="A2" t="s">
        <v>71</v>
      </c>
      <c r="B2">
        <v>22.5</v>
      </c>
      <c r="G2">
        <f>-22.5+(EXP(-0.05*0.5)*20)+4-0.5</f>
        <v>0.50619824056665408</v>
      </c>
    </row>
    <row r="3" spans="1:7" x14ac:dyDescent="0.25">
      <c r="A3" t="s">
        <v>72</v>
      </c>
      <c r="B3">
        <v>20</v>
      </c>
    </row>
    <row r="4" spans="1:7" x14ac:dyDescent="0.25">
      <c r="A4" t="s">
        <v>73</v>
      </c>
      <c r="B4">
        <v>0.5</v>
      </c>
    </row>
    <row r="5" spans="1:7" x14ac:dyDescent="0.25">
      <c r="A5" t="s">
        <v>74</v>
      </c>
      <c r="B5" s="1">
        <v>0.05</v>
      </c>
    </row>
    <row r="6" spans="1:7" x14ac:dyDescent="0.25">
      <c r="A6" t="s">
        <v>75</v>
      </c>
      <c r="B6">
        <v>0.5</v>
      </c>
    </row>
    <row r="8" spans="1:7" x14ac:dyDescent="0.25">
      <c r="A8" t="s">
        <v>76</v>
      </c>
    </row>
    <row r="9" spans="1:7" x14ac:dyDescent="0.25">
      <c r="E9" s="44" t="s">
        <v>85</v>
      </c>
      <c r="F9" s="44"/>
    </row>
    <row r="10" spans="1:7" x14ac:dyDescent="0.25">
      <c r="E10" t="s">
        <v>86</v>
      </c>
      <c r="F10" t="s">
        <v>87</v>
      </c>
    </row>
    <row r="11" spans="1:7" x14ac:dyDescent="0.25">
      <c r="C11" t="s">
        <v>77</v>
      </c>
      <c r="D11" s="6" t="s">
        <v>82</v>
      </c>
      <c r="E11" t="s">
        <v>88</v>
      </c>
      <c r="F11" t="s">
        <v>88</v>
      </c>
    </row>
    <row r="12" spans="1:7" x14ac:dyDescent="0.25">
      <c r="C12" t="s">
        <v>78</v>
      </c>
      <c r="D12" t="s">
        <v>83</v>
      </c>
      <c r="E12" s="6" t="s">
        <v>89</v>
      </c>
      <c r="F12" s="6" t="s">
        <v>89</v>
      </c>
    </row>
    <row r="13" spans="1:7" x14ac:dyDescent="0.25">
      <c r="C13" s="7" t="s">
        <v>84</v>
      </c>
    </row>
    <row r="14" spans="1:7" x14ac:dyDescent="0.25">
      <c r="C14" t="s">
        <v>79</v>
      </c>
    </row>
    <row r="15" spans="1:7" x14ac:dyDescent="0.25">
      <c r="C15" t="s">
        <v>80</v>
      </c>
      <c r="D15" s="6" t="s">
        <v>90</v>
      </c>
      <c r="E15">
        <v>0</v>
      </c>
      <c r="F15" s="6" t="s">
        <v>92</v>
      </c>
    </row>
    <row r="16" spans="1:7" x14ac:dyDescent="0.25">
      <c r="C16" t="s">
        <v>81</v>
      </c>
      <c r="D16" t="s">
        <v>91</v>
      </c>
      <c r="E16" t="s">
        <v>93</v>
      </c>
      <c r="F16">
        <v>0</v>
      </c>
    </row>
    <row r="18" spans="1:7" x14ac:dyDescent="0.25">
      <c r="C18" t="s">
        <v>94</v>
      </c>
      <c r="D18">
        <v>0</v>
      </c>
      <c r="E18">
        <v>0</v>
      </c>
      <c r="F18">
        <v>0</v>
      </c>
      <c r="G18" t="s">
        <v>95</v>
      </c>
    </row>
    <row r="20" spans="1:7" x14ac:dyDescent="0.25">
      <c r="C20" t="s">
        <v>96</v>
      </c>
      <c r="E20" t="s">
        <v>86</v>
      </c>
      <c r="F20" t="s">
        <v>87</v>
      </c>
    </row>
    <row r="21" spans="1:7" x14ac:dyDescent="0.25">
      <c r="C21" s="5" t="s">
        <v>77</v>
      </c>
      <c r="D21" s="5">
        <f>-B2</f>
        <v>-22.5</v>
      </c>
      <c r="E21" s="5" t="s">
        <v>88</v>
      </c>
      <c r="F21" s="5" t="s">
        <v>88</v>
      </c>
    </row>
    <row r="22" spans="1:7" x14ac:dyDescent="0.25">
      <c r="C22" s="5" t="s">
        <v>78</v>
      </c>
      <c r="D22" s="5">
        <f>EXP(-B5*B6)*B3</f>
        <v>19.506198240566654</v>
      </c>
      <c r="E22" s="8" t="s">
        <v>89</v>
      </c>
      <c r="F22" s="8" t="s">
        <v>89</v>
      </c>
    </row>
    <row r="23" spans="1:7" x14ac:dyDescent="0.25">
      <c r="C23" s="9" t="s">
        <v>84</v>
      </c>
      <c r="D23" s="5"/>
      <c r="E23" s="5"/>
      <c r="F23" s="5"/>
    </row>
    <row r="24" spans="1:7" x14ac:dyDescent="0.25">
      <c r="C24" s="5" t="s">
        <v>79</v>
      </c>
      <c r="D24" s="5"/>
      <c r="E24" s="5"/>
      <c r="F24" s="5"/>
    </row>
    <row r="25" spans="1:7" x14ac:dyDescent="0.25">
      <c r="C25" s="5" t="s">
        <v>80</v>
      </c>
      <c r="D25" s="5">
        <f>-D21-D22+D26</f>
        <v>3.4938017594333459</v>
      </c>
      <c r="E25" s="5">
        <v>0</v>
      </c>
      <c r="F25" s="8" t="s">
        <v>92</v>
      </c>
    </row>
    <row r="26" spans="1:7" x14ac:dyDescent="0.25">
      <c r="C26" s="5" t="s">
        <v>81</v>
      </c>
      <c r="D26" s="5">
        <f>B6</f>
        <v>0.5</v>
      </c>
      <c r="E26" s="5" t="s">
        <v>93</v>
      </c>
      <c r="F26" s="5">
        <v>0</v>
      </c>
    </row>
    <row r="27" spans="1:7" x14ac:dyDescent="0.25">
      <c r="C27" s="5"/>
      <c r="D27" s="5"/>
      <c r="E27" s="5"/>
      <c r="F27" s="5"/>
    </row>
    <row r="28" spans="1:7" x14ac:dyDescent="0.25">
      <c r="C28" s="5" t="s">
        <v>94</v>
      </c>
      <c r="D28" s="5">
        <f>D21+D22+D25-D26</f>
        <v>0</v>
      </c>
      <c r="E28" s="5">
        <v>0</v>
      </c>
      <c r="F28" s="5">
        <v>0</v>
      </c>
    </row>
    <row r="30" spans="1:7" x14ac:dyDescent="0.25">
      <c r="A30" t="s">
        <v>97</v>
      </c>
    </row>
  </sheetData>
  <mergeCells count="1">
    <mergeCell ref="E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DC1-63B2-41C6-92F7-0E0E3929E4DE}">
  <dimension ref="B2:Q23"/>
  <sheetViews>
    <sheetView workbookViewId="0">
      <selection activeCell="E8" sqref="E8"/>
    </sheetView>
  </sheetViews>
  <sheetFormatPr defaultRowHeight="15" x14ac:dyDescent="0.25"/>
  <sheetData>
    <row r="2" spans="2:17" x14ac:dyDescent="0.25">
      <c r="B2" t="s">
        <v>127</v>
      </c>
    </row>
    <row r="3" spans="2:17" x14ac:dyDescent="0.25">
      <c r="B3" t="s">
        <v>128</v>
      </c>
      <c r="C3">
        <v>100</v>
      </c>
    </row>
    <row r="4" spans="2:17" x14ac:dyDescent="0.25">
      <c r="B4" t="s">
        <v>129</v>
      </c>
      <c r="C4">
        <v>110</v>
      </c>
      <c r="K4" t="s">
        <v>143</v>
      </c>
      <c r="Q4" t="s">
        <v>145</v>
      </c>
    </row>
    <row r="5" spans="2:17" x14ac:dyDescent="0.25">
      <c r="B5" t="s">
        <v>130</v>
      </c>
      <c r="C5">
        <v>1</v>
      </c>
    </row>
    <row r="6" spans="2:17" x14ac:dyDescent="0.25">
      <c r="B6" t="s">
        <v>131</v>
      </c>
      <c r="C6">
        <v>0.14247000000000001</v>
      </c>
      <c r="K6" t="s">
        <v>128</v>
      </c>
      <c r="L6">
        <v>1000</v>
      </c>
      <c r="N6" t="s">
        <v>144</v>
      </c>
    </row>
    <row r="7" spans="2:17" x14ac:dyDescent="0.25">
      <c r="B7" t="s">
        <v>132</v>
      </c>
      <c r="C7" s="1">
        <v>0.05</v>
      </c>
      <c r="K7" t="s">
        <v>129</v>
      </c>
      <c r="L7">
        <v>1100</v>
      </c>
      <c r="O7" s="1">
        <v>0.02</v>
      </c>
    </row>
    <row r="8" spans="2:17" x14ac:dyDescent="0.25">
      <c r="K8" t="s">
        <v>130</v>
      </c>
      <c r="L8">
        <v>1</v>
      </c>
    </row>
    <row r="9" spans="2:17" x14ac:dyDescent="0.25">
      <c r="B9" t="s">
        <v>133</v>
      </c>
      <c r="C9">
        <f>(LN(C3/C4)+(C7+((C6^2)/2))*C5)/(C6*SQRT(C5))</f>
        <v>-0.24679812840826057</v>
      </c>
      <c r="K9" t="s">
        <v>131</v>
      </c>
      <c r="L9">
        <v>0.14247000000000001</v>
      </c>
    </row>
    <row r="10" spans="2:17" x14ac:dyDescent="0.25">
      <c r="K10" t="s">
        <v>132</v>
      </c>
      <c r="L10" s="1">
        <v>0.06</v>
      </c>
    </row>
    <row r="11" spans="2:17" x14ac:dyDescent="0.25">
      <c r="B11" t="s">
        <v>134</v>
      </c>
      <c r="C11">
        <f>C9-(C6*SQRT(C5))</f>
        <v>-0.38926812840826058</v>
      </c>
    </row>
    <row r="12" spans="2:17" x14ac:dyDescent="0.25">
      <c r="E12" t="s">
        <v>37</v>
      </c>
      <c r="K12" t="s">
        <v>133</v>
      </c>
      <c r="L12">
        <f>(LN(L6/L7)+(L10-O7+((L9^2)/2))*L8)/(L9*SQRT(L8))</f>
        <v>-0.31698834389222219</v>
      </c>
    </row>
    <row r="13" spans="2:17" x14ac:dyDescent="0.25">
      <c r="B13" t="s">
        <v>135</v>
      </c>
      <c r="C13">
        <f>NORMSDIST(C9)</f>
        <v>0.40253222950554823</v>
      </c>
      <c r="E13" t="s">
        <v>138</v>
      </c>
      <c r="F13">
        <f>NORMSDIST(-C9)</f>
        <v>0.59746777049445177</v>
      </c>
    </row>
    <row r="14" spans="2:17" x14ac:dyDescent="0.25">
      <c r="B14" t="s">
        <v>136</v>
      </c>
      <c r="C14">
        <f>NORMSDIST(C11)</f>
        <v>0.34853890524990727</v>
      </c>
      <c r="E14" t="s">
        <v>139</v>
      </c>
      <c r="F14">
        <f>NORMSDIST(-C11)</f>
        <v>0.65146109475009273</v>
      </c>
      <c r="K14" t="s">
        <v>134</v>
      </c>
      <c r="L14">
        <f>L12-(L9*SQRT(L8))</f>
        <v>-0.45945834389222218</v>
      </c>
    </row>
    <row r="15" spans="2:17" x14ac:dyDescent="0.25">
      <c r="N15" t="s">
        <v>37</v>
      </c>
    </row>
    <row r="16" spans="2:17" x14ac:dyDescent="0.25">
      <c r="B16" t="s">
        <v>137</v>
      </c>
      <c r="C16">
        <f>C3*C13-(C4*EXP(-C7*C5)*C14)</f>
        <v>3.783772102287223</v>
      </c>
      <c r="E16" t="s">
        <v>140</v>
      </c>
      <c r="F16">
        <f>(C4*EXP(-C7*C5)*F14)-(C3*F13)</f>
        <v>8.4190087973657697</v>
      </c>
      <c r="K16" t="s">
        <v>135</v>
      </c>
      <c r="L16">
        <f>NORMSDIST(L12)</f>
        <v>0.37562622337920137</v>
      </c>
      <c r="N16" t="s">
        <v>138</v>
      </c>
      <c r="O16">
        <f>NORMSDIST(-L12)</f>
        <v>0.62437377662079863</v>
      </c>
    </row>
    <row r="17" spans="2:15" x14ac:dyDescent="0.25">
      <c r="K17" t="s">
        <v>136</v>
      </c>
      <c r="L17">
        <f>NORMSDIST(L14)</f>
        <v>0.32295252957893195</v>
      </c>
      <c r="N17" t="s">
        <v>139</v>
      </c>
      <c r="O17">
        <f>NORMSDIST(-L14)</f>
        <v>0.67704747042106805</v>
      </c>
    </row>
    <row r="18" spans="2:15" x14ac:dyDescent="0.25">
      <c r="B18" t="s">
        <v>141</v>
      </c>
    </row>
    <row r="19" spans="2:15" x14ac:dyDescent="0.25">
      <c r="C19">
        <f>C16+C4*EXP(-C7*C5)-C3</f>
        <v>8.4190087973657626</v>
      </c>
      <c r="K19" t="s">
        <v>137</v>
      </c>
      <c r="L19">
        <f>L6*L16-(L7*EXP(-L10*L8)*L17)</f>
        <v>41.066461151569627</v>
      </c>
      <c r="N19" t="s">
        <v>140</v>
      </c>
      <c r="O19">
        <f>(L7*EXP(-L10*L8)*O17)-(L6*O16)</f>
        <v>77.007448094243273</v>
      </c>
    </row>
    <row r="20" spans="2:15" x14ac:dyDescent="0.25">
      <c r="C20" t="s">
        <v>142</v>
      </c>
    </row>
    <row r="21" spans="2:15" x14ac:dyDescent="0.25">
      <c r="K21" t="s">
        <v>141</v>
      </c>
    </row>
    <row r="22" spans="2:15" x14ac:dyDescent="0.25">
      <c r="L22">
        <f>L19+L7*EXP(-L10*L8)-L6</f>
        <v>77.007448094243273</v>
      </c>
    </row>
    <row r="23" spans="2:15" x14ac:dyDescent="0.25">
      <c r="L23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C18-8CF5-4B82-9E12-8FE5F7DAE31F}">
  <dimension ref="A1:P18"/>
  <sheetViews>
    <sheetView zoomScale="140" zoomScaleNormal="140" zoomScaleSheetLayoutView="120" workbookViewId="0">
      <selection activeCell="I9" sqref="I9"/>
    </sheetView>
  </sheetViews>
  <sheetFormatPr defaultRowHeight="12.75" x14ac:dyDescent="0.2"/>
  <cols>
    <col min="1" max="1" width="1.28515625" style="12" customWidth="1"/>
    <col min="2" max="2" width="7.28515625" style="12" customWidth="1"/>
    <col min="3" max="3" width="4" style="12" customWidth="1"/>
    <col min="4" max="4" width="7.7109375" style="12" customWidth="1"/>
    <col min="5" max="5" width="10" style="12" bestFit="1" customWidth="1"/>
    <col min="6" max="6" width="9.28515625" style="12" customWidth="1"/>
    <col min="7" max="7" width="2.42578125" style="12" customWidth="1"/>
    <col min="8" max="11" width="9.140625" style="12"/>
    <col min="12" max="12" width="2" style="12" customWidth="1"/>
    <col min="13" max="14" width="9.140625" style="12"/>
    <col min="15" max="15" width="10.7109375" style="12" customWidth="1"/>
    <col min="16" max="256" width="9.140625" style="12"/>
    <col min="257" max="257" width="1.28515625" style="12" customWidth="1"/>
    <col min="258" max="258" width="7.28515625" style="12" customWidth="1"/>
    <col min="259" max="259" width="4" style="12" customWidth="1"/>
    <col min="260" max="260" width="7.7109375" style="12" customWidth="1"/>
    <col min="261" max="261" width="5.42578125" style="12" customWidth="1"/>
    <col min="262" max="262" width="9.28515625" style="12" customWidth="1"/>
    <col min="263" max="263" width="2.42578125" style="12" customWidth="1"/>
    <col min="264" max="267" width="9.140625" style="12"/>
    <col min="268" max="268" width="2" style="12" customWidth="1"/>
    <col min="269" max="270" width="9.140625" style="12"/>
    <col min="271" max="271" width="10.7109375" style="12" customWidth="1"/>
    <col min="272" max="512" width="9.140625" style="12"/>
    <col min="513" max="513" width="1.28515625" style="12" customWidth="1"/>
    <col min="514" max="514" width="7.28515625" style="12" customWidth="1"/>
    <col min="515" max="515" width="4" style="12" customWidth="1"/>
    <col min="516" max="516" width="7.7109375" style="12" customWidth="1"/>
    <col min="517" max="517" width="5.42578125" style="12" customWidth="1"/>
    <col min="518" max="518" width="9.28515625" style="12" customWidth="1"/>
    <col min="519" max="519" width="2.42578125" style="12" customWidth="1"/>
    <col min="520" max="523" width="9.140625" style="12"/>
    <col min="524" max="524" width="2" style="12" customWidth="1"/>
    <col min="525" max="526" width="9.140625" style="12"/>
    <col min="527" max="527" width="10.7109375" style="12" customWidth="1"/>
    <col min="528" max="768" width="9.140625" style="12"/>
    <col min="769" max="769" width="1.28515625" style="12" customWidth="1"/>
    <col min="770" max="770" width="7.28515625" style="12" customWidth="1"/>
    <col min="771" max="771" width="4" style="12" customWidth="1"/>
    <col min="772" max="772" width="7.7109375" style="12" customWidth="1"/>
    <col min="773" max="773" width="5.42578125" style="12" customWidth="1"/>
    <col min="774" max="774" width="9.28515625" style="12" customWidth="1"/>
    <col min="775" max="775" width="2.42578125" style="12" customWidth="1"/>
    <col min="776" max="779" width="9.140625" style="12"/>
    <col min="780" max="780" width="2" style="12" customWidth="1"/>
    <col min="781" max="782" width="9.140625" style="12"/>
    <col min="783" max="783" width="10.7109375" style="12" customWidth="1"/>
    <col min="784" max="1024" width="9.140625" style="12"/>
    <col min="1025" max="1025" width="1.28515625" style="12" customWidth="1"/>
    <col min="1026" max="1026" width="7.28515625" style="12" customWidth="1"/>
    <col min="1027" max="1027" width="4" style="12" customWidth="1"/>
    <col min="1028" max="1028" width="7.7109375" style="12" customWidth="1"/>
    <col min="1029" max="1029" width="5.42578125" style="12" customWidth="1"/>
    <col min="1030" max="1030" width="9.28515625" style="12" customWidth="1"/>
    <col min="1031" max="1031" width="2.42578125" style="12" customWidth="1"/>
    <col min="1032" max="1035" width="9.140625" style="12"/>
    <col min="1036" max="1036" width="2" style="12" customWidth="1"/>
    <col min="1037" max="1038" width="9.140625" style="12"/>
    <col min="1039" max="1039" width="10.7109375" style="12" customWidth="1"/>
    <col min="1040" max="1280" width="9.140625" style="12"/>
    <col min="1281" max="1281" width="1.28515625" style="12" customWidth="1"/>
    <col min="1282" max="1282" width="7.28515625" style="12" customWidth="1"/>
    <col min="1283" max="1283" width="4" style="12" customWidth="1"/>
    <col min="1284" max="1284" width="7.7109375" style="12" customWidth="1"/>
    <col min="1285" max="1285" width="5.42578125" style="12" customWidth="1"/>
    <col min="1286" max="1286" width="9.28515625" style="12" customWidth="1"/>
    <col min="1287" max="1287" width="2.42578125" style="12" customWidth="1"/>
    <col min="1288" max="1291" width="9.140625" style="12"/>
    <col min="1292" max="1292" width="2" style="12" customWidth="1"/>
    <col min="1293" max="1294" width="9.140625" style="12"/>
    <col min="1295" max="1295" width="10.7109375" style="12" customWidth="1"/>
    <col min="1296" max="1536" width="9.140625" style="12"/>
    <col min="1537" max="1537" width="1.28515625" style="12" customWidth="1"/>
    <col min="1538" max="1538" width="7.28515625" style="12" customWidth="1"/>
    <col min="1539" max="1539" width="4" style="12" customWidth="1"/>
    <col min="1540" max="1540" width="7.7109375" style="12" customWidth="1"/>
    <col min="1541" max="1541" width="5.42578125" style="12" customWidth="1"/>
    <col min="1542" max="1542" width="9.28515625" style="12" customWidth="1"/>
    <col min="1543" max="1543" width="2.42578125" style="12" customWidth="1"/>
    <col min="1544" max="1547" width="9.140625" style="12"/>
    <col min="1548" max="1548" width="2" style="12" customWidth="1"/>
    <col min="1549" max="1550" width="9.140625" style="12"/>
    <col min="1551" max="1551" width="10.7109375" style="12" customWidth="1"/>
    <col min="1552" max="1792" width="9.140625" style="12"/>
    <col min="1793" max="1793" width="1.28515625" style="12" customWidth="1"/>
    <col min="1794" max="1794" width="7.28515625" style="12" customWidth="1"/>
    <col min="1795" max="1795" width="4" style="12" customWidth="1"/>
    <col min="1796" max="1796" width="7.7109375" style="12" customWidth="1"/>
    <col min="1797" max="1797" width="5.42578125" style="12" customWidth="1"/>
    <col min="1798" max="1798" width="9.28515625" style="12" customWidth="1"/>
    <col min="1799" max="1799" width="2.42578125" style="12" customWidth="1"/>
    <col min="1800" max="1803" width="9.140625" style="12"/>
    <col min="1804" max="1804" width="2" style="12" customWidth="1"/>
    <col min="1805" max="1806" width="9.140625" style="12"/>
    <col min="1807" max="1807" width="10.7109375" style="12" customWidth="1"/>
    <col min="1808" max="2048" width="9.140625" style="12"/>
    <col min="2049" max="2049" width="1.28515625" style="12" customWidth="1"/>
    <col min="2050" max="2050" width="7.28515625" style="12" customWidth="1"/>
    <col min="2051" max="2051" width="4" style="12" customWidth="1"/>
    <col min="2052" max="2052" width="7.7109375" style="12" customWidth="1"/>
    <col min="2053" max="2053" width="5.42578125" style="12" customWidth="1"/>
    <col min="2054" max="2054" width="9.28515625" style="12" customWidth="1"/>
    <col min="2055" max="2055" width="2.42578125" style="12" customWidth="1"/>
    <col min="2056" max="2059" width="9.140625" style="12"/>
    <col min="2060" max="2060" width="2" style="12" customWidth="1"/>
    <col min="2061" max="2062" width="9.140625" style="12"/>
    <col min="2063" max="2063" width="10.7109375" style="12" customWidth="1"/>
    <col min="2064" max="2304" width="9.140625" style="12"/>
    <col min="2305" max="2305" width="1.28515625" style="12" customWidth="1"/>
    <col min="2306" max="2306" width="7.28515625" style="12" customWidth="1"/>
    <col min="2307" max="2307" width="4" style="12" customWidth="1"/>
    <col min="2308" max="2308" width="7.7109375" style="12" customWidth="1"/>
    <col min="2309" max="2309" width="5.42578125" style="12" customWidth="1"/>
    <col min="2310" max="2310" width="9.28515625" style="12" customWidth="1"/>
    <col min="2311" max="2311" width="2.42578125" style="12" customWidth="1"/>
    <col min="2312" max="2315" width="9.140625" style="12"/>
    <col min="2316" max="2316" width="2" style="12" customWidth="1"/>
    <col min="2317" max="2318" width="9.140625" style="12"/>
    <col min="2319" max="2319" width="10.7109375" style="12" customWidth="1"/>
    <col min="2320" max="2560" width="9.140625" style="12"/>
    <col min="2561" max="2561" width="1.28515625" style="12" customWidth="1"/>
    <col min="2562" max="2562" width="7.28515625" style="12" customWidth="1"/>
    <col min="2563" max="2563" width="4" style="12" customWidth="1"/>
    <col min="2564" max="2564" width="7.7109375" style="12" customWidth="1"/>
    <col min="2565" max="2565" width="5.42578125" style="12" customWidth="1"/>
    <col min="2566" max="2566" width="9.28515625" style="12" customWidth="1"/>
    <col min="2567" max="2567" width="2.42578125" style="12" customWidth="1"/>
    <col min="2568" max="2571" width="9.140625" style="12"/>
    <col min="2572" max="2572" width="2" style="12" customWidth="1"/>
    <col min="2573" max="2574" width="9.140625" style="12"/>
    <col min="2575" max="2575" width="10.7109375" style="12" customWidth="1"/>
    <col min="2576" max="2816" width="9.140625" style="12"/>
    <col min="2817" max="2817" width="1.28515625" style="12" customWidth="1"/>
    <col min="2818" max="2818" width="7.28515625" style="12" customWidth="1"/>
    <col min="2819" max="2819" width="4" style="12" customWidth="1"/>
    <col min="2820" max="2820" width="7.7109375" style="12" customWidth="1"/>
    <col min="2821" max="2821" width="5.42578125" style="12" customWidth="1"/>
    <col min="2822" max="2822" width="9.28515625" style="12" customWidth="1"/>
    <col min="2823" max="2823" width="2.42578125" style="12" customWidth="1"/>
    <col min="2824" max="2827" width="9.140625" style="12"/>
    <col min="2828" max="2828" width="2" style="12" customWidth="1"/>
    <col min="2829" max="2830" width="9.140625" style="12"/>
    <col min="2831" max="2831" width="10.7109375" style="12" customWidth="1"/>
    <col min="2832" max="3072" width="9.140625" style="12"/>
    <col min="3073" max="3073" width="1.28515625" style="12" customWidth="1"/>
    <col min="3074" max="3074" width="7.28515625" style="12" customWidth="1"/>
    <col min="3075" max="3075" width="4" style="12" customWidth="1"/>
    <col min="3076" max="3076" width="7.7109375" style="12" customWidth="1"/>
    <col min="3077" max="3077" width="5.42578125" style="12" customWidth="1"/>
    <col min="3078" max="3078" width="9.28515625" style="12" customWidth="1"/>
    <col min="3079" max="3079" width="2.42578125" style="12" customWidth="1"/>
    <col min="3080" max="3083" width="9.140625" style="12"/>
    <col min="3084" max="3084" width="2" style="12" customWidth="1"/>
    <col min="3085" max="3086" width="9.140625" style="12"/>
    <col min="3087" max="3087" width="10.7109375" style="12" customWidth="1"/>
    <col min="3088" max="3328" width="9.140625" style="12"/>
    <col min="3329" max="3329" width="1.28515625" style="12" customWidth="1"/>
    <col min="3330" max="3330" width="7.28515625" style="12" customWidth="1"/>
    <col min="3331" max="3331" width="4" style="12" customWidth="1"/>
    <col min="3332" max="3332" width="7.7109375" style="12" customWidth="1"/>
    <col min="3333" max="3333" width="5.42578125" style="12" customWidth="1"/>
    <col min="3334" max="3334" width="9.28515625" style="12" customWidth="1"/>
    <col min="3335" max="3335" width="2.42578125" style="12" customWidth="1"/>
    <col min="3336" max="3339" width="9.140625" style="12"/>
    <col min="3340" max="3340" width="2" style="12" customWidth="1"/>
    <col min="3341" max="3342" width="9.140625" style="12"/>
    <col min="3343" max="3343" width="10.7109375" style="12" customWidth="1"/>
    <col min="3344" max="3584" width="9.140625" style="12"/>
    <col min="3585" max="3585" width="1.28515625" style="12" customWidth="1"/>
    <col min="3586" max="3586" width="7.28515625" style="12" customWidth="1"/>
    <col min="3587" max="3587" width="4" style="12" customWidth="1"/>
    <col min="3588" max="3588" width="7.7109375" style="12" customWidth="1"/>
    <col min="3589" max="3589" width="5.42578125" style="12" customWidth="1"/>
    <col min="3590" max="3590" width="9.28515625" style="12" customWidth="1"/>
    <col min="3591" max="3591" width="2.42578125" style="12" customWidth="1"/>
    <col min="3592" max="3595" width="9.140625" style="12"/>
    <col min="3596" max="3596" width="2" style="12" customWidth="1"/>
    <col min="3597" max="3598" width="9.140625" style="12"/>
    <col min="3599" max="3599" width="10.7109375" style="12" customWidth="1"/>
    <col min="3600" max="3840" width="9.140625" style="12"/>
    <col min="3841" max="3841" width="1.28515625" style="12" customWidth="1"/>
    <col min="3842" max="3842" width="7.28515625" style="12" customWidth="1"/>
    <col min="3843" max="3843" width="4" style="12" customWidth="1"/>
    <col min="3844" max="3844" width="7.7109375" style="12" customWidth="1"/>
    <col min="3845" max="3845" width="5.42578125" style="12" customWidth="1"/>
    <col min="3846" max="3846" width="9.28515625" style="12" customWidth="1"/>
    <col min="3847" max="3847" width="2.42578125" style="12" customWidth="1"/>
    <col min="3848" max="3851" width="9.140625" style="12"/>
    <col min="3852" max="3852" width="2" style="12" customWidth="1"/>
    <col min="3853" max="3854" width="9.140625" style="12"/>
    <col min="3855" max="3855" width="10.7109375" style="12" customWidth="1"/>
    <col min="3856" max="4096" width="9.140625" style="12"/>
    <col min="4097" max="4097" width="1.28515625" style="12" customWidth="1"/>
    <col min="4098" max="4098" width="7.28515625" style="12" customWidth="1"/>
    <col min="4099" max="4099" width="4" style="12" customWidth="1"/>
    <col min="4100" max="4100" width="7.7109375" style="12" customWidth="1"/>
    <col min="4101" max="4101" width="5.42578125" style="12" customWidth="1"/>
    <col min="4102" max="4102" width="9.28515625" style="12" customWidth="1"/>
    <col min="4103" max="4103" width="2.42578125" style="12" customWidth="1"/>
    <col min="4104" max="4107" width="9.140625" style="12"/>
    <col min="4108" max="4108" width="2" style="12" customWidth="1"/>
    <col min="4109" max="4110" width="9.140625" style="12"/>
    <col min="4111" max="4111" width="10.7109375" style="12" customWidth="1"/>
    <col min="4112" max="4352" width="9.140625" style="12"/>
    <col min="4353" max="4353" width="1.28515625" style="12" customWidth="1"/>
    <col min="4354" max="4354" width="7.28515625" style="12" customWidth="1"/>
    <col min="4355" max="4355" width="4" style="12" customWidth="1"/>
    <col min="4356" max="4356" width="7.7109375" style="12" customWidth="1"/>
    <col min="4357" max="4357" width="5.42578125" style="12" customWidth="1"/>
    <col min="4358" max="4358" width="9.28515625" style="12" customWidth="1"/>
    <col min="4359" max="4359" width="2.42578125" style="12" customWidth="1"/>
    <col min="4360" max="4363" width="9.140625" style="12"/>
    <col min="4364" max="4364" width="2" style="12" customWidth="1"/>
    <col min="4365" max="4366" width="9.140625" style="12"/>
    <col min="4367" max="4367" width="10.7109375" style="12" customWidth="1"/>
    <col min="4368" max="4608" width="9.140625" style="12"/>
    <col min="4609" max="4609" width="1.28515625" style="12" customWidth="1"/>
    <col min="4610" max="4610" width="7.28515625" style="12" customWidth="1"/>
    <col min="4611" max="4611" width="4" style="12" customWidth="1"/>
    <col min="4612" max="4612" width="7.7109375" style="12" customWidth="1"/>
    <col min="4613" max="4613" width="5.42578125" style="12" customWidth="1"/>
    <col min="4614" max="4614" width="9.28515625" style="12" customWidth="1"/>
    <col min="4615" max="4615" width="2.42578125" style="12" customWidth="1"/>
    <col min="4616" max="4619" width="9.140625" style="12"/>
    <col min="4620" max="4620" width="2" style="12" customWidth="1"/>
    <col min="4621" max="4622" width="9.140625" style="12"/>
    <col min="4623" max="4623" width="10.7109375" style="12" customWidth="1"/>
    <col min="4624" max="4864" width="9.140625" style="12"/>
    <col min="4865" max="4865" width="1.28515625" style="12" customWidth="1"/>
    <col min="4866" max="4866" width="7.28515625" style="12" customWidth="1"/>
    <col min="4867" max="4867" width="4" style="12" customWidth="1"/>
    <col min="4868" max="4868" width="7.7109375" style="12" customWidth="1"/>
    <col min="4869" max="4869" width="5.42578125" style="12" customWidth="1"/>
    <col min="4870" max="4870" width="9.28515625" style="12" customWidth="1"/>
    <col min="4871" max="4871" width="2.42578125" style="12" customWidth="1"/>
    <col min="4872" max="4875" width="9.140625" style="12"/>
    <col min="4876" max="4876" width="2" style="12" customWidth="1"/>
    <col min="4877" max="4878" width="9.140625" style="12"/>
    <col min="4879" max="4879" width="10.7109375" style="12" customWidth="1"/>
    <col min="4880" max="5120" width="9.140625" style="12"/>
    <col min="5121" max="5121" width="1.28515625" style="12" customWidth="1"/>
    <col min="5122" max="5122" width="7.28515625" style="12" customWidth="1"/>
    <col min="5123" max="5123" width="4" style="12" customWidth="1"/>
    <col min="5124" max="5124" width="7.7109375" style="12" customWidth="1"/>
    <col min="5125" max="5125" width="5.42578125" style="12" customWidth="1"/>
    <col min="5126" max="5126" width="9.28515625" style="12" customWidth="1"/>
    <col min="5127" max="5127" width="2.42578125" style="12" customWidth="1"/>
    <col min="5128" max="5131" width="9.140625" style="12"/>
    <col min="5132" max="5132" width="2" style="12" customWidth="1"/>
    <col min="5133" max="5134" width="9.140625" style="12"/>
    <col min="5135" max="5135" width="10.7109375" style="12" customWidth="1"/>
    <col min="5136" max="5376" width="9.140625" style="12"/>
    <col min="5377" max="5377" width="1.28515625" style="12" customWidth="1"/>
    <col min="5378" max="5378" width="7.28515625" style="12" customWidth="1"/>
    <col min="5379" max="5379" width="4" style="12" customWidth="1"/>
    <col min="5380" max="5380" width="7.7109375" style="12" customWidth="1"/>
    <col min="5381" max="5381" width="5.42578125" style="12" customWidth="1"/>
    <col min="5382" max="5382" width="9.28515625" style="12" customWidth="1"/>
    <col min="5383" max="5383" width="2.42578125" style="12" customWidth="1"/>
    <col min="5384" max="5387" width="9.140625" style="12"/>
    <col min="5388" max="5388" width="2" style="12" customWidth="1"/>
    <col min="5389" max="5390" width="9.140625" style="12"/>
    <col min="5391" max="5391" width="10.7109375" style="12" customWidth="1"/>
    <col min="5392" max="5632" width="9.140625" style="12"/>
    <col min="5633" max="5633" width="1.28515625" style="12" customWidth="1"/>
    <col min="5634" max="5634" width="7.28515625" style="12" customWidth="1"/>
    <col min="5635" max="5635" width="4" style="12" customWidth="1"/>
    <col min="5636" max="5636" width="7.7109375" style="12" customWidth="1"/>
    <col min="5637" max="5637" width="5.42578125" style="12" customWidth="1"/>
    <col min="5638" max="5638" width="9.28515625" style="12" customWidth="1"/>
    <col min="5639" max="5639" width="2.42578125" style="12" customWidth="1"/>
    <col min="5640" max="5643" width="9.140625" style="12"/>
    <col min="5644" max="5644" width="2" style="12" customWidth="1"/>
    <col min="5645" max="5646" width="9.140625" style="12"/>
    <col min="5647" max="5647" width="10.7109375" style="12" customWidth="1"/>
    <col min="5648" max="5888" width="9.140625" style="12"/>
    <col min="5889" max="5889" width="1.28515625" style="12" customWidth="1"/>
    <col min="5890" max="5890" width="7.28515625" style="12" customWidth="1"/>
    <col min="5891" max="5891" width="4" style="12" customWidth="1"/>
    <col min="5892" max="5892" width="7.7109375" style="12" customWidth="1"/>
    <col min="5893" max="5893" width="5.42578125" style="12" customWidth="1"/>
    <col min="5894" max="5894" width="9.28515625" style="12" customWidth="1"/>
    <col min="5895" max="5895" width="2.42578125" style="12" customWidth="1"/>
    <col min="5896" max="5899" width="9.140625" style="12"/>
    <col min="5900" max="5900" width="2" style="12" customWidth="1"/>
    <col min="5901" max="5902" width="9.140625" style="12"/>
    <col min="5903" max="5903" width="10.7109375" style="12" customWidth="1"/>
    <col min="5904" max="6144" width="9.140625" style="12"/>
    <col min="6145" max="6145" width="1.28515625" style="12" customWidth="1"/>
    <col min="6146" max="6146" width="7.28515625" style="12" customWidth="1"/>
    <col min="6147" max="6147" width="4" style="12" customWidth="1"/>
    <col min="6148" max="6148" width="7.7109375" style="12" customWidth="1"/>
    <col min="6149" max="6149" width="5.42578125" style="12" customWidth="1"/>
    <col min="6150" max="6150" width="9.28515625" style="12" customWidth="1"/>
    <col min="6151" max="6151" width="2.42578125" style="12" customWidth="1"/>
    <col min="6152" max="6155" width="9.140625" style="12"/>
    <col min="6156" max="6156" width="2" style="12" customWidth="1"/>
    <col min="6157" max="6158" width="9.140625" style="12"/>
    <col min="6159" max="6159" width="10.7109375" style="12" customWidth="1"/>
    <col min="6160" max="6400" width="9.140625" style="12"/>
    <col min="6401" max="6401" width="1.28515625" style="12" customWidth="1"/>
    <col min="6402" max="6402" width="7.28515625" style="12" customWidth="1"/>
    <col min="6403" max="6403" width="4" style="12" customWidth="1"/>
    <col min="6404" max="6404" width="7.7109375" style="12" customWidth="1"/>
    <col min="6405" max="6405" width="5.42578125" style="12" customWidth="1"/>
    <col min="6406" max="6406" width="9.28515625" style="12" customWidth="1"/>
    <col min="6407" max="6407" width="2.42578125" style="12" customWidth="1"/>
    <col min="6408" max="6411" width="9.140625" style="12"/>
    <col min="6412" max="6412" width="2" style="12" customWidth="1"/>
    <col min="6413" max="6414" width="9.140625" style="12"/>
    <col min="6415" max="6415" width="10.7109375" style="12" customWidth="1"/>
    <col min="6416" max="6656" width="9.140625" style="12"/>
    <col min="6657" max="6657" width="1.28515625" style="12" customWidth="1"/>
    <col min="6658" max="6658" width="7.28515625" style="12" customWidth="1"/>
    <col min="6659" max="6659" width="4" style="12" customWidth="1"/>
    <col min="6660" max="6660" width="7.7109375" style="12" customWidth="1"/>
    <col min="6661" max="6661" width="5.42578125" style="12" customWidth="1"/>
    <col min="6662" max="6662" width="9.28515625" style="12" customWidth="1"/>
    <col min="6663" max="6663" width="2.42578125" style="12" customWidth="1"/>
    <col min="6664" max="6667" width="9.140625" style="12"/>
    <col min="6668" max="6668" width="2" style="12" customWidth="1"/>
    <col min="6669" max="6670" width="9.140625" style="12"/>
    <col min="6671" max="6671" width="10.7109375" style="12" customWidth="1"/>
    <col min="6672" max="6912" width="9.140625" style="12"/>
    <col min="6913" max="6913" width="1.28515625" style="12" customWidth="1"/>
    <col min="6914" max="6914" width="7.28515625" style="12" customWidth="1"/>
    <col min="6915" max="6915" width="4" style="12" customWidth="1"/>
    <col min="6916" max="6916" width="7.7109375" style="12" customWidth="1"/>
    <col min="6917" max="6917" width="5.42578125" style="12" customWidth="1"/>
    <col min="6918" max="6918" width="9.28515625" style="12" customWidth="1"/>
    <col min="6919" max="6919" width="2.42578125" style="12" customWidth="1"/>
    <col min="6920" max="6923" width="9.140625" style="12"/>
    <col min="6924" max="6924" width="2" style="12" customWidth="1"/>
    <col min="6925" max="6926" width="9.140625" style="12"/>
    <col min="6927" max="6927" width="10.7109375" style="12" customWidth="1"/>
    <col min="6928" max="7168" width="9.140625" style="12"/>
    <col min="7169" max="7169" width="1.28515625" style="12" customWidth="1"/>
    <col min="7170" max="7170" width="7.28515625" style="12" customWidth="1"/>
    <col min="7171" max="7171" width="4" style="12" customWidth="1"/>
    <col min="7172" max="7172" width="7.7109375" style="12" customWidth="1"/>
    <col min="7173" max="7173" width="5.42578125" style="12" customWidth="1"/>
    <col min="7174" max="7174" width="9.28515625" style="12" customWidth="1"/>
    <col min="7175" max="7175" width="2.42578125" style="12" customWidth="1"/>
    <col min="7176" max="7179" width="9.140625" style="12"/>
    <col min="7180" max="7180" width="2" style="12" customWidth="1"/>
    <col min="7181" max="7182" width="9.140625" style="12"/>
    <col min="7183" max="7183" width="10.7109375" style="12" customWidth="1"/>
    <col min="7184" max="7424" width="9.140625" style="12"/>
    <col min="7425" max="7425" width="1.28515625" style="12" customWidth="1"/>
    <col min="7426" max="7426" width="7.28515625" style="12" customWidth="1"/>
    <col min="7427" max="7427" width="4" style="12" customWidth="1"/>
    <col min="7428" max="7428" width="7.7109375" style="12" customWidth="1"/>
    <col min="7429" max="7429" width="5.42578125" style="12" customWidth="1"/>
    <col min="7430" max="7430" width="9.28515625" style="12" customWidth="1"/>
    <col min="7431" max="7431" width="2.42578125" style="12" customWidth="1"/>
    <col min="7432" max="7435" width="9.140625" style="12"/>
    <col min="7436" max="7436" width="2" style="12" customWidth="1"/>
    <col min="7437" max="7438" width="9.140625" style="12"/>
    <col min="7439" max="7439" width="10.7109375" style="12" customWidth="1"/>
    <col min="7440" max="7680" width="9.140625" style="12"/>
    <col min="7681" max="7681" width="1.28515625" style="12" customWidth="1"/>
    <col min="7682" max="7682" width="7.28515625" style="12" customWidth="1"/>
    <col min="7683" max="7683" width="4" style="12" customWidth="1"/>
    <col min="7684" max="7684" width="7.7109375" style="12" customWidth="1"/>
    <col min="7685" max="7685" width="5.42578125" style="12" customWidth="1"/>
    <col min="7686" max="7686" width="9.28515625" style="12" customWidth="1"/>
    <col min="7687" max="7687" width="2.42578125" style="12" customWidth="1"/>
    <col min="7688" max="7691" width="9.140625" style="12"/>
    <col min="7692" max="7692" width="2" style="12" customWidth="1"/>
    <col min="7693" max="7694" width="9.140625" style="12"/>
    <col min="7695" max="7695" width="10.7109375" style="12" customWidth="1"/>
    <col min="7696" max="7936" width="9.140625" style="12"/>
    <col min="7937" max="7937" width="1.28515625" style="12" customWidth="1"/>
    <col min="7938" max="7938" width="7.28515625" style="12" customWidth="1"/>
    <col min="7939" max="7939" width="4" style="12" customWidth="1"/>
    <col min="7940" max="7940" width="7.7109375" style="12" customWidth="1"/>
    <col min="7941" max="7941" width="5.42578125" style="12" customWidth="1"/>
    <col min="7942" max="7942" width="9.28515625" style="12" customWidth="1"/>
    <col min="7943" max="7943" width="2.42578125" style="12" customWidth="1"/>
    <col min="7944" max="7947" width="9.140625" style="12"/>
    <col min="7948" max="7948" width="2" style="12" customWidth="1"/>
    <col min="7949" max="7950" width="9.140625" style="12"/>
    <col min="7951" max="7951" width="10.7109375" style="12" customWidth="1"/>
    <col min="7952" max="8192" width="9.140625" style="12"/>
    <col min="8193" max="8193" width="1.28515625" style="12" customWidth="1"/>
    <col min="8194" max="8194" width="7.28515625" style="12" customWidth="1"/>
    <col min="8195" max="8195" width="4" style="12" customWidth="1"/>
    <col min="8196" max="8196" width="7.7109375" style="12" customWidth="1"/>
    <col min="8197" max="8197" width="5.42578125" style="12" customWidth="1"/>
    <col min="8198" max="8198" width="9.28515625" style="12" customWidth="1"/>
    <col min="8199" max="8199" width="2.42578125" style="12" customWidth="1"/>
    <col min="8200" max="8203" width="9.140625" style="12"/>
    <col min="8204" max="8204" width="2" style="12" customWidth="1"/>
    <col min="8205" max="8206" width="9.140625" style="12"/>
    <col min="8207" max="8207" width="10.7109375" style="12" customWidth="1"/>
    <col min="8208" max="8448" width="9.140625" style="12"/>
    <col min="8449" max="8449" width="1.28515625" style="12" customWidth="1"/>
    <col min="8450" max="8450" width="7.28515625" style="12" customWidth="1"/>
    <col min="8451" max="8451" width="4" style="12" customWidth="1"/>
    <col min="8452" max="8452" width="7.7109375" style="12" customWidth="1"/>
    <col min="8453" max="8453" width="5.42578125" style="12" customWidth="1"/>
    <col min="8454" max="8454" width="9.28515625" style="12" customWidth="1"/>
    <col min="8455" max="8455" width="2.42578125" style="12" customWidth="1"/>
    <col min="8456" max="8459" width="9.140625" style="12"/>
    <col min="8460" max="8460" width="2" style="12" customWidth="1"/>
    <col min="8461" max="8462" width="9.140625" style="12"/>
    <col min="8463" max="8463" width="10.7109375" style="12" customWidth="1"/>
    <col min="8464" max="8704" width="9.140625" style="12"/>
    <col min="8705" max="8705" width="1.28515625" style="12" customWidth="1"/>
    <col min="8706" max="8706" width="7.28515625" style="12" customWidth="1"/>
    <col min="8707" max="8707" width="4" style="12" customWidth="1"/>
    <col min="8708" max="8708" width="7.7109375" style="12" customWidth="1"/>
    <col min="8709" max="8709" width="5.42578125" style="12" customWidth="1"/>
    <col min="8710" max="8710" width="9.28515625" style="12" customWidth="1"/>
    <col min="8711" max="8711" width="2.42578125" style="12" customWidth="1"/>
    <col min="8712" max="8715" width="9.140625" style="12"/>
    <col min="8716" max="8716" width="2" style="12" customWidth="1"/>
    <col min="8717" max="8718" width="9.140625" style="12"/>
    <col min="8719" max="8719" width="10.7109375" style="12" customWidth="1"/>
    <col min="8720" max="8960" width="9.140625" style="12"/>
    <col min="8961" max="8961" width="1.28515625" style="12" customWidth="1"/>
    <col min="8962" max="8962" width="7.28515625" style="12" customWidth="1"/>
    <col min="8963" max="8963" width="4" style="12" customWidth="1"/>
    <col min="8964" max="8964" width="7.7109375" style="12" customWidth="1"/>
    <col min="8965" max="8965" width="5.42578125" style="12" customWidth="1"/>
    <col min="8966" max="8966" width="9.28515625" style="12" customWidth="1"/>
    <col min="8967" max="8967" width="2.42578125" style="12" customWidth="1"/>
    <col min="8968" max="8971" width="9.140625" style="12"/>
    <col min="8972" max="8972" width="2" style="12" customWidth="1"/>
    <col min="8973" max="8974" width="9.140625" style="12"/>
    <col min="8975" max="8975" width="10.7109375" style="12" customWidth="1"/>
    <col min="8976" max="9216" width="9.140625" style="12"/>
    <col min="9217" max="9217" width="1.28515625" style="12" customWidth="1"/>
    <col min="9218" max="9218" width="7.28515625" style="12" customWidth="1"/>
    <col min="9219" max="9219" width="4" style="12" customWidth="1"/>
    <col min="9220" max="9220" width="7.7109375" style="12" customWidth="1"/>
    <col min="9221" max="9221" width="5.42578125" style="12" customWidth="1"/>
    <col min="9222" max="9222" width="9.28515625" style="12" customWidth="1"/>
    <col min="9223" max="9223" width="2.42578125" style="12" customWidth="1"/>
    <col min="9224" max="9227" width="9.140625" style="12"/>
    <col min="9228" max="9228" width="2" style="12" customWidth="1"/>
    <col min="9229" max="9230" width="9.140625" style="12"/>
    <col min="9231" max="9231" width="10.7109375" style="12" customWidth="1"/>
    <col min="9232" max="9472" width="9.140625" style="12"/>
    <col min="9473" max="9473" width="1.28515625" style="12" customWidth="1"/>
    <col min="9474" max="9474" width="7.28515625" style="12" customWidth="1"/>
    <col min="9475" max="9475" width="4" style="12" customWidth="1"/>
    <col min="9476" max="9476" width="7.7109375" style="12" customWidth="1"/>
    <col min="9477" max="9477" width="5.42578125" style="12" customWidth="1"/>
    <col min="9478" max="9478" width="9.28515625" style="12" customWidth="1"/>
    <col min="9479" max="9479" width="2.42578125" style="12" customWidth="1"/>
    <col min="9480" max="9483" width="9.140625" style="12"/>
    <col min="9484" max="9484" width="2" style="12" customWidth="1"/>
    <col min="9485" max="9486" width="9.140625" style="12"/>
    <col min="9487" max="9487" width="10.7109375" style="12" customWidth="1"/>
    <col min="9488" max="9728" width="9.140625" style="12"/>
    <col min="9729" max="9729" width="1.28515625" style="12" customWidth="1"/>
    <col min="9730" max="9730" width="7.28515625" style="12" customWidth="1"/>
    <col min="9731" max="9731" width="4" style="12" customWidth="1"/>
    <col min="9732" max="9732" width="7.7109375" style="12" customWidth="1"/>
    <col min="9733" max="9733" width="5.42578125" style="12" customWidth="1"/>
    <col min="9734" max="9734" width="9.28515625" style="12" customWidth="1"/>
    <col min="9735" max="9735" width="2.42578125" style="12" customWidth="1"/>
    <col min="9736" max="9739" width="9.140625" style="12"/>
    <col min="9740" max="9740" width="2" style="12" customWidth="1"/>
    <col min="9741" max="9742" width="9.140625" style="12"/>
    <col min="9743" max="9743" width="10.7109375" style="12" customWidth="1"/>
    <col min="9744" max="9984" width="9.140625" style="12"/>
    <col min="9985" max="9985" width="1.28515625" style="12" customWidth="1"/>
    <col min="9986" max="9986" width="7.28515625" style="12" customWidth="1"/>
    <col min="9987" max="9987" width="4" style="12" customWidth="1"/>
    <col min="9988" max="9988" width="7.7109375" style="12" customWidth="1"/>
    <col min="9989" max="9989" width="5.42578125" style="12" customWidth="1"/>
    <col min="9990" max="9990" width="9.28515625" style="12" customWidth="1"/>
    <col min="9991" max="9991" width="2.42578125" style="12" customWidth="1"/>
    <col min="9992" max="9995" width="9.140625" style="12"/>
    <col min="9996" max="9996" width="2" style="12" customWidth="1"/>
    <col min="9997" max="9998" width="9.140625" style="12"/>
    <col min="9999" max="9999" width="10.7109375" style="12" customWidth="1"/>
    <col min="10000" max="10240" width="9.140625" style="12"/>
    <col min="10241" max="10241" width="1.28515625" style="12" customWidth="1"/>
    <col min="10242" max="10242" width="7.28515625" style="12" customWidth="1"/>
    <col min="10243" max="10243" width="4" style="12" customWidth="1"/>
    <col min="10244" max="10244" width="7.7109375" style="12" customWidth="1"/>
    <col min="10245" max="10245" width="5.42578125" style="12" customWidth="1"/>
    <col min="10246" max="10246" width="9.28515625" style="12" customWidth="1"/>
    <col min="10247" max="10247" width="2.42578125" style="12" customWidth="1"/>
    <col min="10248" max="10251" width="9.140625" style="12"/>
    <col min="10252" max="10252" width="2" style="12" customWidth="1"/>
    <col min="10253" max="10254" width="9.140625" style="12"/>
    <col min="10255" max="10255" width="10.7109375" style="12" customWidth="1"/>
    <col min="10256" max="10496" width="9.140625" style="12"/>
    <col min="10497" max="10497" width="1.28515625" style="12" customWidth="1"/>
    <col min="10498" max="10498" width="7.28515625" style="12" customWidth="1"/>
    <col min="10499" max="10499" width="4" style="12" customWidth="1"/>
    <col min="10500" max="10500" width="7.7109375" style="12" customWidth="1"/>
    <col min="10501" max="10501" width="5.42578125" style="12" customWidth="1"/>
    <col min="10502" max="10502" width="9.28515625" style="12" customWidth="1"/>
    <col min="10503" max="10503" width="2.42578125" style="12" customWidth="1"/>
    <col min="10504" max="10507" width="9.140625" style="12"/>
    <col min="10508" max="10508" width="2" style="12" customWidth="1"/>
    <col min="10509" max="10510" width="9.140625" style="12"/>
    <col min="10511" max="10511" width="10.7109375" style="12" customWidth="1"/>
    <col min="10512" max="10752" width="9.140625" style="12"/>
    <col min="10753" max="10753" width="1.28515625" style="12" customWidth="1"/>
    <col min="10754" max="10754" width="7.28515625" style="12" customWidth="1"/>
    <col min="10755" max="10755" width="4" style="12" customWidth="1"/>
    <col min="10756" max="10756" width="7.7109375" style="12" customWidth="1"/>
    <col min="10757" max="10757" width="5.42578125" style="12" customWidth="1"/>
    <col min="10758" max="10758" width="9.28515625" style="12" customWidth="1"/>
    <col min="10759" max="10759" width="2.42578125" style="12" customWidth="1"/>
    <col min="10760" max="10763" width="9.140625" style="12"/>
    <col min="10764" max="10764" width="2" style="12" customWidth="1"/>
    <col min="10765" max="10766" width="9.140625" style="12"/>
    <col min="10767" max="10767" width="10.7109375" style="12" customWidth="1"/>
    <col min="10768" max="11008" width="9.140625" style="12"/>
    <col min="11009" max="11009" width="1.28515625" style="12" customWidth="1"/>
    <col min="11010" max="11010" width="7.28515625" style="12" customWidth="1"/>
    <col min="11011" max="11011" width="4" style="12" customWidth="1"/>
    <col min="11012" max="11012" width="7.7109375" style="12" customWidth="1"/>
    <col min="11013" max="11013" width="5.42578125" style="12" customWidth="1"/>
    <col min="11014" max="11014" width="9.28515625" style="12" customWidth="1"/>
    <col min="11015" max="11015" width="2.42578125" style="12" customWidth="1"/>
    <col min="11016" max="11019" width="9.140625" style="12"/>
    <col min="11020" max="11020" width="2" style="12" customWidth="1"/>
    <col min="11021" max="11022" width="9.140625" style="12"/>
    <col min="11023" max="11023" width="10.7109375" style="12" customWidth="1"/>
    <col min="11024" max="11264" width="9.140625" style="12"/>
    <col min="11265" max="11265" width="1.28515625" style="12" customWidth="1"/>
    <col min="11266" max="11266" width="7.28515625" style="12" customWidth="1"/>
    <col min="11267" max="11267" width="4" style="12" customWidth="1"/>
    <col min="11268" max="11268" width="7.7109375" style="12" customWidth="1"/>
    <col min="11269" max="11269" width="5.42578125" style="12" customWidth="1"/>
    <col min="11270" max="11270" width="9.28515625" style="12" customWidth="1"/>
    <col min="11271" max="11271" width="2.42578125" style="12" customWidth="1"/>
    <col min="11272" max="11275" width="9.140625" style="12"/>
    <col min="11276" max="11276" width="2" style="12" customWidth="1"/>
    <col min="11277" max="11278" width="9.140625" style="12"/>
    <col min="11279" max="11279" width="10.7109375" style="12" customWidth="1"/>
    <col min="11280" max="11520" width="9.140625" style="12"/>
    <col min="11521" max="11521" width="1.28515625" style="12" customWidth="1"/>
    <col min="11522" max="11522" width="7.28515625" style="12" customWidth="1"/>
    <col min="11523" max="11523" width="4" style="12" customWidth="1"/>
    <col min="11524" max="11524" width="7.7109375" style="12" customWidth="1"/>
    <col min="11525" max="11525" width="5.42578125" style="12" customWidth="1"/>
    <col min="11526" max="11526" width="9.28515625" style="12" customWidth="1"/>
    <col min="11527" max="11527" width="2.42578125" style="12" customWidth="1"/>
    <col min="11528" max="11531" width="9.140625" style="12"/>
    <col min="11532" max="11532" width="2" style="12" customWidth="1"/>
    <col min="11533" max="11534" width="9.140625" style="12"/>
    <col min="11535" max="11535" width="10.7109375" style="12" customWidth="1"/>
    <col min="11536" max="11776" width="9.140625" style="12"/>
    <col min="11777" max="11777" width="1.28515625" style="12" customWidth="1"/>
    <col min="11778" max="11778" width="7.28515625" style="12" customWidth="1"/>
    <col min="11779" max="11779" width="4" style="12" customWidth="1"/>
    <col min="11780" max="11780" width="7.7109375" style="12" customWidth="1"/>
    <col min="11781" max="11781" width="5.42578125" style="12" customWidth="1"/>
    <col min="11782" max="11782" width="9.28515625" style="12" customWidth="1"/>
    <col min="11783" max="11783" width="2.42578125" style="12" customWidth="1"/>
    <col min="11784" max="11787" width="9.140625" style="12"/>
    <col min="11788" max="11788" width="2" style="12" customWidth="1"/>
    <col min="11789" max="11790" width="9.140625" style="12"/>
    <col min="11791" max="11791" width="10.7109375" style="12" customWidth="1"/>
    <col min="11792" max="12032" width="9.140625" style="12"/>
    <col min="12033" max="12033" width="1.28515625" style="12" customWidth="1"/>
    <col min="12034" max="12034" width="7.28515625" style="12" customWidth="1"/>
    <col min="12035" max="12035" width="4" style="12" customWidth="1"/>
    <col min="12036" max="12036" width="7.7109375" style="12" customWidth="1"/>
    <col min="12037" max="12037" width="5.42578125" style="12" customWidth="1"/>
    <col min="12038" max="12038" width="9.28515625" style="12" customWidth="1"/>
    <col min="12039" max="12039" width="2.42578125" style="12" customWidth="1"/>
    <col min="12040" max="12043" width="9.140625" style="12"/>
    <col min="12044" max="12044" width="2" style="12" customWidth="1"/>
    <col min="12045" max="12046" width="9.140625" style="12"/>
    <col min="12047" max="12047" width="10.7109375" style="12" customWidth="1"/>
    <col min="12048" max="12288" width="9.140625" style="12"/>
    <col min="12289" max="12289" width="1.28515625" style="12" customWidth="1"/>
    <col min="12290" max="12290" width="7.28515625" style="12" customWidth="1"/>
    <col min="12291" max="12291" width="4" style="12" customWidth="1"/>
    <col min="12292" max="12292" width="7.7109375" style="12" customWidth="1"/>
    <col min="12293" max="12293" width="5.42578125" style="12" customWidth="1"/>
    <col min="12294" max="12294" width="9.28515625" style="12" customWidth="1"/>
    <col min="12295" max="12295" width="2.42578125" style="12" customWidth="1"/>
    <col min="12296" max="12299" width="9.140625" style="12"/>
    <col min="12300" max="12300" width="2" style="12" customWidth="1"/>
    <col min="12301" max="12302" width="9.140625" style="12"/>
    <col min="12303" max="12303" width="10.7109375" style="12" customWidth="1"/>
    <col min="12304" max="12544" width="9.140625" style="12"/>
    <col min="12545" max="12545" width="1.28515625" style="12" customWidth="1"/>
    <col min="12546" max="12546" width="7.28515625" style="12" customWidth="1"/>
    <col min="12547" max="12547" width="4" style="12" customWidth="1"/>
    <col min="12548" max="12548" width="7.7109375" style="12" customWidth="1"/>
    <col min="12549" max="12549" width="5.42578125" style="12" customWidth="1"/>
    <col min="12550" max="12550" width="9.28515625" style="12" customWidth="1"/>
    <col min="12551" max="12551" width="2.42578125" style="12" customWidth="1"/>
    <col min="12552" max="12555" width="9.140625" style="12"/>
    <col min="12556" max="12556" width="2" style="12" customWidth="1"/>
    <col min="12557" max="12558" width="9.140625" style="12"/>
    <col min="12559" max="12559" width="10.7109375" style="12" customWidth="1"/>
    <col min="12560" max="12800" width="9.140625" style="12"/>
    <col min="12801" max="12801" width="1.28515625" style="12" customWidth="1"/>
    <col min="12802" max="12802" width="7.28515625" style="12" customWidth="1"/>
    <col min="12803" max="12803" width="4" style="12" customWidth="1"/>
    <col min="12804" max="12804" width="7.7109375" style="12" customWidth="1"/>
    <col min="12805" max="12805" width="5.42578125" style="12" customWidth="1"/>
    <col min="12806" max="12806" width="9.28515625" style="12" customWidth="1"/>
    <col min="12807" max="12807" width="2.42578125" style="12" customWidth="1"/>
    <col min="12808" max="12811" width="9.140625" style="12"/>
    <col min="12812" max="12812" width="2" style="12" customWidth="1"/>
    <col min="12813" max="12814" width="9.140625" style="12"/>
    <col min="12815" max="12815" width="10.7109375" style="12" customWidth="1"/>
    <col min="12816" max="13056" width="9.140625" style="12"/>
    <col min="13057" max="13057" width="1.28515625" style="12" customWidth="1"/>
    <col min="13058" max="13058" width="7.28515625" style="12" customWidth="1"/>
    <col min="13059" max="13059" width="4" style="12" customWidth="1"/>
    <col min="13060" max="13060" width="7.7109375" style="12" customWidth="1"/>
    <col min="13061" max="13061" width="5.42578125" style="12" customWidth="1"/>
    <col min="13062" max="13062" width="9.28515625" style="12" customWidth="1"/>
    <col min="13063" max="13063" width="2.42578125" style="12" customWidth="1"/>
    <col min="13064" max="13067" width="9.140625" style="12"/>
    <col min="13068" max="13068" width="2" style="12" customWidth="1"/>
    <col min="13069" max="13070" width="9.140625" style="12"/>
    <col min="13071" max="13071" width="10.7109375" style="12" customWidth="1"/>
    <col min="13072" max="13312" width="9.140625" style="12"/>
    <col min="13313" max="13313" width="1.28515625" style="12" customWidth="1"/>
    <col min="13314" max="13314" width="7.28515625" style="12" customWidth="1"/>
    <col min="13315" max="13315" width="4" style="12" customWidth="1"/>
    <col min="13316" max="13316" width="7.7109375" style="12" customWidth="1"/>
    <col min="13317" max="13317" width="5.42578125" style="12" customWidth="1"/>
    <col min="13318" max="13318" width="9.28515625" style="12" customWidth="1"/>
    <col min="13319" max="13319" width="2.42578125" style="12" customWidth="1"/>
    <col min="13320" max="13323" width="9.140625" style="12"/>
    <col min="13324" max="13324" width="2" style="12" customWidth="1"/>
    <col min="13325" max="13326" width="9.140625" style="12"/>
    <col min="13327" max="13327" width="10.7109375" style="12" customWidth="1"/>
    <col min="13328" max="13568" width="9.140625" style="12"/>
    <col min="13569" max="13569" width="1.28515625" style="12" customWidth="1"/>
    <col min="13570" max="13570" width="7.28515625" style="12" customWidth="1"/>
    <col min="13571" max="13571" width="4" style="12" customWidth="1"/>
    <col min="13572" max="13572" width="7.7109375" style="12" customWidth="1"/>
    <col min="13573" max="13573" width="5.42578125" style="12" customWidth="1"/>
    <col min="13574" max="13574" width="9.28515625" style="12" customWidth="1"/>
    <col min="13575" max="13575" width="2.42578125" style="12" customWidth="1"/>
    <col min="13576" max="13579" width="9.140625" style="12"/>
    <col min="13580" max="13580" width="2" style="12" customWidth="1"/>
    <col min="13581" max="13582" width="9.140625" style="12"/>
    <col min="13583" max="13583" width="10.7109375" style="12" customWidth="1"/>
    <col min="13584" max="13824" width="9.140625" style="12"/>
    <col min="13825" max="13825" width="1.28515625" style="12" customWidth="1"/>
    <col min="13826" max="13826" width="7.28515625" style="12" customWidth="1"/>
    <col min="13827" max="13827" width="4" style="12" customWidth="1"/>
    <col min="13828" max="13828" width="7.7109375" style="12" customWidth="1"/>
    <col min="13829" max="13829" width="5.42578125" style="12" customWidth="1"/>
    <col min="13830" max="13830" width="9.28515625" style="12" customWidth="1"/>
    <col min="13831" max="13831" width="2.42578125" style="12" customWidth="1"/>
    <col min="13832" max="13835" width="9.140625" style="12"/>
    <col min="13836" max="13836" width="2" style="12" customWidth="1"/>
    <col min="13837" max="13838" width="9.140625" style="12"/>
    <col min="13839" max="13839" width="10.7109375" style="12" customWidth="1"/>
    <col min="13840" max="14080" width="9.140625" style="12"/>
    <col min="14081" max="14081" width="1.28515625" style="12" customWidth="1"/>
    <col min="14082" max="14082" width="7.28515625" style="12" customWidth="1"/>
    <col min="14083" max="14083" width="4" style="12" customWidth="1"/>
    <col min="14084" max="14084" width="7.7109375" style="12" customWidth="1"/>
    <col min="14085" max="14085" width="5.42578125" style="12" customWidth="1"/>
    <col min="14086" max="14086" width="9.28515625" style="12" customWidth="1"/>
    <col min="14087" max="14087" width="2.42578125" style="12" customWidth="1"/>
    <col min="14088" max="14091" width="9.140625" style="12"/>
    <col min="14092" max="14092" width="2" style="12" customWidth="1"/>
    <col min="14093" max="14094" width="9.140625" style="12"/>
    <col min="14095" max="14095" width="10.7109375" style="12" customWidth="1"/>
    <col min="14096" max="14336" width="9.140625" style="12"/>
    <col min="14337" max="14337" width="1.28515625" style="12" customWidth="1"/>
    <col min="14338" max="14338" width="7.28515625" style="12" customWidth="1"/>
    <col min="14339" max="14339" width="4" style="12" customWidth="1"/>
    <col min="14340" max="14340" width="7.7109375" style="12" customWidth="1"/>
    <col min="14341" max="14341" width="5.42578125" style="12" customWidth="1"/>
    <col min="14342" max="14342" width="9.28515625" style="12" customWidth="1"/>
    <col min="14343" max="14343" width="2.42578125" style="12" customWidth="1"/>
    <col min="14344" max="14347" width="9.140625" style="12"/>
    <col min="14348" max="14348" width="2" style="12" customWidth="1"/>
    <col min="14349" max="14350" width="9.140625" style="12"/>
    <col min="14351" max="14351" width="10.7109375" style="12" customWidth="1"/>
    <col min="14352" max="14592" width="9.140625" style="12"/>
    <col min="14593" max="14593" width="1.28515625" style="12" customWidth="1"/>
    <col min="14594" max="14594" width="7.28515625" style="12" customWidth="1"/>
    <col min="14595" max="14595" width="4" style="12" customWidth="1"/>
    <col min="14596" max="14596" width="7.7109375" style="12" customWidth="1"/>
    <col min="14597" max="14597" width="5.42578125" style="12" customWidth="1"/>
    <col min="14598" max="14598" width="9.28515625" style="12" customWidth="1"/>
    <col min="14599" max="14599" width="2.42578125" style="12" customWidth="1"/>
    <col min="14600" max="14603" width="9.140625" style="12"/>
    <col min="14604" max="14604" width="2" style="12" customWidth="1"/>
    <col min="14605" max="14606" width="9.140625" style="12"/>
    <col min="14607" max="14607" width="10.7109375" style="12" customWidth="1"/>
    <col min="14608" max="14848" width="9.140625" style="12"/>
    <col min="14849" max="14849" width="1.28515625" style="12" customWidth="1"/>
    <col min="14850" max="14850" width="7.28515625" style="12" customWidth="1"/>
    <col min="14851" max="14851" width="4" style="12" customWidth="1"/>
    <col min="14852" max="14852" width="7.7109375" style="12" customWidth="1"/>
    <col min="14853" max="14853" width="5.42578125" style="12" customWidth="1"/>
    <col min="14854" max="14854" width="9.28515625" style="12" customWidth="1"/>
    <col min="14855" max="14855" width="2.42578125" style="12" customWidth="1"/>
    <col min="14856" max="14859" width="9.140625" style="12"/>
    <col min="14860" max="14860" width="2" style="12" customWidth="1"/>
    <col min="14861" max="14862" width="9.140625" style="12"/>
    <col min="14863" max="14863" width="10.7109375" style="12" customWidth="1"/>
    <col min="14864" max="15104" width="9.140625" style="12"/>
    <col min="15105" max="15105" width="1.28515625" style="12" customWidth="1"/>
    <col min="15106" max="15106" width="7.28515625" style="12" customWidth="1"/>
    <col min="15107" max="15107" width="4" style="12" customWidth="1"/>
    <col min="15108" max="15108" width="7.7109375" style="12" customWidth="1"/>
    <col min="15109" max="15109" width="5.42578125" style="12" customWidth="1"/>
    <col min="15110" max="15110" width="9.28515625" style="12" customWidth="1"/>
    <col min="15111" max="15111" width="2.42578125" style="12" customWidth="1"/>
    <col min="15112" max="15115" width="9.140625" style="12"/>
    <col min="15116" max="15116" width="2" style="12" customWidth="1"/>
    <col min="15117" max="15118" width="9.140625" style="12"/>
    <col min="15119" max="15119" width="10.7109375" style="12" customWidth="1"/>
    <col min="15120" max="15360" width="9.140625" style="12"/>
    <col min="15361" max="15361" width="1.28515625" style="12" customWidth="1"/>
    <col min="15362" max="15362" width="7.28515625" style="12" customWidth="1"/>
    <col min="15363" max="15363" width="4" style="12" customWidth="1"/>
    <col min="15364" max="15364" width="7.7109375" style="12" customWidth="1"/>
    <col min="15365" max="15365" width="5.42578125" style="12" customWidth="1"/>
    <col min="15366" max="15366" width="9.28515625" style="12" customWidth="1"/>
    <col min="15367" max="15367" width="2.42578125" style="12" customWidth="1"/>
    <col min="15368" max="15371" width="9.140625" style="12"/>
    <col min="15372" max="15372" width="2" style="12" customWidth="1"/>
    <col min="15373" max="15374" width="9.140625" style="12"/>
    <col min="15375" max="15375" width="10.7109375" style="12" customWidth="1"/>
    <col min="15376" max="15616" width="9.140625" style="12"/>
    <col min="15617" max="15617" width="1.28515625" style="12" customWidth="1"/>
    <col min="15618" max="15618" width="7.28515625" style="12" customWidth="1"/>
    <col min="15619" max="15619" width="4" style="12" customWidth="1"/>
    <col min="15620" max="15620" width="7.7109375" style="12" customWidth="1"/>
    <col min="15621" max="15621" width="5.42578125" style="12" customWidth="1"/>
    <col min="15622" max="15622" width="9.28515625" style="12" customWidth="1"/>
    <col min="15623" max="15623" width="2.42578125" style="12" customWidth="1"/>
    <col min="15624" max="15627" width="9.140625" style="12"/>
    <col min="15628" max="15628" width="2" style="12" customWidth="1"/>
    <col min="15629" max="15630" width="9.140625" style="12"/>
    <col min="15631" max="15631" width="10.7109375" style="12" customWidth="1"/>
    <col min="15632" max="15872" width="9.140625" style="12"/>
    <col min="15873" max="15873" width="1.28515625" style="12" customWidth="1"/>
    <col min="15874" max="15874" width="7.28515625" style="12" customWidth="1"/>
    <col min="15875" max="15875" width="4" style="12" customWidth="1"/>
    <col min="15876" max="15876" width="7.7109375" style="12" customWidth="1"/>
    <col min="15877" max="15877" width="5.42578125" style="12" customWidth="1"/>
    <col min="15878" max="15878" width="9.28515625" style="12" customWidth="1"/>
    <col min="15879" max="15879" width="2.42578125" style="12" customWidth="1"/>
    <col min="15880" max="15883" width="9.140625" style="12"/>
    <col min="15884" max="15884" width="2" style="12" customWidth="1"/>
    <col min="15885" max="15886" width="9.140625" style="12"/>
    <col min="15887" max="15887" width="10.7109375" style="12" customWidth="1"/>
    <col min="15888" max="16128" width="9.140625" style="12"/>
    <col min="16129" max="16129" width="1.28515625" style="12" customWidth="1"/>
    <col min="16130" max="16130" width="7.28515625" style="12" customWidth="1"/>
    <col min="16131" max="16131" width="4" style="12" customWidth="1"/>
    <col min="16132" max="16132" width="7.7109375" style="12" customWidth="1"/>
    <col min="16133" max="16133" width="5.42578125" style="12" customWidth="1"/>
    <col min="16134" max="16134" width="9.28515625" style="12" customWidth="1"/>
    <col min="16135" max="16135" width="2.42578125" style="12" customWidth="1"/>
    <col min="16136" max="16139" width="9.140625" style="12"/>
    <col min="16140" max="16140" width="2" style="12" customWidth="1"/>
    <col min="16141" max="16142" width="9.140625" style="12"/>
    <col min="16143" max="16143" width="10.7109375" style="12" customWidth="1"/>
    <col min="16144" max="16384" width="9.140625" style="12"/>
  </cols>
  <sheetData>
    <row r="1" spans="1:16" ht="13.5" customHeight="1" x14ac:dyDescent="0.25">
      <c r="A1" s="46" t="s">
        <v>98</v>
      </c>
      <c r="B1" s="47"/>
      <c r="C1" s="47"/>
      <c r="D1" s="47"/>
      <c r="E1" s="10"/>
      <c r="F1" s="11" t="s">
        <v>99</v>
      </c>
      <c r="N1" s="13" t="s">
        <v>100</v>
      </c>
    </row>
    <row r="2" spans="1:16" ht="13.5" customHeight="1" x14ac:dyDescent="0.25">
      <c r="A2" s="14"/>
      <c r="B2" s="15" t="s">
        <v>101</v>
      </c>
      <c r="C2" s="16" t="s">
        <v>102</v>
      </c>
      <c r="D2" s="36">
        <v>5.1299999999999998E-2</v>
      </c>
      <c r="E2" s="10"/>
      <c r="F2" s="14" t="s">
        <v>103</v>
      </c>
      <c r="O2" s="13" t="s">
        <v>104</v>
      </c>
      <c r="P2" s="12">
        <f>(F4-F8)/(D4-D8)</f>
        <v>0.33613445378151263</v>
      </c>
    </row>
    <row r="3" spans="1:16" ht="13.5" customHeight="1" x14ac:dyDescent="0.25">
      <c r="A3" s="17"/>
      <c r="B3" s="17"/>
      <c r="C3" s="17"/>
      <c r="D3" s="18" t="s">
        <v>105</v>
      </c>
      <c r="E3" s="19"/>
      <c r="F3" s="20" t="s">
        <v>106</v>
      </c>
      <c r="O3" s="13" t="s">
        <v>107</v>
      </c>
      <c r="P3" s="12">
        <f>(1/(1+D2))*(F4-(P2*D4))</f>
        <v>-28.85583035649341</v>
      </c>
    </row>
    <row r="4" spans="1:16" ht="12.75" customHeight="1" x14ac:dyDescent="0.2">
      <c r="A4" s="17"/>
      <c r="B4" s="17"/>
      <c r="C4" s="17"/>
      <c r="D4" s="21">
        <v>120</v>
      </c>
      <c r="E4" s="19"/>
      <c r="F4" s="21">
        <v>10</v>
      </c>
    </row>
    <row r="5" spans="1:16" ht="14.25" customHeight="1" x14ac:dyDescent="0.25">
      <c r="A5" s="17"/>
      <c r="B5" s="18" t="s">
        <v>108</v>
      </c>
      <c r="C5" s="17"/>
      <c r="D5" s="17"/>
      <c r="E5" s="22"/>
      <c r="F5" s="22"/>
      <c r="O5" s="13" t="s">
        <v>109</v>
      </c>
      <c r="P5" s="12">
        <f>P2*B6+P3</f>
        <v>4.7576150216578519</v>
      </c>
    </row>
    <row r="6" spans="1:16" ht="14.25" customHeight="1" x14ac:dyDescent="0.2">
      <c r="A6" s="17"/>
      <c r="B6" s="23">
        <v>100</v>
      </c>
      <c r="C6" s="17"/>
      <c r="D6" s="17"/>
      <c r="E6" s="22"/>
      <c r="F6" s="22"/>
    </row>
    <row r="7" spans="1:16" ht="13.5" customHeight="1" x14ac:dyDescent="0.25">
      <c r="A7" s="17"/>
      <c r="B7" s="17"/>
      <c r="C7" s="17"/>
      <c r="D7" s="18" t="s">
        <v>110</v>
      </c>
      <c r="E7" s="19"/>
      <c r="F7" s="20" t="s">
        <v>111</v>
      </c>
    </row>
    <row r="8" spans="1:16" ht="13.5" customHeight="1" x14ac:dyDescent="0.2">
      <c r="A8" s="17"/>
      <c r="B8" s="17"/>
      <c r="C8" s="17"/>
      <c r="D8" s="21">
        <v>90.25</v>
      </c>
      <c r="E8" s="24"/>
      <c r="F8" s="23">
        <v>0</v>
      </c>
    </row>
    <row r="9" spans="1:16" ht="13.5" customHeight="1" x14ac:dyDescent="0.2"/>
    <row r="10" spans="1:16" ht="13.5" customHeight="1" x14ac:dyDescent="0.25">
      <c r="B10" s="46" t="s">
        <v>112</v>
      </c>
      <c r="C10" s="46"/>
      <c r="D10" s="46"/>
      <c r="E10" s="17"/>
      <c r="O10" s="12" t="s">
        <v>103</v>
      </c>
      <c r="P10" s="12">
        <f>EXP(-0.05)*((0.5001*10)+((1-0.5001)*0))</f>
        <v>4.7570983519280698</v>
      </c>
    </row>
    <row r="11" spans="1:16" ht="13.5" customHeight="1" x14ac:dyDescent="0.2">
      <c r="B11" s="48" t="s">
        <v>113</v>
      </c>
      <c r="C11" s="48"/>
      <c r="D11" s="48"/>
      <c r="E11" s="25" t="s">
        <v>102</v>
      </c>
      <c r="F11" s="26">
        <f>(F4-F8)/(D4-D8)</f>
        <v>0.33613445378151263</v>
      </c>
    </row>
    <row r="12" spans="1:16" ht="13.5" customHeight="1" x14ac:dyDescent="0.25">
      <c r="B12" s="48" t="s">
        <v>114</v>
      </c>
      <c r="C12" s="48"/>
      <c r="D12" s="48"/>
      <c r="E12" s="25" t="s">
        <v>102</v>
      </c>
      <c r="F12" s="17">
        <f>(1/(1+D2))*(F4-F11*D4)</f>
        <v>-28.85583035649341</v>
      </c>
      <c r="G12" s="27" t="s">
        <v>115</v>
      </c>
      <c r="O12" s="12" t="s">
        <v>118</v>
      </c>
      <c r="P12" s="29">
        <f>(F11*B6)/F14</f>
        <v>7.0651881720430225</v>
      </c>
    </row>
    <row r="13" spans="1:16" ht="13.5" customHeight="1" x14ac:dyDescent="0.25">
      <c r="O13" s="12" t="s">
        <v>119</v>
      </c>
      <c r="P13" s="29">
        <f>F12/F14</f>
        <v>-6.0651881720430225</v>
      </c>
    </row>
    <row r="14" spans="1:16" ht="13.5" customHeight="1" x14ac:dyDescent="0.2">
      <c r="B14" s="48" t="s">
        <v>103</v>
      </c>
      <c r="C14" s="48"/>
      <c r="D14" s="48"/>
      <c r="E14" s="17" t="s">
        <v>102</v>
      </c>
      <c r="F14" s="17">
        <f>F11*B6+F12</f>
        <v>4.7576150216578519</v>
      </c>
    </row>
    <row r="15" spans="1:16" x14ac:dyDescent="0.2">
      <c r="B15" s="48" t="s">
        <v>116</v>
      </c>
      <c r="C15" s="48"/>
      <c r="D15" s="48"/>
      <c r="E15" s="17" t="s">
        <v>102</v>
      </c>
      <c r="F15" s="28">
        <f>P12</f>
        <v>7.0651881720430225</v>
      </c>
      <c r="G15" s="45" t="s">
        <v>117</v>
      </c>
      <c r="H15" s="45"/>
      <c r="I15" s="45"/>
      <c r="O15" s="30">
        <f>D4</f>
        <v>120</v>
      </c>
      <c r="P15" s="12">
        <f>F4</f>
        <v>10</v>
      </c>
    </row>
    <row r="16" spans="1:16" x14ac:dyDescent="0.2">
      <c r="G16" s="17"/>
      <c r="H16" s="17"/>
      <c r="I16" s="17"/>
      <c r="O16" s="12">
        <f>D8</f>
        <v>90.25</v>
      </c>
      <c r="P16" s="12">
        <f>F8</f>
        <v>0</v>
      </c>
    </row>
    <row r="17" spans="15:16" x14ac:dyDescent="0.2">
      <c r="O17" s="12">
        <f>0</f>
        <v>0</v>
      </c>
      <c r="P17" s="12">
        <f>F12*(1+D2)</f>
        <v>-30.336134453781519</v>
      </c>
    </row>
    <row r="18" spans="15:16" ht="109.5" customHeight="1" x14ac:dyDescent="0.2"/>
  </sheetData>
  <mergeCells count="7">
    <mergeCell ref="G15:I15"/>
    <mergeCell ref="A1:D1"/>
    <mergeCell ref="B10:D10"/>
    <mergeCell ref="B11:D11"/>
    <mergeCell ref="B12:D12"/>
    <mergeCell ref="B14:D14"/>
    <mergeCell ref="B15:D15"/>
  </mergeCells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80D-78B2-4AAA-9A71-1C54C187BEFF}">
  <sheetPr codeName="Sheet1"/>
  <dimension ref="A2:AQ72"/>
  <sheetViews>
    <sheetView tabSelected="1" zoomScale="90" zoomScaleNormal="90" workbookViewId="0">
      <selection activeCell="G36" sqref="G36"/>
    </sheetView>
  </sheetViews>
  <sheetFormatPr defaultRowHeight="15" x14ac:dyDescent="0.25"/>
  <cols>
    <col min="1" max="1" width="33" customWidth="1"/>
  </cols>
  <sheetData>
    <row r="2" spans="1:39" x14ac:dyDescent="0.25">
      <c r="A2" s="38" t="s">
        <v>147</v>
      </c>
      <c r="B2" t="s">
        <v>148</v>
      </c>
      <c r="AM2" t="s">
        <v>180</v>
      </c>
    </row>
    <row r="3" spans="1:39" x14ac:dyDescent="0.25">
      <c r="AM3" t="s">
        <v>148</v>
      </c>
    </row>
    <row r="4" spans="1:39" x14ac:dyDescent="0.25">
      <c r="A4" s="49" t="s">
        <v>149</v>
      </c>
      <c r="B4" s="49"/>
      <c r="AM4" t="s">
        <v>176</v>
      </c>
    </row>
    <row r="5" spans="1:39" x14ac:dyDescent="0.25">
      <c r="A5" t="s">
        <v>150</v>
      </c>
      <c r="B5" s="50">
        <v>100</v>
      </c>
    </row>
    <row r="6" spans="1:39" x14ac:dyDescent="0.25">
      <c r="A6" t="s">
        <v>151</v>
      </c>
      <c r="B6" s="51">
        <v>0.5</v>
      </c>
      <c r="AM6" t="s">
        <v>181</v>
      </c>
    </row>
    <row r="7" spans="1:39" x14ac:dyDescent="0.25">
      <c r="A7" t="s">
        <v>152</v>
      </c>
      <c r="B7" s="51">
        <v>0</v>
      </c>
      <c r="AM7">
        <f>MATCH(inputs_OptionSelection,list_OptionSelection,0)</f>
        <v>1</v>
      </c>
    </row>
    <row r="8" spans="1:39" x14ac:dyDescent="0.25">
      <c r="A8" t="s">
        <v>153</v>
      </c>
      <c r="B8" s="51">
        <v>0.02</v>
      </c>
    </row>
    <row r="9" spans="1:39" x14ac:dyDescent="0.25">
      <c r="A9" t="s">
        <v>154</v>
      </c>
      <c r="B9" s="50">
        <v>100</v>
      </c>
    </row>
    <row r="10" spans="1:39" x14ac:dyDescent="0.25">
      <c r="A10" t="s">
        <v>155</v>
      </c>
      <c r="B10" s="50">
        <v>0.5</v>
      </c>
    </row>
    <row r="12" spans="1:39" x14ac:dyDescent="0.25">
      <c r="A12" t="s">
        <v>156</v>
      </c>
      <c r="B12" s="52" t="e">
        <f ca="1">B34</f>
        <v>#NAME?</v>
      </c>
    </row>
    <row r="13" spans="1:39" x14ac:dyDescent="0.25">
      <c r="A13" t="s">
        <v>157</v>
      </c>
      <c r="B13" s="52" t="e">
        <f ca="1">B36</f>
        <v>#NAME?</v>
      </c>
    </row>
    <row r="14" spans="1:39" x14ac:dyDescent="0.25">
      <c r="A14" t="s">
        <v>158</v>
      </c>
      <c r="B14" s="52" t="e">
        <f ca="1">B40</f>
        <v>#NAME?</v>
      </c>
    </row>
    <row r="15" spans="1:39" x14ac:dyDescent="0.25">
      <c r="B15" s="52"/>
    </row>
    <row r="16" spans="1:39" x14ac:dyDescent="0.25">
      <c r="B16" s="52"/>
    </row>
    <row r="17" spans="1:43" x14ac:dyDescent="0.25">
      <c r="B17" s="52"/>
    </row>
    <row r="18" spans="1:43" x14ac:dyDescent="0.25">
      <c r="B18" s="52"/>
    </row>
    <row r="19" spans="1:43" x14ac:dyDescent="0.25">
      <c r="B19" s="52"/>
    </row>
    <row r="20" spans="1:43" x14ac:dyDescent="0.25">
      <c r="B20" s="52"/>
    </row>
    <row r="21" spans="1:43" x14ac:dyDescent="0.25">
      <c r="B21" s="52"/>
    </row>
    <row r="22" spans="1:43" x14ac:dyDescent="0.25">
      <c r="B22" s="52"/>
    </row>
    <row r="23" spans="1:43" x14ac:dyDescent="0.25">
      <c r="B23" s="52"/>
    </row>
    <row r="24" spans="1:43" x14ac:dyDescent="0.25">
      <c r="B24" s="52"/>
    </row>
    <row r="25" spans="1:43" x14ac:dyDescent="0.25">
      <c r="B25" s="52"/>
    </row>
    <row r="27" spans="1:43" x14ac:dyDescent="0.25">
      <c r="A27" t="s">
        <v>159</v>
      </c>
    </row>
    <row r="28" spans="1:43" x14ac:dyDescent="0.25">
      <c r="A28" t="s">
        <v>160</v>
      </c>
      <c r="C28" s="52">
        <v>5</v>
      </c>
      <c r="D28" s="52">
        <f>C28+5</f>
        <v>10</v>
      </c>
      <c r="E28" s="52">
        <f t="shared" ref="E28:AQ28" si="0">D28+5</f>
        <v>15</v>
      </c>
      <c r="F28" s="52">
        <f t="shared" si="0"/>
        <v>20</v>
      </c>
      <c r="G28" s="52">
        <f t="shared" si="0"/>
        <v>25</v>
      </c>
      <c r="H28" s="52">
        <f t="shared" si="0"/>
        <v>30</v>
      </c>
      <c r="I28" s="52">
        <f t="shared" si="0"/>
        <v>35</v>
      </c>
      <c r="J28" s="52">
        <f t="shared" si="0"/>
        <v>40</v>
      </c>
      <c r="K28" s="52">
        <f t="shared" si="0"/>
        <v>45</v>
      </c>
      <c r="L28" s="52">
        <f t="shared" si="0"/>
        <v>50</v>
      </c>
      <c r="M28" s="52">
        <f t="shared" si="0"/>
        <v>55</v>
      </c>
      <c r="N28" s="52">
        <f t="shared" si="0"/>
        <v>60</v>
      </c>
      <c r="O28" s="52">
        <f t="shared" si="0"/>
        <v>65</v>
      </c>
      <c r="P28" s="52">
        <f t="shared" si="0"/>
        <v>70</v>
      </c>
      <c r="Q28" s="52">
        <f t="shared" si="0"/>
        <v>75</v>
      </c>
      <c r="R28" s="52">
        <f t="shared" si="0"/>
        <v>80</v>
      </c>
      <c r="S28" s="52">
        <f t="shared" si="0"/>
        <v>85</v>
      </c>
      <c r="T28" s="52">
        <f t="shared" si="0"/>
        <v>90</v>
      </c>
      <c r="U28" s="52">
        <f t="shared" si="0"/>
        <v>95</v>
      </c>
      <c r="V28" s="52">
        <f t="shared" si="0"/>
        <v>100</v>
      </c>
      <c r="W28" s="52">
        <f t="shared" si="0"/>
        <v>105</v>
      </c>
      <c r="X28" s="52">
        <f t="shared" si="0"/>
        <v>110</v>
      </c>
      <c r="Y28" s="52">
        <f t="shared" si="0"/>
        <v>115</v>
      </c>
      <c r="Z28" s="52">
        <f t="shared" si="0"/>
        <v>120</v>
      </c>
      <c r="AA28" s="52">
        <f t="shared" si="0"/>
        <v>125</v>
      </c>
      <c r="AB28" s="52">
        <f t="shared" si="0"/>
        <v>130</v>
      </c>
      <c r="AC28" s="52">
        <f t="shared" si="0"/>
        <v>135</v>
      </c>
      <c r="AD28" s="52">
        <f t="shared" si="0"/>
        <v>140</v>
      </c>
      <c r="AE28" s="52">
        <f t="shared" si="0"/>
        <v>145</v>
      </c>
      <c r="AF28" s="52">
        <f t="shared" si="0"/>
        <v>150</v>
      </c>
      <c r="AG28" s="52">
        <f t="shared" si="0"/>
        <v>155</v>
      </c>
      <c r="AH28" s="52">
        <f t="shared" si="0"/>
        <v>160</v>
      </c>
      <c r="AI28" s="52">
        <f t="shared" si="0"/>
        <v>165</v>
      </c>
      <c r="AJ28" s="52">
        <f t="shared" si="0"/>
        <v>170</v>
      </c>
      <c r="AK28" s="52">
        <f t="shared" si="0"/>
        <v>175</v>
      </c>
      <c r="AL28" s="52">
        <f t="shared" si="0"/>
        <v>180</v>
      </c>
      <c r="AM28" s="52">
        <f t="shared" si="0"/>
        <v>185</v>
      </c>
      <c r="AN28" s="52">
        <f t="shared" si="0"/>
        <v>190</v>
      </c>
      <c r="AO28" s="52">
        <f t="shared" si="0"/>
        <v>195</v>
      </c>
      <c r="AP28" s="52">
        <f t="shared" si="0"/>
        <v>200</v>
      </c>
      <c r="AQ28" s="52">
        <f t="shared" si="0"/>
        <v>205</v>
      </c>
    </row>
    <row r="29" spans="1:43" x14ac:dyDescent="0.25">
      <c r="A29" t="s">
        <v>161</v>
      </c>
      <c r="B29" t="e">
        <f t="shared" ref="B29:AQ29" ca="1" si="1">CHOOSE(ctrl_OptionSelectionNumber,B45,B61)</f>
        <v>#NAME?</v>
      </c>
      <c r="C29" t="e">
        <f t="shared" si="1"/>
        <v>#NAME?</v>
      </c>
      <c r="D29" t="e">
        <f t="shared" si="1"/>
        <v>#NAME?</v>
      </c>
      <c r="E29" t="e">
        <f t="shared" si="1"/>
        <v>#NAME?</v>
      </c>
      <c r="F29" t="e">
        <f t="shared" si="1"/>
        <v>#NAME?</v>
      </c>
      <c r="G29" t="e">
        <f t="shared" si="1"/>
        <v>#NAME?</v>
      </c>
      <c r="H29" t="e">
        <f t="shared" si="1"/>
        <v>#NAME?</v>
      </c>
      <c r="I29" t="e">
        <f t="shared" si="1"/>
        <v>#NAME?</v>
      </c>
      <c r="J29" t="e">
        <f t="shared" si="1"/>
        <v>#NAME?</v>
      </c>
      <c r="K29" t="e">
        <f t="shared" si="1"/>
        <v>#NAME?</v>
      </c>
      <c r="L29" t="e">
        <f t="shared" si="1"/>
        <v>#NAME?</v>
      </c>
      <c r="M29" t="e">
        <f t="shared" si="1"/>
        <v>#NAME?</v>
      </c>
      <c r="N29" t="e">
        <f t="shared" si="1"/>
        <v>#NAME?</v>
      </c>
      <c r="O29" t="e">
        <f t="shared" si="1"/>
        <v>#NAME?</v>
      </c>
      <c r="P29" t="e">
        <f t="shared" si="1"/>
        <v>#NAME?</v>
      </c>
      <c r="Q29" t="e">
        <f t="shared" si="1"/>
        <v>#NAME?</v>
      </c>
      <c r="R29" t="e">
        <f t="shared" si="1"/>
        <v>#NAME?</v>
      </c>
      <c r="S29" t="e">
        <f t="shared" si="1"/>
        <v>#NAME?</v>
      </c>
      <c r="T29" t="e">
        <f t="shared" si="1"/>
        <v>#NAME?</v>
      </c>
      <c r="U29" t="e">
        <f t="shared" si="1"/>
        <v>#NAME?</v>
      </c>
      <c r="V29" t="e">
        <f t="shared" si="1"/>
        <v>#NAME?</v>
      </c>
      <c r="W29" t="e">
        <f t="shared" si="1"/>
        <v>#NAME?</v>
      </c>
      <c r="X29" t="e">
        <f t="shared" si="1"/>
        <v>#NAME?</v>
      </c>
      <c r="Y29" t="e">
        <f t="shared" si="1"/>
        <v>#NAME?</v>
      </c>
      <c r="Z29" t="e">
        <f t="shared" si="1"/>
        <v>#NAME?</v>
      </c>
      <c r="AA29" t="e">
        <f t="shared" si="1"/>
        <v>#NAME?</v>
      </c>
      <c r="AB29" t="e">
        <f t="shared" si="1"/>
        <v>#NAME?</v>
      </c>
      <c r="AC29" t="e">
        <f t="shared" si="1"/>
        <v>#NAME?</v>
      </c>
      <c r="AD29" t="e">
        <f t="shared" si="1"/>
        <v>#NAME?</v>
      </c>
      <c r="AE29" t="e">
        <f t="shared" si="1"/>
        <v>#NAME?</v>
      </c>
      <c r="AF29" t="e">
        <f t="shared" si="1"/>
        <v>#NAME?</v>
      </c>
      <c r="AG29" t="e">
        <f t="shared" si="1"/>
        <v>#NAME?</v>
      </c>
      <c r="AH29" t="e">
        <f t="shared" si="1"/>
        <v>#NAME?</v>
      </c>
      <c r="AI29" t="e">
        <f t="shared" si="1"/>
        <v>#NAME?</v>
      </c>
      <c r="AJ29" t="e">
        <f>CHOOSE(ctrl_OptionSelectionNumber,AJ45,AJ61)</f>
        <v>#NAME?</v>
      </c>
      <c r="AK29" t="e">
        <f t="shared" si="1"/>
        <v>#NAME?</v>
      </c>
      <c r="AL29" t="e">
        <f t="shared" si="1"/>
        <v>#NAME?</v>
      </c>
      <c r="AM29" t="e">
        <f t="shared" si="1"/>
        <v>#NAME?</v>
      </c>
      <c r="AN29" t="e">
        <f t="shared" si="1"/>
        <v>#NAME?</v>
      </c>
      <c r="AO29" t="e">
        <f t="shared" si="1"/>
        <v>#NAME?</v>
      </c>
      <c r="AP29" t="e">
        <f t="shared" si="1"/>
        <v>#NAME?</v>
      </c>
      <c r="AQ29" t="e">
        <f t="shared" si="1"/>
        <v>#NAME?</v>
      </c>
    </row>
    <row r="30" spans="1:43" x14ac:dyDescent="0.25">
      <c r="A30" t="s">
        <v>162</v>
      </c>
      <c r="B30" t="e">
        <f t="shared" ref="B30:AQ30" ca="1" si="2">CHOOSE(ctrl_OptionSelectionNumber,B46,B62)</f>
        <v>#NAME?</v>
      </c>
      <c r="C30" t="e">
        <f t="shared" si="2"/>
        <v>#NAME?</v>
      </c>
      <c r="D30" t="e">
        <f t="shared" si="2"/>
        <v>#NAME?</v>
      </c>
      <c r="E30" t="e">
        <f t="shared" si="2"/>
        <v>#NAME?</v>
      </c>
      <c r="F30" t="e">
        <f t="shared" si="2"/>
        <v>#NAME?</v>
      </c>
      <c r="G30" t="e">
        <f t="shared" si="2"/>
        <v>#NAME?</v>
      </c>
      <c r="H30" t="e">
        <f t="shared" si="2"/>
        <v>#NAME?</v>
      </c>
      <c r="I30" t="e">
        <f t="shared" si="2"/>
        <v>#NAME?</v>
      </c>
      <c r="J30" t="e">
        <f t="shared" si="2"/>
        <v>#NAME?</v>
      </c>
      <c r="K30" t="e">
        <f t="shared" si="2"/>
        <v>#NAME?</v>
      </c>
      <c r="L30" t="e">
        <f t="shared" si="2"/>
        <v>#NAME?</v>
      </c>
      <c r="M30" t="e">
        <f t="shared" si="2"/>
        <v>#NAME?</v>
      </c>
      <c r="N30" t="e">
        <f t="shared" si="2"/>
        <v>#NAME?</v>
      </c>
      <c r="O30" t="e">
        <f t="shared" si="2"/>
        <v>#NAME?</v>
      </c>
      <c r="P30" t="e">
        <f t="shared" si="2"/>
        <v>#NAME?</v>
      </c>
      <c r="Q30" t="e">
        <f t="shared" si="2"/>
        <v>#NAME?</v>
      </c>
      <c r="R30" t="e">
        <f t="shared" si="2"/>
        <v>#NAME?</v>
      </c>
      <c r="S30" t="e">
        <f t="shared" si="2"/>
        <v>#NAME?</v>
      </c>
      <c r="T30" t="e">
        <f t="shared" si="2"/>
        <v>#NAME?</v>
      </c>
      <c r="U30" t="e">
        <f t="shared" si="2"/>
        <v>#NAME?</v>
      </c>
      <c r="V30" t="e">
        <f t="shared" si="2"/>
        <v>#NAME?</v>
      </c>
      <c r="W30" t="e">
        <f t="shared" si="2"/>
        <v>#NAME?</v>
      </c>
      <c r="X30" t="e">
        <f t="shared" si="2"/>
        <v>#NAME?</v>
      </c>
      <c r="Y30" t="e">
        <f t="shared" si="2"/>
        <v>#NAME?</v>
      </c>
      <c r="Z30" t="e">
        <f t="shared" si="2"/>
        <v>#NAME?</v>
      </c>
      <c r="AA30" t="e">
        <f t="shared" si="2"/>
        <v>#NAME?</v>
      </c>
      <c r="AB30" t="e">
        <f t="shared" si="2"/>
        <v>#NAME?</v>
      </c>
      <c r="AC30" t="e">
        <f t="shared" si="2"/>
        <v>#NAME?</v>
      </c>
      <c r="AD30" t="e">
        <f t="shared" si="2"/>
        <v>#NAME?</v>
      </c>
      <c r="AE30" t="e">
        <f t="shared" si="2"/>
        <v>#NAME?</v>
      </c>
      <c r="AF30" t="e">
        <f t="shared" si="2"/>
        <v>#NAME?</v>
      </c>
      <c r="AG30" t="e">
        <f t="shared" si="2"/>
        <v>#NAME?</v>
      </c>
      <c r="AH30" t="e">
        <f t="shared" si="2"/>
        <v>#NAME?</v>
      </c>
      <c r="AI30" t="e">
        <f t="shared" si="2"/>
        <v>#NAME?</v>
      </c>
      <c r="AJ30" t="e">
        <f t="shared" si="2"/>
        <v>#NAME?</v>
      </c>
      <c r="AK30" t="e">
        <f t="shared" si="2"/>
        <v>#NAME?</v>
      </c>
      <c r="AL30" t="e">
        <f t="shared" si="2"/>
        <v>#NAME?</v>
      </c>
      <c r="AM30" t="e">
        <f t="shared" si="2"/>
        <v>#NAME?</v>
      </c>
      <c r="AN30" t="e">
        <f t="shared" si="2"/>
        <v>#NAME?</v>
      </c>
      <c r="AO30" t="e">
        <f t="shared" si="2"/>
        <v>#NAME?</v>
      </c>
      <c r="AP30" t="e">
        <f t="shared" si="2"/>
        <v>#NAME?</v>
      </c>
      <c r="AQ30" t="e">
        <f t="shared" si="2"/>
        <v>#NAME?</v>
      </c>
    </row>
    <row r="31" spans="1:43" x14ac:dyDescent="0.25">
      <c r="A31" t="s">
        <v>163</v>
      </c>
      <c r="B31" t="e">
        <f t="shared" ref="B31:AQ31" ca="1" si="3">CHOOSE(ctrl_OptionSelectionNumber,B47,B63)</f>
        <v>#NAME?</v>
      </c>
      <c r="C31" t="e">
        <f t="shared" si="3"/>
        <v>#NAME?</v>
      </c>
      <c r="D31" t="e">
        <f t="shared" si="3"/>
        <v>#NAME?</v>
      </c>
      <c r="E31" t="e">
        <f t="shared" si="3"/>
        <v>#NAME?</v>
      </c>
      <c r="F31" t="e">
        <f t="shared" si="3"/>
        <v>#NAME?</v>
      </c>
      <c r="G31" t="e">
        <f t="shared" si="3"/>
        <v>#NAME?</v>
      </c>
      <c r="H31" t="e">
        <f t="shared" si="3"/>
        <v>#NAME?</v>
      </c>
      <c r="I31" t="e">
        <f t="shared" si="3"/>
        <v>#NAME?</v>
      </c>
      <c r="J31" t="e">
        <f t="shared" si="3"/>
        <v>#NAME?</v>
      </c>
      <c r="K31" t="e">
        <f t="shared" si="3"/>
        <v>#NAME?</v>
      </c>
      <c r="L31" t="e">
        <f t="shared" si="3"/>
        <v>#NAME?</v>
      </c>
      <c r="M31" t="e">
        <f t="shared" si="3"/>
        <v>#NAME?</v>
      </c>
      <c r="N31" t="e">
        <f t="shared" si="3"/>
        <v>#NAME?</v>
      </c>
      <c r="O31" t="e">
        <f t="shared" si="3"/>
        <v>#NAME?</v>
      </c>
      <c r="P31" t="e">
        <f t="shared" si="3"/>
        <v>#NAME?</v>
      </c>
      <c r="Q31" t="e">
        <f t="shared" si="3"/>
        <v>#NAME?</v>
      </c>
      <c r="R31" t="e">
        <f t="shared" si="3"/>
        <v>#NAME?</v>
      </c>
      <c r="S31" t="e">
        <f t="shared" si="3"/>
        <v>#NAME?</v>
      </c>
      <c r="T31" t="e">
        <f t="shared" si="3"/>
        <v>#NAME?</v>
      </c>
      <c r="U31" t="e">
        <f t="shared" si="3"/>
        <v>#NAME?</v>
      </c>
      <c r="V31" t="e">
        <f t="shared" si="3"/>
        <v>#NAME?</v>
      </c>
      <c r="W31" t="e">
        <f t="shared" si="3"/>
        <v>#NAME?</v>
      </c>
      <c r="X31" t="e">
        <f t="shared" si="3"/>
        <v>#NAME?</v>
      </c>
      <c r="Y31" t="e">
        <f t="shared" si="3"/>
        <v>#NAME?</v>
      </c>
      <c r="Z31" t="e">
        <f t="shared" si="3"/>
        <v>#NAME?</v>
      </c>
      <c r="AA31" t="e">
        <f t="shared" si="3"/>
        <v>#NAME?</v>
      </c>
      <c r="AB31" t="e">
        <f t="shared" si="3"/>
        <v>#NAME?</v>
      </c>
      <c r="AC31" t="e">
        <f t="shared" si="3"/>
        <v>#NAME?</v>
      </c>
      <c r="AD31" t="e">
        <f t="shared" si="3"/>
        <v>#NAME?</v>
      </c>
      <c r="AE31" t="e">
        <f t="shared" si="3"/>
        <v>#NAME?</v>
      </c>
      <c r="AF31" t="e">
        <f t="shared" si="3"/>
        <v>#NAME?</v>
      </c>
      <c r="AG31" t="e">
        <f t="shared" si="3"/>
        <v>#NAME?</v>
      </c>
      <c r="AH31" t="e">
        <f t="shared" si="3"/>
        <v>#NAME?</v>
      </c>
      <c r="AI31" t="e">
        <f t="shared" si="3"/>
        <v>#NAME?</v>
      </c>
      <c r="AJ31" t="e">
        <f t="shared" si="3"/>
        <v>#NAME?</v>
      </c>
      <c r="AK31" t="e">
        <f t="shared" si="3"/>
        <v>#NAME?</v>
      </c>
      <c r="AL31" t="e">
        <f t="shared" si="3"/>
        <v>#NAME?</v>
      </c>
      <c r="AM31" t="e">
        <f t="shared" si="3"/>
        <v>#NAME?</v>
      </c>
      <c r="AN31" t="e">
        <f t="shared" si="3"/>
        <v>#NAME?</v>
      </c>
      <c r="AO31" t="e">
        <f t="shared" si="3"/>
        <v>#NAME?</v>
      </c>
      <c r="AP31" t="e">
        <f t="shared" si="3"/>
        <v>#NAME?</v>
      </c>
      <c r="AQ31" t="e">
        <f t="shared" si="3"/>
        <v>#NAME?</v>
      </c>
    </row>
    <row r="32" spans="1:43" x14ac:dyDescent="0.25">
      <c r="A32" t="s">
        <v>164</v>
      </c>
      <c r="C32">
        <f t="shared" ref="C32:AQ32" si="4">CHOOSE(ctrl_OptionSelectionNumber,C48,C64)</f>
        <v>0</v>
      </c>
      <c r="D32">
        <f t="shared" si="4"/>
        <v>0</v>
      </c>
      <c r="E32">
        <f t="shared" si="4"/>
        <v>0</v>
      </c>
      <c r="F32">
        <f t="shared" si="4"/>
        <v>0</v>
      </c>
      <c r="G32">
        <f t="shared" si="4"/>
        <v>0</v>
      </c>
      <c r="H32">
        <f t="shared" si="4"/>
        <v>0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4"/>
        <v>0</v>
      </c>
      <c r="T32">
        <f t="shared" si="4"/>
        <v>0</v>
      </c>
      <c r="U32">
        <f t="shared" si="4"/>
        <v>0</v>
      </c>
      <c r="V32">
        <f t="shared" si="4"/>
        <v>0</v>
      </c>
      <c r="W32">
        <f t="shared" si="4"/>
        <v>5</v>
      </c>
      <c r="X32">
        <f t="shared" si="4"/>
        <v>10</v>
      </c>
      <c r="Y32">
        <f t="shared" si="4"/>
        <v>15</v>
      </c>
      <c r="Z32">
        <f t="shared" si="4"/>
        <v>20</v>
      </c>
      <c r="AA32">
        <f t="shared" si="4"/>
        <v>25</v>
      </c>
      <c r="AB32">
        <f t="shared" si="4"/>
        <v>30</v>
      </c>
      <c r="AC32">
        <f t="shared" si="4"/>
        <v>35</v>
      </c>
      <c r="AD32">
        <f t="shared" si="4"/>
        <v>40</v>
      </c>
      <c r="AE32">
        <f t="shared" si="4"/>
        <v>45</v>
      </c>
      <c r="AF32">
        <f t="shared" si="4"/>
        <v>50</v>
      </c>
      <c r="AG32">
        <f t="shared" si="4"/>
        <v>55</v>
      </c>
      <c r="AH32">
        <f t="shared" si="4"/>
        <v>60</v>
      </c>
      <c r="AI32">
        <f t="shared" si="4"/>
        <v>65</v>
      </c>
      <c r="AJ32">
        <f t="shared" si="4"/>
        <v>70</v>
      </c>
      <c r="AK32">
        <f t="shared" si="4"/>
        <v>75</v>
      </c>
      <c r="AL32">
        <f t="shared" si="4"/>
        <v>80</v>
      </c>
      <c r="AM32">
        <f t="shared" si="4"/>
        <v>85</v>
      </c>
      <c r="AN32">
        <f t="shared" si="4"/>
        <v>90</v>
      </c>
      <c r="AO32">
        <f t="shared" si="4"/>
        <v>95</v>
      </c>
      <c r="AP32">
        <f t="shared" si="4"/>
        <v>100</v>
      </c>
      <c r="AQ32">
        <f t="shared" si="4"/>
        <v>105</v>
      </c>
    </row>
    <row r="33" spans="1:43" x14ac:dyDescent="0.25">
      <c r="A33" t="s">
        <v>165</v>
      </c>
      <c r="B33">
        <f t="shared" ref="B33:B40" si="5">CHOOSE(ctrl_OptionSelectionNumber,B49,B65)</f>
        <v>100</v>
      </c>
    </row>
    <row r="34" spans="1:43" x14ac:dyDescent="0.25">
      <c r="A34" t="s">
        <v>166</v>
      </c>
      <c r="B34" t="e">
        <f t="shared" ca="1" si="5"/>
        <v>#NAME?</v>
      </c>
    </row>
    <row r="35" spans="1:43" x14ac:dyDescent="0.25">
      <c r="A35" t="s">
        <v>167</v>
      </c>
      <c r="B35">
        <f t="shared" si="5"/>
        <v>100</v>
      </c>
    </row>
    <row r="36" spans="1:43" x14ac:dyDescent="0.25">
      <c r="A36" t="s">
        <v>168</v>
      </c>
      <c r="B36" t="e">
        <f t="shared" ca="1" si="5"/>
        <v>#NAME?</v>
      </c>
    </row>
    <row r="37" spans="1:43" x14ac:dyDescent="0.25">
      <c r="A37" t="s">
        <v>169</v>
      </c>
      <c r="B37">
        <f t="shared" si="5"/>
        <v>60</v>
      </c>
      <c r="C37">
        <f t="shared" ref="C37:F38" si="6">CHOOSE(ctrl_OptionSelectionNumber,C53,C69)</f>
        <v>80</v>
      </c>
      <c r="D37">
        <f t="shared" si="6"/>
        <v>100</v>
      </c>
      <c r="E37">
        <f t="shared" si="6"/>
        <v>120</v>
      </c>
      <c r="F37">
        <f t="shared" si="6"/>
        <v>140</v>
      </c>
    </row>
    <row r="38" spans="1:43" x14ac:dyDescent="0.25">
      <c r="A38" t="s">
        <v>170</v>
      </c>
      <c r="B38" t="e">
        <f t="shared" ca="1" si="5"/>
        <v>#NAME?</v>
      </c>
      <c r="C38" t="e">
        <f t="shared" ca="1" si="6"/>
        <v>#NAME?</v>
      </c>
      <c r="D38" t="e">
        <f t="shared" ca="1" si="6"/>
        <v>#NAME?</v>
      </c>
      <c r="E38" t="e">
        <f t="shared" ca="1" si="6"/>
        <v>#NAME?</v>
      </c>
      <c r="F38" t="e">
        <f t="shared" ca="1" si="6"/>
        <v>#NAME?</v>
      </c>
    </row>
    <row r="39" spans="1:43" x14ac:dyDescent="0.25">
      <c r="A39" t="s">
        <v>171</v>
      </c>
      <c r="B39">
        <f t="shared" si="5"/>
        <v>100</v>
      </c>
    </row>
    <row r="40" spans="1:43" x14ac:dyDescent="0.25">
      <c r="A40" t="s">
        <v>172</v>
      </c>
      <c r="B40" t="e">
        <f t="shared" ca="1" si="5"/>
        <v>#NAME?</v>
      </c>
    </row>
    <row r="43" spans="1:43" x14ac:dyDescent="0.25">
      <c r="A43" t="s">
        <v>148</v>
      </c>
    </row>
    <row r="44" spans="1:43" x14ac:dyDescent="0.25">
      <c r="A44" t="s">
        <v>160</v>
      </c>
      <c r="C44" s="52">
        <v>5</v>
      </c>
      <c r="D44" s="52">
        <f>C44+5</f>
        <v>10</v>
      </c>
      <c r="E44" s="52">
        <f t="shared" ref="E44:AQ44" si="7">D44+5</f>
        <v>15</v>
      </c>
      <c r="F44" s="52">
        <f t="shared" si="7"/>
        <v>20</v>
      </c>
      <c r="G44" s="52">
        <f t="shared" si="7"/>
        <v>25</v>
      </c>
      <c r="H44" s="52">
        <f t="shared" si="7"/>
        <v>30</v>
      </c>
      <c r="I44" s="52">
        <f t="shared" si="7"/>
        <v>35</v>
      </c>
      <c r="J44" s="52">
        <f t="shared" si="7"/>
        <v>40</v>
      </c>
      <c r="K44" s="52">
        <f t="shared" si="7"/>
        <v>45</v>
      </c>
      <c r="L44" s="52">
        <f t="shared" si="7"/>
        <v>50</v>
      </c>
      <c r="M44" s="52">
        <f t="shared" si="7"/>
        <v>55</v>
      </c>
      <c r="N44" s="52">
        <f t="shared" si="7"/>
        <v>60</v>
      </c>
      <c r="O44" s="52">
        <f t="shared" si="7"/>
        <v>65</v>
      </c>
      <c r="P44" s="52">
        <f t="shared" si="7"/>
        <v>70</v>
      </c>
      <c r="Q44" s="52">
        <f t="shared" si="7"/>
        <v>75</v>
      </c>
      <c r="R44" s="52">
        <f t="shared" si="7"/>
        <v>80</v>
      </c>
      <c r="S44" s="52">
        <f t="shared" si="7"/>
        <v>85</v>
      </c>
      <c r="T44" s="52">
        <f t="shared" si="7"/>
        <v>90</v>
      </c>
      <c r="U44" s="52">
        <f t="shared" si="7"/>
        <v>95</v>
      </c>
      <c r="V44" s="52">
        <f t="shared" si="7"/>
        <v>100</v>
      </c>
      <c r="W44" s="52">
        <f t="shared" si="7"/>
        <v>105</v>
      </c>
      <c r="X44" s="52">
        <f t="shared" si="7"/>
        <v>110</v>
      </c>
      <c r="Y44" s="52">
        <f t="shared" si="7"/>
        <v>115</v>
      </c>
      <c r="Z44" s="52">
        <f t="shared" si="7"/>
        <v>120</v>
      </c>
      <c r="AA44" s="52">
        <f t="shared" si="7"/>
        <v>125</v>
      </c>
      <c r="AB44" s="52">
        <f t="shared" si="7"/>
        <v>130</v>
      </c>
      <c r="AC44" s="52">
        <f t="shared" si="7"/>
        <v>135</v>
      </c>
      <c r="AD44" s="52">
        <f t="shared" si="7"/>
        <v>140</v>
      </c>
      <c r="AE44" s="52">
        <f t="shared" si="7"/>
        <v>145</v>
      </c>
      <c r="AF44" s="52">
        <f t="shared" si="7"/>
        <v>150</v>
      </c>
      <c r="AG44" s="52">
        <f t="shared" si="7"/>
        <v>155</v>
      </c>
      <c r="AH44" s="52">
        <f t="shared" si="7"/>
        <v>160</v>
      </c>
      <c r="AI44" s="52">
        <f t="shared" si="7"/>
        <v>165</v>
      </c>
      <c r="AJ44" s="52">
        <f t="shared" si="7"/>
        <v>170</v>
      </c>
      <c r="AK44" s="52">
        <f t="shared" si="7"/>
        <v>175</v>
      </c>
      <c r="AL44" s="52">
        <f t="shared" si="7"/>
        <v>180</v>
      </c>
      <c r="AM44" s="52">
        <f t="shared" si="7"/>
        <v>185</v>
      </c>
      <c r="AN44" s="52">
        <f t="shared" si="7"/>
        <v>190</v>
      </c>
      <c r="AO44" s="52">
        <f t="shared" si="7"/>
        <v>195</v>
      </c>
      <c r="AP44" s="52">
        <f t="shared" si="7"/>
        <v>200</v>
      </c>
      <c r="AQ44" s="52">
        <f t="shared" si="7"/>
        <v>205</v>
      </c>
    </row>
    <row r="45" spans="1:43" x14ac:dyDescent="0.25">
      <c r="A45" t="s">
        <v>173</v>
      </c>
      <c r="B45" s="52" t="e">
        <f ca="1">BSCall(B5,B6,B7,B8,B9,B10)</f>
        <v>#NAME?</v>
      </c>
      <c r="C45" t="e">
        <f t="dataTable" ref="C45:AQ47" dt2D="0" dtr="1" r1="B5" ca="1"/>
        <v>#NAME?</v>
      </c>
      <c r="D45" t="e">
        <v>#NAME?</v>
      </c>
      <c r="E45" t="e">
        <v>#NAME?</v>
      </c>
      <c r="F45" t="e">
        <v>#NAME?</v>
      </c>
      <c r="G45" t="e">
        <v>#NAME?</v>
      </c>
      <c r="H45" t="e">
        <v>#NAME?</v>
      </c>
      <c r="I45" t="e">
        <v>#NAME?</v>
      </c>
      <c r="J45" t="e">
        <v>#NAME?</v>
      </c>
      <c r="K45" t="e">
        <v>#NAME?</v>
      </c>
      <c r="L45" t="e">
        <v>#NAME?</v>
      </c>
      <c r="M45" t="e">
        <v>#NAME?</v>
      </c>
      <c r="N45" t="e">
        <v>#NAME?</v>
      </c>
      <c r="O45" t="e">
        <v>#NAME?</v>
      </c>
      <c r="P45" t="e">
        <v>#NAME?</v>
      </c>
      <c r="Q45" t="e">
        <v>#NAME?</v>
      </c>
      <c r="R45" t="e">
        <v>#NAME?</v>
      </c>
      <c r="S45" t="e">
        <v>#NAME?</v>
      </c>
      <c r="T45" t="e">
        <v>#NAME?</v>
      </c>
      <c r="U45" t="e">
        <v>#NAME?</v>
      </c>
      <c r="V45" t="e">
        <v>#NAME?</v>
      </c>
      <c r="W45" t="e">
        <v>#NAME?</v>
      </c>
      <c r="X45" t="e">
        <v>#NAME?</v>
      </c>
      <c r="Y45" t="e">
        <v>#NAME?</v>
      </c>
      <c r="Z45" t="e">
        <v>#NAME?</v>
      </c>
      <c r="AA45" t="e">
        <v>#NAME?</v>
      </c>
      <c r="AB45" t="e">
        <v>#NAME?</v>
      </c>
      <c r="AC45" t="e">
        <v>#NAME?</v>
      </c>
      <c r="AD45" t="e">
        <v>#NAME?</v>
      </c>
      <c r="AE45" t="e">
        <v>#NAME?</v>
      </c>
      <c r="AF45" t="e">
        <v>#NAME?</v>
      </c>
      <c r="AG45" t="e">
        <v>#NAME?</v>
      </c>
      <c r="AH45" t="e">
        <v>#NAME?</v>
      </c>
      <c r="AI45" t="e">
        <v>#NAME?</v>
      </c>
      <c r="AJ45" t="e">
        <v>#NAME?</v>
      </c>
      <c r="AK45" t="e">
        <v>#NAME?</v>
      </c>
      <c r="AL45" t="e">
        <v>#NAME?</v>
      </c>
      <c r="AM45" t="e">
        <v>#NAME?</v>
      </c>
      <c r="AN45" t="e">
        <v>#NAME?</v>
      </c>
      <c r="AO45" t="e">
        <v>#NAME?</v>
      </c>
      <c r="AP45" t="e">
        <v>#NAME?</v>
      </c>
      <c r="AQ45" t="e">
        <v>#NAME?</v>
      </c>
    </row>
    <row r="46" spans="1:43" x14ac:dyDescent="0.25">
      <c r="A46" t="s">
        <v>174</v>
      </c>
      <c r="B46" s="52" t="e">
        <f ca="1">BSCallDelta(B5,B6,B7,B8,B9,B10)</f>
        <v>#NAME?</v>
      </c>
      <c r="C46" t="e">
        <v>#NAME?</v>
      </c>
      <c r="D46" t="e">
        <v>#NAME?</v>
      </c>
      <c r="E46" t="e">
        <v>#NAME?</v>
      </c>
      <c r="F46" t="e">
        <v>#NAME?</v>
      </c>
      <c r="G46" t="e">
        <v>#NAME?</v>
      </c>
      <c r="H46" t="e">
        <v>#NAME?</v>
      </c>
      <c r="I46" t="e">
        <v>#NAME?</v>
      </c>
      <c r="J46" t="e">
        <v>#NAME?</v>
      </c>
      <c r="K46" t="e">
        <v>#NAME?</v>
      </c>
      <c r="L46" t="e">
        <v>#NAME?</v>
      </c>
      <c r="M46" t="e">
        <v>#NAME?</v>
      </c>
      <c r="N46" t="e">
        <v>#NAME?</v>
      </c>
      <c r="O46" t="e">
        <v>#NAME?</v>
      </c>
      <c r="P46" t="e">
        <v>#NAME?</v>
      </c>
      <c r="Q46" t="e">
        <v>#NAME?</v>
      </c>
      <c r="R46" t="e">
        <v>#NAME?</v>
      </c>
      <c r="S46" t="e">
        <v>#NAME?</v>
      </c>
      <c r="T46" t="e">
        <v>#NAME?</v>
      </c>
      <c r="U46" t="e">
        <v>#NAME?</v>
      </c>
      <c r="V46" t="e">
        <v>#NAME?</v>
      </c>
      <c r="W46" t="e">
        <v>#NAME?</v>
      </c>
      <c r="X46" t="e">
        <v>#NAME?</v>
      </c>
      <c r="Y46" t="e">
        <v>#NAME?</v>
      </c>
      <c r="Z46" t="e">
        <v>#NAME?</v>
      </c>
      <c r="AA46" t="e">
        <v>#NAME?</v>
      </c>
      <c r="AB46" t="e">
        <v>#NAME?</v>
      </c>
      <c r="AC46" t="e">
        <v>#NAME?</v>
      </c>
      <c r="AD46" t="e">
        <v>#NAME?</v>
      </c>
      <c r="AE46" t="e">
        <v>#NAME?</v>
      </c>
      <c r="AF46" t="e">
        <v>#NAME?</v>
      </c>
      <c r="AG46" t="e">
        <v>#NAME?</v>
      </c>
      <c r="AH46" t="e">
        <v>#NAME?</v>
      </c>
      <c r="AI46" t="e">
        <v>#NAME?</v>
      </c>
      <c r="AJ46" t="e">
        <v>#NAME?</v>
      </c>
      <c r="AK46" t="e">
        <v>#NAME?</v>
      </c>
      <c r="AL46" t="e">
        <v>#NAME?</v>
      </c>
      <c r="AM46" t="e">
        <v>#NAME?</v>
      </c>
      <c r="AN46" t="e">
        <v>#NAME?</v>
      </c>
      <c r="AO46" t="e">
        <v>#NAME?</v>
      </c>
      <c r="AP46" t="e">
        <v>#NAME?</v>
      </c>
      <c r="AQ46" t="e">
        <v>#NAME?</v>
      </c>
    </row>
    <row r="47" spans="1:43" x14ac:dyDescent="0.25">
      <c r="A47" t="s">
        <v>175</v>
      </c>
      <c r="B47" s="52" t="e">
        <f ca="1">BSGamma(B5,B6,B7,B8,B9,B10)</f>
        <v>#NAME?</v>
      </c>
      <c r="C47" t="e">
        <v>#NAME?</v>
      </c>
      <c r="D47" t="e">
        <v>#NAME?</v>
      </c>
      <c r="E47" t="e">
        <v>#NAME?</v>
      </c>
      <c r="F47" t="e">
        <v>#NAME?</v>
      </c>
      <c r="G47" t="e">
        <v>#NAME?</v>
      </c>
      <c r="H47" t="e">
        <v>#NAME?</v>
      </c>
      <c r="I47" t="e">
        <v>#NAME?</v>
      </c>
      <c r="J47" t="e">
        <v>#NAME?</v>
      </c>
      <c r="K47" t="e">
        <v>#NAME?</v>
      </c>
      <c r="L47" t="e">
        <v>#NAME?</v>
      </c>
      <c r="M47" t="e">
        <v>#NAME?</v>
      </c>
      <c r="N47" t="e">
        <v>#NAME?</v>
      </c>
      <c r="O47" t="e">
        <v>#NAME?</v>
      </c>
      <c r="P47" t="e">
        <v>#NAME?</v>
      </c>
      <c r="Q47" t="e">
        <v>#NAME?</v>
      </c>
      <c r="R47" t="e">
        <v>#NAME?</v>
      </c>
      <c r="S47" t="e">
        <v>#NAME?</v>
      </c>
      <c r="T47" t="e">
        <v>#NAME?</v>
      </c>
      <c r="U47" t="e">
        <v>#NAME?</v>
      </c>
      <c r="V47" t="e">
        <v>#NAME?</v>
      </c>
      <c r="W47" t="e">
        <v>#NAME?</v>
      </c>
      <c r="X47" t="e">
        <v>#NAME?</v>
      </c>
      <c r="Y47" t="e">
        <v>#NAME?</v>
      </c>
      <c r="Z47" t="e">
        <v>#NAME?</v>
      </c>
      <c r="AA47" t="e">
        <v>#NAME?</v>
      </c>
      <c r="AB47" t="e">
        <v>#NAME?</v>
      </c>
      <c r="AC47" t="e">
        <v>#NAME?</v>
      </c>
      <c r="AD47" t="e">
        <v>#NAME?</v>
      </c>
      <c r="AE47" t="e">
        <v>#NAME?</v>
      </c>
      <c r="AF47" t="e">
        <v>#NAME?</v>
      </c>
      <c r="AG47" t="e">
        <v>#NAME?</v>
      </c>
      <c r="AH47" t="e">
        <v>#NAME?</v>
      </c>
      <c r="AI47" t="e">
        <v>#NAME?</v>
      </c>
      <c r="AJ47" t="e">
        <v>#NAME?</v>
      </c>
      <c r="AK47" t="e">
        <v>#NAME?</v>
      </c>
      <c r="AL47" t="e">
        <v>#NAME?</v>
      </c>
      <c r="AM47" t="e">
        <v>#NAME?</v>
      </c>
      <c r="AN47" t="e">
        <v>#NAME?</v>
      </c>
      <c r="AO47" t="e">
        <v>#NAME?</v>
      </c>
      <c r="AP47" t="e">
        <v>#NAME?</v>
      </c>
      <c r="AQ47" t="e">
        <v>#NAME?</v>
      </c>
    </row>
    <row r="48" spans="1:43" x14ac:dyDescent="0.25">
      <c r="A48" t="s">
        <v>164</v>
      </c>
      <c r="B48" s="52"/>
      <c r="C48" s="52">
        <f>MAX(C44-$B$9, 0)</f>
        <v>0</v>
      </c>
      <c r="D48" s="52">
        <f t="shared" ref="D48:AQ48" si="8">MAX(D44-$B$9, 0)</f>
        <v>0</v>
      </c>
      <c r="E48" s="52">
        <f t="shared" si="8"/>
        <v>0</v>
      </c>
      <c r="F48" s="52">
        <f t="shared" si="8"/>
        <v>0</v>
      </c>
      <c r="G48" s="52">
        <f t="shared" si="8"/>
        <v>0</v>
      </c>
      <c r="H48" s="52">
        <f t="shared" si="8"/>
        <v>0</v>
      </c>
      <c r="I48" s="52">
        <f t="shared" si="8"/>
        <v>0</v>
      </c>
      <c r="J48" s="52">
        <f t="shared" si="8"/>
        <v>0</v>
      </c>
      <c r="K48" s="52">
        <f t="shared" si="8"/>
        <v>0</v>
      </c>
      <c r="L48" s="52">
        <f t="shared" si="8"/>
        <v>0</v>
      </c>
      <c r="M48" s="52">
        <f t="shared" si="8"/>
        <v>0</v>
      </c>
      <c r="N48" s="52">
        <f t="shared" si="8"/>
        <v>0</v>
      </c>
      <c r="O48" s="52">
        <f t="shared" si="8"/>
        <v>0</v>
      </c>
      <c r="P48" s="52">
        <f t="shared" si="8"/>
        <v>0</v>
      </c>
      <c r="Q48" s="52">
        <f t="shared" si="8"/>
        <v>0</v>
      </c>
      <c r="R48" s="52">
        <f t="shared" si="8"/>
        <v>0</v>
      </c>
      <c r="S48" s="52">
        <f t="shared" si="8"/>
        <v>0</v>
      </c>
      <c r="T48" s="52">
        <f t="shared" si="8"/>
        <v>0</v>
      </c>
      <c r="U48" s="52">
        <f t="shared" si="8"/>
        <v>0</v>
      </c>
      <c r="V48" s="52">
        <f t="shared" si="8"/>
        <v>0</v>
      </c>
      <c r="W48" s="52">
        <f t="shared" si="8"/>
        <v>5</v>
      </c>
      <c r="X48" s="52">
        <f t="shared" si="8"/>
        <v>10</v>
      </c>
      <c r="Y48" s="52">
        <f t="shared" si="8"/>
        <v>15</v>
      </c>
      <c r="Z48" s="52">
        <f t="shared" si="8"/>
        <v>20</v>
      </c>
      <c r="AA48" s="52">
        <f t="shared" si="8"/>
        <v>25</v>
      </c>
      <c r="AB48" s="52">
        <f t="shared" si="8"/>
        <v>30</v>
      </c>
      <c r="AC48" s="52">
        <f t="shared" si="8"/>
        <v>35</v>
      </c>
      <c r="AD48" s="52">
        <f t="shared" si="8"/>
        <v>40</v>
      </c>
      <c r="AE48" s="52">
        <f t="shared" si="8"/>
        <v>45</v>
      </c>
      <c r="AF48" s="52">
        <f t="shared" si="8"/>
        <v>50</v>
      </c>
      <c r="AG48" s="52">
        <f t="shared" si="8"/>
        <v>55</v>
      </c>
      <c r="AH48" s="52">
        <f t="shared" si="8"/>
        <v>60</v>
      </c>
      <c r="AI48" s="52">
        <f t="shared" si="8"/>
        <v>65</v>
      </c>
      <c r="AJ48" s="52">
        <f t="shared" si="8"/>
        <v>70</v>
      </c>
      <c r="AK48" s="52">
        <f t="shared" si="8"/>
        <v>75</v>
      </c>
      <c r="AL48" s="52">
        <f t="shared" si="8"/>
        <v>80</v>
      </c>
      <c r="AM48" s="52">
        <f t="shared" si="8"/>
        <v>85</v>
      </c>
      <c r="AN48" s="52">
        <f t="shared" si="8"/>
        <v>90</v>
      </c>
      <c r="AO48" s="52">
        <f t="shared" si="8"/>
        <v>95</v>
      </c>
      <c r="AP48" s="52">
        <f t="shared" si="8"/>
        <v>100</v>
      </c>
      <c r="AQ48" s="52">
        <f t="shared" si="8"/>
        <v>105</v>
      </c>
    </row>
    <row r="49" spans="1:43" x14ac:dyDescent="0.25">
      <c r="A49" t="s">
        <v>165</v>
      </c>
      <c r="B49" s="52">
        <f>B5</f>
        <v>100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</row>
    <row r="50" spans="1:43" x14ac:dyDescent="0.25">
      <c r="A50" t="s">
        <v>166</v>
      </c>
      <c r="B50" s="52" t="e">
        <f ca="1">BSCall(B5,B6,B7,B8,B9,B10)</f>
        <v>#NAME?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</row>
    <row r="51" spans="1:43" x14ac:dyDescent="0.25">
      <c r="A51" t="s">
        <v>167</v>
      </c>
      <c r="B51" s="52">
        <f>B5</f>
        <v>100</v>
      </c>
    </row>
    <row r="52" spans="1:43" x14ac:dyDescent="0.25">
      <c r="A52" t="s">
        <v>168</v>
      </c>
      <c r="B52" t="e">
        <f ca="1">BSCallDelta(B5,B6,B7,B8,B9,B10)</f>
        <v>#NAME?</v>
      </c>
    </row>
    <row r="53" spans="1:43" x14ac:dyDescent="0.25">
      <c r="A53" t="s">
        <v>169</v>
      </c>
      <c r="B53" s="52">
        <f>D53-40</f>
        <v>60</v>
      </c>
      <c r="C53" s="52">
        <f>D53-20</f>
        <v>80</v>
      </c>
      <c r="D53" s="52">
        <f>B51</f>
        <v>100</v>
      </c>
      <c r="E53" s="52">
        <f>D53+20</f>
        <v>120</v>
      </c>
      <c r="F53" s="52">
        <f>D53 + 40</f>
        <v>140</v>
      </c>
    </row>
    <row r="54" spans="1:43" x14ac:dyDescent="0.25">
      <c r="A54" t="s">
        <v>170</v>
      </c>
      <c r="B54" t="e">
        <f ca="1">C54+(B53-C53)*$B$52</f>
        <v>#NAME?</v>
      </c>
      <c r="C54" t="e">
        <f ca="1">D54+(C53-D53)*$B$52</f>
        <v>#NAME?</v>
      </c>
      <c r="D54" s="52" t="e">
        <f ca="1">B50</f>
        <v>#NAME?</v>
      </c>
      <c r="E54" t="e">
        <f ca="1">D54+(E53-D53)*$B$52</f>
        <v>#NAME?</v>
      </c>
      <c r="F54" t="e">
        <f ca="1">E54+(F53-E53)*$B$52</f>
        <v>#NAME?</v>
      </c>
    </row>
    <row r="55" spans="1:43" x14ac:dyDescent="0.25">
      <c r="A55" t="s">
        <v>171</v>
      </c>
      <c r="B55" s="52">
        <f>B5</f>
        <v>100</v>
      </c>
    </row>
    <row r="56" spans="1:43" x14ac:dyDescent="0.25">
      <c r="A56" t="s">
        <v>172</v>
      </c>
      <c r="B56" t="e">
        <f ca="1">BSGamma(B5,B6,B7,B8,B9,B10)</f>
        <v>#NAME?</v>
      </c>
    </row>
    <row r="59" spans="1:43" x14ac:dyDescent="0.25">
      <c r="A59" t="s">
        <v>176</v>
      </c>
    </row>
    <row r="60" spans="1:43" x14ac:dyDescent="0.25">
      <c r="A60" t="s">
        <v>160</v>
      </c>
      <c r="C60" s="52">
        <v>5</v>
      </c>
      <c r="D60" s="52">
        <f>C60+5</f>
        <v>10</v>
      </c>
      <c r="E60" s="52">
        <f t="shared" ref="E60:AQ60" si="9">D60+5</f>
        <v>15</v>
      </c>
      <c r="F60" s="52">
        <f t="shared" si="9"/>
        <v>20</v>
      </c>
      <c r="G60" s="52">
        <f t="shared" si="9"/>
        <v>25</v>
      </c>
      <c r="H60" s="52">
        <f t="shared" si="9"/>
        <v>30</v>
      </c>
      <c r="I60" s="52">
        <f t="shared" si="9"/>
        <v>35</v>
      </c>
      <c r="J60" s="52">
        <f t="shared" si="9"/>
        <v>40</v>
      </c>
      <c r="K60" s="52">
        <f t="shared" si="9"/>
        <v>45</v>
      </c>
      <c r="L60" s="52">
        <f t="shared" si="9"/>
        <v>50</v>
      </c>
      <c r="M60" s="52">
        <f t="shared" si="9"/>
        <v>55</v>
      </c>
      <c r="N60" s="52">
        <f t="shared" si="9"/>
        <v>60</v>
      </c>
      <c r="O60" s="52">
        <f t="shared" si="9"/>
        <v>65</v>
      </c>
      <c r="P60" s="52">
        <f t="shared" si="9"/>
        <v>70</v>
      </c>
      <c r="Q60" s="52">
        <f t="shared" si="9"/>
        <v>75</v>
      </c>
      <c r="R60" s="52">
        <f t="shared" si="9"/>
        <v>80</v>
      </c>
      <c r="S60" s="52">
        <f t="shared" si="9"/>
        <v>85</v>
      </c>
      <c r="T60" s="52">
        <f t="shared" si="9"/>
        <v>90</v>
      </c>
      <c r="U60" s="52">
        <f t="shared" si="9"/>
        <v>95</v>
      </c>
      <c r="V60" s="52">
        <f t="shared" si="9"/>
        <v>100</v>
      </c>
      <c r="W60" s="52">
        <f t="shared" si="9"/>
        <v>105</v>
      </c>
      <c r="X60" s="52">
        <f t="shared" si="9"/>
        <v>110</v>
      </c>
      <c r="Y60" s="52">
        <f t="shared" si="9"/>
        <v>115</v>
      </c>
      <c r="Z60" s="52">
        <f t="shared" si="9"/>
        <v>120</v>
      </c>
      <c r="AA60" s="52">
        <f t="shared" si="9"/>
        <v>125</v>
      </c>
      <c r="AB60" s="52">
        <f t="shared" si="9"/>
        <v>130</v>
      </c>
      <c r="AC60" s="52">
        <f t="shared" si="9"/>
        <v>135</v>
      </c>
      <c r="AD60" s="52">
        <f t="shared" si="9"/>
        <v>140</v>
      </c>
      <c r="AE60" s="52">
        <f t="shared" si="9"/>
        <v>145</v>
      </c>
      <c r="AF60" s="52">
        <f t="shared" si="9"/>
        <v>150</v>
      </c>
      <c r="AG60" s="52">
        <f t="shared" si="9"/>
        <v>155</v>
      </c>
      <c r="AH60" s="52">
        <f t="shared" si="9"/>
        <v>160</v>
      </c>
      <c r="AI60" s="52">
        <f t="shared" si="9"/>
        <v>165</v>
      </c>
      <c r="AJ60" s="52">
        <f t="shared" si="9"/>
        <v>170</v>
      </c>
      <c r="AK60" s="52">
        <f t="shared" si="9"/>
        <v>175</v>
      </c>
      <c r="AL60" s="52">
        <f t="shared" si="9"/>
        <v>180</v>
      </c>
      <c r="AM60" s="52">
        <f t="shared" si="9"/>
        <v>185</v>
      </c>
      <c r="AN60" s="52">
        <f t="shared" si="9"/>
        <v>190</v>
      </c>
      <c r="AO60" s="52">
        <f t="shared" si="9"/>
        <v>195</v>
      </c>
      <c r="AP60" s="52">
        <f t="shared" si="9"/>
        <v>200</v>
      </c>
      <c r="AQ60" s="52">
        <f t="shared" si="9"/>
        <v>205</v>
      </c>
    </row>
    <row r="61" spans="1:43" x14ac:dyDescent="0.25">
      <c r="A61" t="s">
        <v>177</v>
      </c>
      <c r="B61" s="52" t="e">
        <f ca="1">BSPut(B5,B6,B7,B8,B9,B10)</f>
        <v>#NAME?</v>
      </c>
      <c r="C61" t="e">
        <f t="dataTable" ref="C61:AQ63" dt2D="0" dtr="1" r1="B5" ca="1"/>
        <v>#NAME?</v>
      </c>
      <c r="D61" t="e">
        <v>#NAME?</v>
      </c>
      <c r="E61" t="e">
        <v>#NAME?</v>
      </c>
      <c r="F61" t="e">
        <v>#NAME?</v>
      </c>
      <c r="G61" t="e">
        <v>#NAME?</v>
      </c>
      <c r="H61" t="e">
        <v>#NAME?</v>
      </c>
      <c r="I61" t="e">
        <v>#NAME?</v>
      </c>
      <c r="J61" t="e">
        <v>#NAME?</v>
      </c>
      <c r="K61" t="e">
        <v>#NAME?</v>
      </c>
      <c r="L61" t="e">
        <v>#NAME?</v>
      </c>
      <c r="M61" t="e">
        <v>#NAME?</v>
      </c>
      <c r="N61" t="e">
        <v>#NAME?</v>
      </c>
      <c r="O61" t="e">
        <v>#NAME?</v>
      </c>
      <c r="P61" t="e">
        <v>#NAME?</v>
      </c>
      <c r="Q61" t="e">
        <v>#NAME?</v>
      </c>
      <c r="R61" t="e">
        <v>#NAME?</v>
      </c>
      <c r="S61" t="e">
        <v>#NAME?</v>
      </c>
      <c r="T61" t="e">
        <v>#NAME?</v>
      </c>
      <c r="U61" t="e">
        <v>#NAME?</v>
      </c>
      <c r="V61" t="e">
        <v>#NAME?</v>
      </c>
      <c r="W61" t="e">
        <v>#NAME?</v>
      </c>
      <c r="X61" t="e">
        <v>#NAME?</v>
      </c>
      <c r="Y61" t="e">
        <v>#NAME?</v>
      </c>
      <c r="Z61" t="e">
        <v>#NAME?</v>
      </c>
      <c r="AA61" t="e">
        <v>#NAME?</v>
      </c>
      <c r="AB61" t="e">
        <v>#NAME?</v>
      </c>
      <c r="AC61" t="e">
        <v>#NAME?</v>
      </c>
      <c r="AD61" t="e">
        <v>#NAME?</v>
      </c>
      <c r="AE61" t="e">
        <v>#NAME?</v>
      </c>
      <c r="AF61" t="e">
        <v>#NAME?</v>
      </c>
      <c r="AG61" t="e">
        <v>#NAME?</v>
      </c>
      <c r="AH61" t="e">
        <v>#NAME?</v>
      </c>
      <c r="AI61" t="e">
        <v>#NAME?</v>
      </c>
      <c r="AJ61" t="e">
        <v>#NAME?</v>
      </c>
      <c r="AK61" t="e">
        <v>#NAME?</v>
      </c>
      <c r="AL61" t="e">
        <v>#NAME?</v>
      </c>
      <c r="AM61" t="e">
        <v>#NAME?</v>
      </c>
      <c r="AN61" t="e">
        <v>#NAME?</v>
      </c>
      <c r="AO61" t="e">
        <v>#NAME?</v>
      </c>
      <c r="AP61" t="e">
        <v>#NAME?</v>
      </c>
      <c r="AQ61" t="e">
        <v>#NAME?</v>
      </c>
    </row>
    <row r="62" spans="1:43" x14ac:dyDescent="0.25">
      <c r="A62" t="s">
        <v>178</v>
      </c>
      <c r="B62" s="52" t="e">
        <f ca="1">BSPutDelta(B5,B6,B7,B8,B9,B10)</f>
        <v>#NAME?</v>
      </c>
      <c r="C62" t="e">
        <v>#NAME?</v>
      </c>
      <c r="D62" t="e">
        <v>#NAME?</v>
      </c>
      <c r="E62" t="e">
        <v>#NAME?</v>
      </c>
      <c r="F62" t="e">
        <v>#NAME?</v>
      </c>
      <c r="G62" t="e">
        <v>#NAME?</v>
      </c>
      <c r="H62" t="e">
        <v>#NAME?</v>
      </c>
      <c r="I62" t="e">
        <v>#NAME?</v>
      </c>
      <c r="J62" t="e">
        <v>#NAME?</v>
      </c>
      <c r="K62" t="e">
        <v>#NAME?</v>
      </c>
      <c r="L62" t="e">
        <v>#NAME?</v>
      </c>
      <c r="M62" t="e">
        <v>#NAME?</v>
      </c>
      <c r="N62" t="e">
        <v>#NAME?</v>
      </c>
      <c r="O62" t="e">
        <v>#NAME?</v>
      </c>
      <c r="P62" t="e">
        <v>#NAME?</v>
      </c>
      <c r="Q62" t="e">
        <v>#NAME?</v>
      </c>
      <c r="R62" t="e">
        <v>#NAME?</v>
      </c>
      <c r="S62" t="e">
        <v>#NAME?</v>
      </c>
      <c r="T62" t="e">
        <v>#NAME?</v>
      </c>
      <c r="U62" t="e">
        <v>#NAME?</v>
      </c>
      <c r="V62" t="e">
        <v>#NAME?</v>
      </c>
      <c r="W62" t="e">
        <v>#NAME?</v>
      </c>
      <c r="X62" t="e">
        <v>#NAME?</v>
      </c>
      <c r="Y62" t="e">
        <v>#NAME?</v>
      </c>
      <c r="Z62" t="e">
        <v>#NAME?</v>
      </c>
      <c r="AA62" t="e">
        <v>#NAME?</v>
      </c>
      <c r="AB62" t="e">
        <v>#NAME?</v>
      </c>
      <c r="AC62" t="e">
        <v>#NAME?</v>
      </c>
      <c r="AD62" t="e">
        <v>#NAME?</v>
      </c>
      <c r="AE62" t="e">
        <v>#NAME?</v>
      </c>
      <c r="AF62" t="e">
        <v>#NAME?</v>
      </c>
      <c r="AG62" t="e">
        <v>#NAME?</v>
      </c>
      <c r="AH62" t="e">
        <v>#NAME?</v>
      </c>
      <c r="AI62" t="e">
        <v>#NAME?</v>
      </c>
      <c r="AJ62" t="e">
        <v>#NAME?</v>
      </c>
      <c r="AK62" t="e">
        <v>#NAME?</v>
      </c>
      <c r="AL62" t="e">
        <v>#NAME?</v>
      </c>
      <c r="AM62" t="e">
        <v>#NAME?</v>
      </c>
      <c r="AN62" t="e">
        <v>#NAME?</v>
      </c>
      <c r="AO62" t="e">
        <v>#NAME?</v>
      </c>
      <c r="AP62" t="e">
        <v>#NAME?</v>
      </c>
      <c r="AQ62" t="e">
        <v>#NAME?</v>
      </c>
    </row>
    <row r="63" spans="1:43" x14ac:dyDescent="0.25">
      <c r="A63" t="s">
        <v>179</v>
      </c>
      <c r="B63" s="52" t="e">
        <f ca="1">BSGamma(B5,B6,B7,B8,B9,B10)</f>
        <v>#NAME?</v>
      </c>
      <c r="C63" t="e">
        <v>#NAME?</v>
      </c>
      <c r="D63" t="e">
        <v>#NAME?</v>
      </c>
      <c r="E63" t="e">
        <v>#NAME?</v>
      </c>
      <c r="F63" t="e">
        <v>#NAME?</v>
      </c>
      <c r="G63" t="e">
        <v>#NAME?</v>
      </c>
      <c r="H63" t="e">
        <v>#NAME?</v>
      </c>
      <c r="I63" t="e">
        <v>#NAME?</v>
      </c>
      <c r="J63" t="e">
        <v>#NAME?</v>
      </c>
      <c r="K63" t="e">
        <v>#NAME?</v>
      </c>
      <c r="L63" t="e">
        <v>#NAME?</v>
      </c>
      <c r="M63" t="e">
        <v>#NAME?</v>
      </c>
      <c r="N63" t="e">
        <v>#NAME?</v>
      </c>
      <c r="O63" t="e">
        <v>#NAME?</v>
      </c>
      <c r="P63" t="e">
        <v>#NAME?</v>
      </c>
      <c r="Q63" t="e">
        <v>#NAME?</v>
      </c>
      <c r="R63" t="e">
        <v>#NAME?</v>
      </c>
      <c r="S63" t="e">
        <v>#NAME?</v>
      </c>
      <c r="T63" t="e">
        <v>#NAME?</v>
      </c>
      <c r="U63" t="e">
        <v>#NAME?</v>
      </c>
      <c r="V63" t="e">
        <v>#NAME?</v>
      </c>
      <c r="W63" t="e">
        <v>#NAME?</v>
      </c>
      <c r="X63" t="e">
        <v>#NAME?</v>
      </c>
      <c r="Y63" t="e">
        <v>#NAME?</v>
      </c>
      <c r="Z63" t="e">
        <v>#NAME?</v>
      </c>
      <c r="AA63" t="e">
        <v>#NAME?</v>
      </c>
      <c r="AB63" t="e">
        <v>#NAME?</v>
      </c>
      <c r="AC63" t="e">
        <v>#NAME?</v>
      </c>
      <c r="AD63" t="e">
        <v>#NAME?</v>
      </c>
      <c r="AE63" t="e">
        <v>#NAME?</v>
      </c>
      <c r="AF63" t="e">
        <v>#NAME?</v>
      </c>
      <c r="AG63" t="e">
        <v>#NAME?</v>
      </c>
      <c r="AH63" t="e">
        <v>#NAME?</v>
      </c>
      <c r="AI63" t="e">
        <v>#NAME?</v>
      </c>
      <c r="AJ63" t="e">
        <v>#NAME?</v>
      </c>
      <c r="AK63" t="e">
        <v>#NAME?</v>
      </c>
      <c r="AL63" t="e">
        <v>#NAME?</v>
      </c>
      <c r="AM63" t="e">
        <v>#NAME?</v>
      </c>
      <c r="AN63" t="e">
        <v>#NAME?</v>
      </c>
      <c r="AO63" t="e">
        <v>#NAME?</v>
      </c>
      <c r="AP63" t="e">
        <v>#NAME?</v>
      </c>
      <c r="AQ63" t="e">
        <v>#NAME?</v>
      </c>
    </row>
    <row r="64" spans="1:43" x14ac:dyDescent="0.25">
      <c r="A64" t="s">
        <v>164</v>
      </c>
      <c r="B64" s="52"/>
      <c r="C64" s="52">
        <f>MAX($B$9-C60, 0)</f>
        <v>95</v>
      </c>
      <c r="D64" s="52">
        <f t="shared" ref="D64:AQ64" si="10">MAX($B$9-D60, 0)</f>
        <v>90</v>
      </c>
      <c r="E64" s="52">
        <f t="shared" si="10"/>
        <v>85</v>
      </c>
      <c r="F64" s="52">
        <f t="shared" si="10"/>
        <v>80</v>
      </c>
      <c r="G64" s="52">
        <f t="shared" si="10"/>
        <v>75</v>
      </c>
      <c r="H64" s="52">
        <f t="shared" si="10"/>
        <v>70</v>
      </c>
      <c r="I64" s="52">
        <f t="shared" si="10"/>
        <v>65</v>
      </c>
      <c r="J64" s="52">
        <f t="shared" si="10"/>
        <v>60</v>
      </c>
      <c r="K64" s="52">
        <f t="shared" si="10"/>
        <v>55</v>
      </c>
      <c r="L64" s="52">
        <f t="shared" si="10"/>
        <v>50</v>
      </c>
      <c r="M64" s="52">
        <f t="shared" si="10"/>
        <v>45</v>
      </c>
      <c r="N64" s="52">
        <f t="shared" si="10"/>
        <v>40</v>
      </c>
      <c r="O64" s="52">
        <f t="shared" si="10"/>
        <v>35</v>
      </c>
      <c r="P64" s="52">
        <f t="shared" si="10"/>
        <v>30</v>
      </c>
      <c r="Q64" s="52">
        <f t="shared" si="10"/>
        <v>25</v>
      </c>
      <c r="R64" s="52">
        <f t="shared" si="10"/>
        <v>20</v>
      </c>
      <c r="S64" s="52">
        <f t="shared" si="10"/>
        <v>15</v>
      </c>
      <c r="T64" s="52">
        <f t="shared" si="10"/>
        <v>10</v>
      </c>
      <c r="U64" s="52">
        <f t="shared" si="10"/>
        <v>5</v>
      </c>
      <c r="V64" s="52">
        <f t="shared" si="10"/>
        <v>0</v>
      </c>
      <c r="W64" s="52">
        <f t="shared" si="10"/>
        <v>0</v>
      </c>
      <c r="X64" s="52">
        <f t="shared" si="10"/>
        <v>0</v>
      </c>
      <c r="Y64" s="52">
        <f t="shared" si="10"/>
        <v>0</v>
      </c>
      <c r="Z64" s="52">
        <f t="shared" si="10"/>
        <v>0</v>
      </c>
      <c r="AA64" s="52">
        <f t="shared" si="10"/>
        <v>0</v>
      </c>
      <c r="AB64" s="52">
        <f t="shared" si="10"/>
        <v>0</v>
      </c>
      <c r="AC64" s="52">
        <f t="shared" si="10"/>
        <v>0</v>
      </c>
      <c r="AD64" s="52">
        <f t="shared" si="10"/>
        <v>0</v>
      </c>
      <c r="AE64" s="52">
        <f t="shared" si="10"/>
        <v>0</v>
      </c>
      <c r="AF64" s="52">
        <f t="shared" si="10"/>
        <v>0</v>
      </c>
      <c r="AG64" s="52">
        <f t="shared" si="10"/>
        <v>0</v>
      </c>
      <c r="AH64" s="52">
        <f t="shared" si="10"/>
        <v>0</v>
      </c>
      <c r="AI64" s="52">
        <f t="shared" si="10"/>
        <v>0</v>
      </c>
      <c r="AJ64" s="52">
        <f t="shared" si="10"/>
        <v>0</v>
      </c>
      <c r="AK64" s="52">
        <f t="shared" si="10"/>
        <v>0</v>
      </c>
      <c r="AL64" s="52">
        <f t="shared" si="10"/>
        <v>0</v>
      </c>
      <c r="AM64" s="52">
        <f t="shared" si="10"/>
        <v>0</v>
      </c>
      <c r="AN64" s="52">
        <f t="shared" si="10"/>
        <v>0</v>
      </c>
      <c r="AO64" s="52">
        <f t="shared" si="10"/>
        <v>0</v>
      </c>
      <c r="AP64" s="52">
        <f t="shared" si="10"/>
        <v>0</v>
      </c>
      <c r="AQ64" s="52">
        <f t="shared" si="10"/>
        <v>0</v>
      </c>
    </row>
    <row r="65" spans="1:43" x14ac:dyDescent="0.25">
      <c r="A65" t="s">
        <v>165</v>
      </c>
      <c r="B65" s="52">
        <f>B5</f>
        <v>100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</row>
    <row r="66" spans="1:43" x14ac:dyDescent="0.25">
      <c r="A66" t="s">
        <v>166</v>
      </c>
      <c r="B66" s="52" t="e">
        <f ca="1">BSPut(B5,B6,B7,B8,B9,B10)</f>
        <v>#NAME?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</row>
    <row r="67" spans="1:43" x14ac:dyDescent="0.25">
      <c r="A67" t="s">
        <v>167</v>
      </c>
      <c r="B67" s="52">
        <f>B5</f>
        <v>100</v>
      </c>
    </row>
    <row r="68" spans="1:43" x14ac:dyDescent="0.25">
      <c r="A68" t="s">
        <v>168</v>
      </c>
      <c r="B68" t="e">
        <f ca="1">BSPutDelta(B5,B6,B7,B8,B9,B10)</f>
        <v>#NAME?</v>
      </c>
    </row>
    <row r="69" spans="1:43" x14ac:dyDescent="0.25">
      <c r="A69" t="s">
        <v>169</v>
      </c>
      <c r="B69" s="52">
        <f>D69-40</f>
        <v>60</v>
      </c>
      <c r="C69" s="52">
        <f>D69-20</f>
        <v>80</v>
      </c>
      <c r="D69" s="52">
        <f>B67</f>
        <v>100</v>
      </c>
      <c r="E69" s="52">
        <f>D69+20</f>
        <v>120</v>
      </c>
      <c r="F69" s="52">
        <f>D69 + 40</f>
        <v>140</v>
      </c>
    </row>
    <row r="70" spans="1:43" x14ac:dyDescent="0.25">
      <c r="A70" t="s">
        <v>170</v>
      </c>
      <c r="B70" t="e">
        <f ca="1">C70+(B69-C69)*$B$68</f>
        <v>#NAME?</v>
      </c>
      <c r="C70" t="e">
        <f ca="1">D70+(C69-D69)*$B$68</f>
        <v>#NAME?</v>
      </c>
      <c r="D70" s="52" t="e">
        <f ca="1">B66</f>
        <v>#NAME?</v>
      </c>
      <c r="E70" t="e">
        <f ca="1">D70+(E69-D69)*$B$68</f>
        <v>#NAME?</v>
      </c>
      <c r="F70" t="e">
        <f ca="1">E70+(F69-E69)*$B$68</f>
        <v>#NAME?</v>
      </c>
    </row>
    <row r="71" spans="1:43" x14ac:dyDescent="0.25">
      <c r="A71" t="s">
        <v>171</v>
      </c>
      <c r="B71" s="52">
        <f>B5</f>
        <v>100</v>
      </c>
    </row>
    <row r="72" spans="1:43" x14ac:dyDescent="0.25">
      <c r="A72" t="s">
        <v>172</v>
      </c>
      <c r="B72" t="e">
        <f ca="1">BSGamma(B5,B6,B7,B8,B9,B10)</f>
        <v>#NAME?</v>
      </c>
    </row>
  </sheetData>
  <mergeCells count="1">
    <mergeCell ref="A4:B4"/>
  </mergeCells>
  <dataValidations count="1">
    <dataValidation type="list" allowBlank="1" showInputMessage="1" showErrorMessage="1" sqref="B2" xr:uid="{41D81F14-2410-46BF-B976-28BBA2D03D76}">
      <formula1>list_OptionSelection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21</vt:i4>
      </vt:variant>
    </vt:vector>
  </HeadingPairs>
  <TitlesOfParts>
    <vt:vector size="30" baseType="lpstr">
      <vt:lpstr>Option Payoffs</vt:lpstr>
      <vt:lpstr>Option Strategy Diagrams</vt:lpstr>
      <vt:lpstr>The Tree</vt:lpstr>
      <vt:lpstr>Notes on Trades</vt:lpstr>
      <vt:lpstr>Option Trading strategies</vt:lpstr>
      <vt:lpstr>Sheet2</vt:lpstr>
      <vt:lpstr>Black-Scholes for Call and Puts</vt:lpstr>
      <vt:lpstr>Binomial Calc</vt:lpstr>
      <vt:lpstr>Black-Scholes Option Pricing</vt:lpstr>
      <vt:lpstr>Annaul_Dividend_Yield</vt:lpstr>
      <vt:lpstr>Annual_Risk_free_Rate</vt:lpstr>
      <vt:lpstr>Annual_Volatility_of_Returns</vt:lpstr>
      <vt:lpstr>Call_Price</vt:lpstr>
      <vt:lpstr>Call_Strike</vt:lpstr>
      <vt:lpstr>ctrl_OptionSelection</vt:lpstr>
      <vt:lpstr>Current_Stock_Price</vt:lpstr>
      <vt:lpstr>discount_rate</vt:lpstr>
      <vt:lpstr>Down</vt:lpstr>
      <vt:lpstr>inputs_OptionSelection</vt:lpstr>
      <vt:lpstr>Length_of_each_time_step</vt:lpstr>
      <vt:lpstr>list_OptionSelection</vt:lpstr>
      <vt:lpstr>Put_Price</vt:lpstr>
      <vt:lpstr>Put_Strike</vt:lpstr>
      <vt:lpstr>Rnp_1_minus_q</vt:lpstr>
      <vt:lpstr>Rnp_q</vt:lpstr>
      <vt:lpstr>Stock_Price</vt:lpstr>
      <vt:lpstr>Strike_Price_on_Option</vt:lpstr>
      <vt:lpstr>Time_Steps_for_Valuation</vt:lpstr>
      <vt:lpstr>Time_to_Maturity_of_Option__years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Newton</dc:creator>
  <cp:lastModifiedBy>Timothy Newton</cp:lastModifiedBy>
  <dcterms:created xsi:type="dcterms:W3CDTF">2018-11-26T16:24:43Z</dcterms:created>
  <dcterms:modified xsi:type="dcterms:W3CDTF">2019-12-10T19:52:40Z</dcterms:modified>
</cp:coreProperties>
</file>