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Dossier Ordinateur\PGDT_Nord Togo\Activités\Comptabilité\"/>
    </mc:Choice>
  </mc:AlternateContent>
  <xr:revisionPtr revIDLastSave="0" documentId="13_ncr:1_{2E4971B3-F3C5-4F03-9A1A-482D8B5FDEB4}" xr6:coauthVersionLast="47" xr6:coauthVersionMax="47" xr10:uidLastSave="{00000000-0000-0000-0000-000000000000}"/>
  <bookViews>
    <workbookView xWindow="-108" yWindow="-108" windowWidth="23256" windowHeight="12456" xr2:uid="{00000000-000D-0000-FFFF-FFFF00000000}"/>
  </bookViews>
  <sheets>
    <sheet name="PS"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2" i="2" l="1"/>
  <c r="I52" i="2"/>
  <c r="G52" i="2"/>
  <c r="H15" i="2"/>
  <c r="I15" i="2"/>
  <c r="G15" i="2"/>
  <c r="H24" i="2"/>
  <c r="I24" i="2"/>
  <c r="G24" i="2"/>
  <c r="H33" i="2"/>
  <c r="I33" i="2"/>
  <c r="G33" i="2"/>
  <c r="H43" i="2"/>
  <c r="I43" i="2"/>
  <c r="G43" i="2"/>
  <c r="H51" i="2"/>
  <c r="I51" i="2"/>
  <c r="G51" i="2"/>
  <c r="H47" i="2"/>
  <c r="I47" i="2" s="1"/>
  <c r="G45" i="2" l="1"/>
  <c r="G48" i="2"/>
  <c r="G49" i="2"/>
  <c r="G47" i="2"/>
  <c r="H31" i="2"/>
  <c r="H21" i="2"/>
  <c r="G42" i="2"/>
  <c r="G41" i="2"/>
  <c r="G40" i="2"/>
  <c r="G39" i="2"/>
  <c r="G38" i="2"/>
  <c r="G37" i="2"/>
  <c r="G36" i="2"/>
  <c r="G35" i="2"/>
  <c r="G32" i="2"/>
  <c r="G31" i="2"/>
  <c r="G30" i="2"/>
  <c r="G29" i="2"/>
  <c r="G28" i="2"/>
  <c r="G27" i="2"/>
  <c r="G26" i="2"/>
  <c r="G23" i="2"/>
  <c r="G22" i="2"/>
  <c r="G21" i="2"/>
  <c r="G20" i="2"/>
  <c r="G19" i="2"/>
  <c r="G18" i="2"/>
  <c r="G17" i="2"/>
  <c r="G14" i="2"/>
  <c r="G13" i="2"/>
  <c r="G12" i="2"/>
  <c r="G11" i="2"/>
  <c r="G10" i="2"/>
  <c r="G9" i="2"/>
  <c r="G8" i="2"/>
  <c r="G7" i="2"/>
  <c r="G6" i="2"/>
  <c r="G5" i="2"/>
</calcChain>
</file>

<file path=xl/sharedStrings.xml><?xml version="1.0" encoding="utf-8"?>
<sst xmlns="http://schemas.openxmlformats.org/spreadsheetml/2006/main" count="140" uniqueCount="135">
  <si>
    <t xml:space="preserve">Action </t>
  </si>
  <si>
    <t>Activité</t>
  </si>
  <si>
    <t>Indicateur d'activité</t>
  </si>
  <si>
    <t xml:space="preserve">Alignements aux priorités nationales </t>
  </si>
  <si>
    <t xml:space="preserve">Feuille de route </t>
  </si>
  <si>
    <t>PLAN Togo 2025</t>
  </si>
  <si>
    <t>Total</t>
  </si>
  <si>
    <t>Composante 1 : Cadres et capacités favorables à la mise en œuvre de la neutralité en matière de dégradation des terres et à la préservation de la 
biodiversité</t>
  </si>
  <si>
    <t>Composante 2 : Gestion durable des terres et des forêts et préservation de la biodiversité au niveau des sites</t>
  </si>
  <si>
    <t xml:space="preserve">Composante 3 : Moyens d’existence durables fondés sur la nature
</t>
  </si>
  <si>
    <t>Composante 4 : Gestion des connaissances, suivi et évaluation, et intégration des questions de genre</t>
  </si>
  <si>
    <t>TOTAL COMPOSANTE 1</t>
  </si>
  <si>
    <t>TOTAL COMPOSANTE 2</t>
  </si>
  <si>
    <t>TOTAL COMPOSANTE 3</t>
  </si>
  <si>
    <t>TOTAL COMPOSANTE 4</t>
  </si>
  <si>
    <t>TOTAUX</t>
  </si>
  <si>
    <t>Cibles 2023</t>
  </si>
  <si>
    <t>Document d'étude diagnostique  du cadre politique existant en matière de gestion durable des terres et des forêts disponible</t>
  </si>
  <si>
    <t>Document d'évaluation assorti d'un plan d'action est disponible</t>
  </si>
  <si>
    <t>Cartographie participative est mise en place et les recommandations sur la base des résultats sont élaborées</t>
  </si>
  <si>
    <t>Capacité renforcée pour permettre la participation des femmes et jeunes au processus de planification</t>
  </si>
  <si>
    <t>un (01) diagnostique réalisé</t>
  </si>
  <si>
    <t xml:space="preserve"> Des sensibilisation organisé sur les questions locales liées à l’utilisation des terres, à la préservation de la biodiversité et à la gestion des aires protégées</t>
  </si>
  <si>
    <t>les services techniques compétents, y compris les directions régionales de l’environnement et des ressources forestières de la Kara et des Savanes, en matériel informatique, en mobilier, en matériel de terrain, entre autres, nécessaires au suivi des actions de gestion durable des terres et de la gestion des aires protégées</t>
  </si>
  <si>
    <t>50% des services techniques et les directions régionales de l'environnement et des ressources forestières de la Kara et des Savanes ont été équipé en au moins un matériel informatique, un mobilier, un matériel de terrain, entre autres</t>
  </si>
  <si>
    <t>Le document de la cartographie des services écosystémiques dans les quatre paysages du projet, y compris leur typologie, dans les régions des Savanes et de la Kara est disponible</t>
  </si>
  <si>
    <t>une (01) cartographie réalisée</t>
  </si>
  <si>
    <t>une (01) évaluation réalisée assortie d'un plan d'action est réalisé</t>
  </si>
  <si>
    <t xml:space="preserve">une (01) cartographie réalisée </t>
  </si>
  <si>
    <t>un (01)atelier de renforcement organisé avec la participation de 50% des femmes et des jeunes</t>
  </si>
  <si>
    <t>au moins 03 sensibilisations organisé</t>
  </si>
  <si>
    <t xml:space="preserve">au moins 15 personnes ont reçu la formation </t>
  </si>
  <si>
    <t>un (01) exercice à été organisé dans les zones d'intervention du projet pour la priorisation des iterventions</t>
  </si>
  <si>
    <t>un (01) exercice dans chaque zone</t>
  </si>
  <si>
    <t>les capacités techniques et opérationelles 50% des associations villageoises de gestion des aires protégées et des autres organisations communautaires de gestion forestière ont été renforcés</t>
  </si>
  <si>
    <t xml:space="preserve">50% des association villageoises de gestion des aires protégées et des autres organisations communautaires de gestion forestière ont été renforcés </t>
  </si>
  <si>
    <t>le document de la cartographie des chaines de valeur disponible</t>
  </si>
  <si>
    <t>une (01) cartographie</t>
  </si>
  <si>
    <t>le rapport de l'enquêtes pour évaluer les préférences parmi les chaînes de valeur alternatives présélectionnéesdisponible</t>
  </si>
  <si>
    <t>50% des communautés bénéficiaires ont été enquêté</t>
  </si>
  <si>
    <t>5 chaines sélectionnées</t>
  </si>
  <si>
    <t>100% de la mise en œuvre du plan d’action pour l’égalité des genres et l’inclusion sociale dans le cadre de la gestion durable des terres et des forêts, élaboré au cours de la phase de subvention à l’élaboration du projet à été soutenir</t>
  </si>
  <si>
    <t>100% de soutien</t>
  </si>
  <si>
    <t xml:space="preserve">rapport d'évaluation disponible </t>
  </si>
  <si>
    <t xml:space="preserve">une (01) évaluation des répercutions du projet réalisée </t>
  </si>
  <si>
    <t>organisé un voyage d’échange ou des visites entre les paysages du projet et renforcer les capacités des parties prenantes en matière de gestion durable des terres et des forêts</t>
  </si>
  <si>
    <t>un (01) voyage d'échange organisé</t>
  </si>
  <si>
    <t>organisé un atelier de lancement</t>
  </si>
  <si>
    <t>un (01) atelier d elencement</t>
  </si>
  <si>
    <t>Accélérer la gestion durable et la réhabilitation des terres pour atteindre la neutralité en matière de dégradation des terres tout en préservant les modes d’existence agropastoraux et la biodiversité d’importances mondiale dans les régions des Savanes et de la Kara, au Togo.</t>
  </si>
  <si>
    <t xml:space="preserve">Réhabilitation des services écosystémiques et prévention de la dégradation des terres au moyen de pratiques de gestion durable des terres et des forêts dans les régions des Savanes et de la Kara </t>
  </si>
  <si>
    <t>le renforcement des capacités institutionnelles s et locales en vue de mettre en œuvre des pratiques de gestion durable des terres et de préservation de la biodiversité, tout en tenant compte de la problématique femmes et hommes</t>
  </si>
  <si>
    <t>Renforcement des capacités relatives aux modes d’utilisation des terres, aux chaines de valeur et aux pratiques de production compatibles avec la biodiversité et la neutralité en matière de dégradation des terres dans les paysages du projet.</t>
  </si>
  <si>
    <t>Recruter un consultant national pour réaliser le diagnostic du cadre politique existant en matière de gestion durable des terres et des forêts</t>
  </si>
  <si>
    <t>Réaliser une étude sur le zonage de l’aire protégée dans la zone cible du projet (cartographie)</t>
  </si>
  <si>
    <t>Réaliser 6 concertations avec les communautés pour échanger et élaborer les recommandations de suivi sur la base de la cartographie</t>
  </si>
  <si>
    <t>Recruter un consultant international et un consultant national pour développer une base de données SIG sur l'utilisation des terres</t>
  </si>
  <si>
    <t>La base de donnée SIG est développer</t>
  </si>
  <si>
    <t>une (01) base de données SIG est réalisé</t>
  </si>
  <si>
    <t>Recruter un consultant (facilitateur) pour réaliser ou faciliter la concertation sur la participation effective des femmes et des jeunes à la planification générale et à la mise en œuvre des projets de développement de la gestion durable des terres et des forêts</t>
  </si>
  <si>
    <t>Organiser des concertations avec les communautés locales sur les questions locales liées à l’utilisation des terres, à la préservation de la biodiversité et à la gestion des aires protégées</t>
  </si>
  <si>
    <t>Recruter un bureau d'étude pour former les cadres et d’autres parties prenants ciblées à la mise en œuvre des plans de développement locaux, des plans de gestion des bassins versants, des processus de gestion pertinentes et des processus de suivi associés pour réaliser la neutralité en matière de dégradation des terres et la préservation de la biodiversité</t>
  </si>
  <si>
    <t>Organiser un atelier technique de validation des appels à manifestation d'intérêts pour le recrutement des consultants</t>
  </si>
  <si>
    <t xml:space="preserve">Organiser un atelier technique de validation des TDRs de recrutement des consultants, </t>
  </si>
  <si>
    <t>Organiser des réunions d'évaluation des offres des marchés de consultation</t>
  </si>
  <si>
    <t>Trd validés et disponible</t>
  </si>
  <si>
    <t>les offres des marchés sont évalués</t>
  </si>
  <si>
    <t xml:space="preserve">les salaires sont payés </t>
  </si>
  <si>
    <t>100% des tdrs sont validés</t>
  </si>
  <si>
    <t>100% des offres sont évalués</t>
  </si>
  <si>
    <t>100% des salaires sont payé</t>
  </si>
  <si>
    <t xml:space="preserve">Réaliser 6 Concertations pour la mise en œuvre efficace des garanties du projet, y compris la préparation de l’EIES et des plans de gestion connexes </t>
  </si>
  <si>
    <t>Réaliser des missions d’identification des acteurs et des zones qui feront objet de reboisement, d'enrichissement… dans les régions des Savanes et de la Kara.</t>
  </si>
  <si>
    <t xml:space="preserve">Recruter un consultant pour réaliser la cartographie participative des services écosystémiques dans les quatre paysages du projet, y compris leur typologie, dans les régions des Savanes et de la Kara.
</t>
  </si>
  <si>
    <t xml:space="preserve">Former et équiper les communautés sur les bonnes pratiques de gestion durable des terres et des forêts </t>
  </si>
  <si>
    <t>Acquérir des plants et réhabiliter 12000 ha de paysage dégradé ( 4500 hectares de zones forestières fortement dégradées, 4000 hectares de terres cultivées fortement dégradées et 3500 hectares de pâturages fortement dégradés)</t>
  </si>
  <si>
    <t>les rapports des concertations disponible</t>
  </si>
  <si>
    <t>les 6 concertations sont réalisées</t>
  </si>
  <si>
    <t>rapport de réception des plans et de terrain sont  disponibles</t>
  </si>
  <si>
    <t>100%  de l'activités réalisé</t>
  </si>
  <si>
    <t>Recruter un bureau d'étude pour renforcer les capacités techniques et opérationnelles de 10 ONGs, 10 CVD, 2 UAVGAP,  des associations villageoises de gestion des aires protégées et des autres organisations communautaires de gestion forestière</t>
  </si>
  <si>
    <t xml:space="preserve">Payer le salaire des experts en gestion des restaurations des terres,  </t>
  </si>
  <si>
    <t>les capacités techniques et opérationelles de 10 ONGs, 10 CVD, 2 UAVGAP,  des associations villageoises de gestion des aires protégées et des autres organisations communautaires de gestion forestière ont été renforcés</t>
  </si>
  <si>
    <t xml:space="preserve">100% des des ONG, CVD, UAVGAP et association villageoises de gestion des aires protégées et des autres organisations communautaires de gestion forestière ont été renforcés </t>
  </si>
  <si>
    <t>La cartographier et la revue des chaînes de valeur présélectionnées.</t>
  </si>
  <si>
    <t>Réaliser des concertations/enquêtes au sein des communautés pour identifier/évaluer et sélectionner les préférences parmi les chaînes de valeur alternatives présélectionnées</t>
  </si>
  <si>
    <t>Appuyer les communautés dans le développement et la mise en œuvre des moyens de subsistances</t>
  </si>
  <si>
    <t>Réaliser un atelier pour sélectionner cinq chaînes de valeur prioritaires, sur la base de critères de sélection prédéterminés et en référence à des paysages spécifiques.</t>
  </si>
  <si>
    <t>Doter les coopératives en matériel de de transformation, de stockage et de conditionnement des produits agroforestiers locaux (amandes de cajou, le karité, le néré et les fruits de baobab, etc).</t>
  </si>
  <si>
    <t>rapport d'activité disponible</t>
  </si>
  <si>
    <t>les moyens de subsistances sont mise en œuvre</t>
  </si>
  <si>
    <t>Acquérir trois véhicules pour la coordination du projet</t>
  </si>
  <si>
    <t>Payer le salaire des experts en sauvegarde environnementale et sociale et l’expert en genre</t>
  </si>
  <si>
    <t>100% du salaire payé</t>
  </si>
  <si>
    <t xml:space="preserve">les trois véhicules de coordination sont payés et le rapport de réception est disponible </t>
  </si>
  <si>
    <t>100% de l'activité est réalisé</t>
  </si>
  <si>
    <t xml:space="preserve">Finaliser, valider en atelier et mettre en œuvre le plan d’action pour l’égalité des genres et l’inclusion sociale, élaboré au cours de la phase PPG.
</t>
  </si>
  <si>
    <t xml:space="preserve">Elaborer et valider les rapports de performance </t>
  </si>
  <si>
    <t>Organiser des voyages d’échange entre les parties prenantes du projet et renforcer leur capacité en matière de gestion durable des terres et des forêts.</t>
  </si>
  <si>
    <t>Organiser un atelier de lancement du projet.</t>
  </si>
  <si>
    <t>Recruter un consultant international pour mettre en place une base de données sur les bonnes pratiques et les leçons apprises en matière de gestion durable des terres et des forêts</t>
  </si>
  <si>
    <t>Recruter un consultant national pour élaborer la stratégie de communication pour optimiser la diffusion des techniques au sein des paysages de projet sur la base de l’identification des innovateurs et des utilisateurs précoces, entre autres.</t>
  </si>
  <si>
    <t>Organiser des suivis sur le terrain et la gestion des connaissances</t>
  </si>
  <si>
    <t>Payer le salaire du spécialiste genre et gestion des connaissances et suivi-évaluation</t>
  </si>
  <si>
    <t>la base de donné sur les bonnes pratiques et les leçons apprises en matière de gestion durable des terres et des forêts est mise en place</t>
  </si>
  <si>
    <t>une (01) base de donnée réalisé</t>
  </si>
  <si>
    <t>le document de stratégie de communication pour optimiser la diffusion des techniques au sein des paysages de projet sur la base de l’identification des innovateurs et des utilisateurs précoces, entre autres est élaboré</t>
  </si>
  <si>
    <t>un (01) document de stratégie élaboré</t>
  </si>
  <si>
    <t>organiser les suivis sur terrain</t>
  </si>
  <si>
    <t>Un rapport de suivi disponible</t>
  </si>
  <si>
    <t xml:space="preserve">rapport des concertations disponible </t>
  </si>
  <si>
    <t>100% des concertations sont réalisées</t>
  </si>
  <si>
    <t>100% des chaînes de valeur prioritaires ont été sélectionnée ont été doté de matériel de transformation</t>
  </si>
  <si>
    <t>GESTION DU PROJET</t>
  </si>
  <si>
    <t>Engagement</t>
  </si>
  <si>
    <t>Montant TDRs</t>
  </si>
  <si>
    <t>Montant encaissé</t>
  </si>
  <si>
    <t>Une formation organisé à l'intention du personnel du Ministère de l’environnement et des ressources forestières, de l’Office de développement des forêts, de l’Agence de gestion de l’environnement, du Ministère de l’agriculture, des collectivités locales (préfets, maires) et d’autres parties prenants ciblées à la mise en œuvre des plans de développement locaux, des plans de gestion des bassins versants, des processus de gestion pertinents et des processus de suivi associés pour réaliser la neutralité en matière de dégradation des terres et la préservation de la biodiversité</t>
  </si>
  <si>
    <t>Budget  PTA (F CFA)</t>
  </si>
  <si>
    <t>Déplacement/frais de mission des membres de l'UGP</t>
  </si>
  <si>
    <t>Fonds de caisse</t>
  </si>
  <si>
    <t>Organiser des ateliers de formation sur le HACT, passation de marchés et autres</t>
  </si>
  <si>
    <t>Payer le matériel informatique et mobilier pour le groupe de gestion du projet</t>
  </si>
  <si>
    <t>Acquérir matériel de communication et audio pour le groupe de gestion du projet</t>
  </si>
  <si>
    <t>Acquérir des fournitures et consommables pour le groupe de gestion du projet</t>
  </si>
  <si>
    <t>Le rapport de la mission est disponible</t>
  </si>
  <si>
    <t>Rapport de formation disponible</t>
  </si>
  <si>
    <t>PV de réception</t>
  </si>
  <si>
    <t>Factures diponibles</t>
  </si>
  <si>
    <t>TOTAL COMPOSANTE 5</t>
  </si>
  <si>
    <t>Organiser des formations</t>
  </si>
  <si>
    <t>Organiser des mission sur le terrain,</t>
  </si>
  <si>
    <t>Le matériel est acquis et mis à la disposition du gropue de gestion</t>
  </si>
  <si>
    <t>Le matériel de communication est acquis et mis à la disposition du gropue de gestion</t>
  </si>
  <si>
    <t xml:space="preserve">Les fournitures sont acquis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</si>
</sst>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6" formatCode="_-* #,##0\ _€_-;\-* #,##0\ _€_-;_-* &quot;-&quot;??\ _€_-;_-@_-"/>
  </numFmts>
  <fonts count="13">
    <font>
      <sz val="11"/>
      <color theme="1"/>
      <name val="Calibri"/>
      <family val="2"/>
      <scheme val="minor"/>
    </font>
    <font>
      <b/>
      <sz val="10"/>
      <name val="Arial"/>
      <family val="2"/>
    </font>
    <font>
      <b/>
      <sz val="8"/>
      <name val="Arial"/>
      <family val="2"/>
    </font>
    <font>
      <sz val="10"/>
      <name val="Times New Roman"/>
      <family val="1"/>
    </font>
    <font>
      <sz val="11"/>
      <name val="Calibri"/>
      <family val="2"/>
      <scheme val="minor"/>
    </font>
    <font>
      <sz val="10"/>
      <color theme="1"/>
      <name val="Times New Roman"/>
      <family val="1"/>
    </font>
    <font>
      <sz val="11"/>
      <color theme="1"/>
      <name val="Calibri"/>
      <family val="2"/>
      <scheme val="minor"/>
    </font>
    <font>
      <b/>
      <sz val="10"/>
      <name val="Times New Roman"/>
      <family val="1"/>
    </font>
    <font>
      <sz val="10"/>
      <color rgb="FF000000"/>
      <name val="Times New Roman"/>
      <family val="1"/>
    </font>
    <font>
      <sz val="10"/>
      <name val="Arial"/>
      <family val="2"/>
    </font>
    <font>
      <b/>
      <sz val="11"/>
      <color rgb="FF000000"/>
      <name val="Garamond"/>
      <family val="1"/>
    </font>
    <font>
      <sz val="12"/>
      <name val="Osaka"/>
      <family val="3"/>
      <charset val="128"/>
    </font>
    <font>
      <sz val="14"/>
      <name val="Times New Roman"/>
      <family val="1"/>
    </font>
  </fonts>
  <fills count="7">
    <fill>
      <patternFill patternType="none"/>
    </fill>
    <fill>
      <patternFill patternType="gray125"/>
    </fill>
    <fill>
      <patternFill patternType="solid">
        <fgColor rgb="FF9BBB59"/>
        <bgColor rgb="FF000000"/>
      </patternFill>
    </fill>
    <fill>
      <patternFill patternType="solid">
        <fgColor theme="6"/>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164" fontId="6" fillId="0" borderId="0" applyFont="0" applyFill="0" applyBorder="0" applyAlignment="0" applyProtection="0"/>
    <xf numFmtId="164" fontId="6" fillId="0" borderId="0" applyFont="0" applyFill="0" applyBorder="0" applyAlignment="0" applyProtection="0"/>
    <xf numFmtId="0" fontId="9" fillId="0" borderId="0"/>
    <xf numFmtId="0" fontId="11" fillId="0" borderId="0"/>
  </cellStyleXfs>
  <cellXfs count="103">
    <xf numFmtId="0" fontId="0" fillId="0" borderId="0" xfId="0"/>
    <xf numFmtId="0" fontId="5" fillId="0" borderId="1" xfId="0" applyFont="1" applyBorder="1"/>
    <xf numFmtId="0" fontId="3"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0" borderId="1" xfId="0" applyFont="1" applyBorder="1" applyAlignment="1">
      <alignment horizontal="left" vertical="top" wrapText="1"/>
    </xf>
    <xf numFmtId="0" fontId="8" fillId="0" borderId="1" xfId="0" applyFont="1" applyBorder="1" applyAlignment="1">
      <alignment horizontal="center" vertical="center" wrapText="1"/>
    </xf>
    <xf numFmtId="0" fontId="3" fillId="0" borderId="1" xfId="0" applyFont="1" applyBorder="1" applyAlignment="1">
      <alignment vertical="top" wrapText="1"/>
    </xf>
    <xf numFmtId="0" fontId="5" fillId="0" borderId="2" xfId="0" applyFont="1" applyBorder="1"/>
    <xf numFmtId="166" fontId="0" fillId="0" borderId="0" xfId="1" applyNumberFormat="1" applyFont="1"/>
    <xf numFmtId="0" fontId="5" fillId="0" borderId="1" xfId="0" applyFont="1" applyBorder="1" applyAlignment="1">
      <alignment horizontal="left" vertical="center" wrapText="1"/>
    </xf>
    <xf numFmtId="0" fontId="3" fillId="0" borderId="1" xfId="0" applyFont="1" applyBorder="1" applyAlignment="1">
      <alignment vertical="center" wrapText="1"/>
    </xf>
    <xf numFmtId="0" fontId="8" fillId="0" borderId="1" xfId="0" applyFont="1" applyBorder="1" applyAlignment="1">
      <alignment vertical="top" wrapText="1"/>
    </xf>
    <xf numFmtId="0" fontId="4" fillId="0" borderId="0" xfId="0" applyFont="1"/>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5" fillId="0" borderId="0" xfId="0" applyFont="1"/>
    <xf numFmtId="0" fontId="1" fillId="2" borderId="2" xfId="0" applyFont="1" applyFill="1" applyBorder="1" applyAlignment="1">
      <alignment vertical="center" wrapText="1"/>
    </xf>
    <xf numFmtId="0" fontId="2" fillId="3" borderId="2" xfId="0" applyFont="1" applyFill="1" applyBorder="1" applyAlignment="1">
      <alignment horizontal="right" vertical="center" wrapText="1"/>
    </xf>
    <xf numFmtId="0" fontId="5" fillId="0" borderId="6" xfId="0" applyFont="1" applyBorder="1" applyAlignment="1">
      <alignment vertical="top" wrapText="1"/>
    </xf>
    <xf numFmtId="0" fontId="5" fillId="0" borderId="6" xfId="0" applyFont="1" applyBorder="1" applyAlignment="1">
      <alignment horizontal="center" vertical="center" wrapText="1"/>
    </xf>
    <xf numFmtId="0" fontId="5" fillId="0" borderId="6" xfId="0" applyFont="1" applyBorder="1"/>
    <xf numFmtId="0" fontId="5" fillId="0" borderId="6" xfId="0" applyFont="1" applyBorder="1" applyAlignment="1">
      <alignment vertical="center" wrapText="1"/>
    </xf>
    <xf numFmtId="0" fontId="5" fillId="0" borderId="6" xfId="0" applyFont="1" applyBorder="1" applyAlignment="1">
      <alignment vertical="center"/>
    </xf>
    <xf numFmtId="0" fontId="3" fillId="4" borderId="1" xfId="0" applyFont="1" applyFill="1" applyBorder="1" applyAlignment="1">
      <alignment vertical="top" wrapText="1"/>
    </xf>
    <xf numFmtId="0" fontId="5" fillId="4" borderId="1" xfId="0" applyFont="1" applyFill="1" applyBorder="1" applyAlignment="1">
      <alignment vertical="top" wrapText="1"/>
    </xf>
    <xf numFmtId="0" fontId="3" fillId="0" borderId="6" xfId="0" applyFont="1" applyBorder="1" applyAlignment="1">
      <alignment horizontal="left" vertical="top"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vertical="center" wrapText="1"/>
    </xf>
    <xf numFmtId="0" fontId="3" fillId="0" borderId="2"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justify" vertical="center" wrapText="1"/>
    </xf>
    <xf numFmtId="0" fontId="3" fillId="0" borderId="2" xfId="0" applyFont="1" applyBorder="1" applyAlignment="1">
      <alignment vertical="top" wrapText="1"/>
    </xf>
    <xf numFmtId="0" fontId="8" fillId="0" borderId="2" xfId="0" applyFont="1" applyBorder="1" applyAlignment="1">
      <alignment vertical="top" wrapText="1"/>
    </xf>
    <xf numFmtId="0" fontId="3" fillId="0" borderId="6" xfId="0" applyFont="1" applyBorder="1" applyAlignment="1">
      <alignment vertical="top" wrapText="1"/>
    </xf>
    <xf numFmtId="166" fontId="3" fillId="0" borderId="6" xfId="1" applyNumberFormat="1" applyFont="1" applyFill="1" applyBorder="1" applyAlignment="1">
      <alignment vertical="center" wrapText="1"/>
    </xf>
    <xf numFmtId="0" fontId="5" fillId="4" borderId="1" xfId="0" applyFont="1" applyFill="1" applyBorder="1" applyAlignment="1">
      <alignment vertical="center"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9" fontId="3" fillId="0" borderId="1" xfId="0" applyNumberFormat="1" applyFont="1" applyBorder="1" applyAlignment="1">
      <alignment horizontal="center" vertical="center" wrapText="1"/>
    </xf>
    <xf numFmtId="9" fontId="3" fillId="0" borderId="6" xfId="0" applyNumberFormat="1" applyFont="1" applyBorder="1" applyAlignment="1">
      <alignment horizontal="left" vertical="top" wrapText="1"/>
    </xf>
    <xf numFmtId="0" fontId="7" fillId="4" borderId="6" xfId="0"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0" borderId="12" xfId="0" applyFont="1" applyBorder="1" applyAlignment="1">
      <alignment horizontal="center" vertical="center" wrapText="1"/>
    </xf>
    <xf numFmtId="0" fontId="3" fillId="0" borderId="13" xfId="0" applyFont="1" applyBorder="1" applyAlignment="1">
      <alignment horizontal="left" vertical="top" wrapText="1"/>
    </xf>
    <xf numFmtId="0" fontId="3" fillId="0" borderId="13" xfId="0" applyFont="1" applyBorder="1" applyAlignment="1">
      <alignment vertical="center" wrapText="1"/>
    </xf>
    <xf numFmtId="0" fontId="3" fillId="0" borderId="5" xfId="0" applyFont="1" applyBorder="1" applyAlignment="1">
      <alignment horizontal="left" vertical="top" wrapText="1"/>
    </xf>
    <xf numFmtId="0" fontId="5" fillId="0" borderId="2" xfId="0" applyFont="1" applyBorder="1" applyAlignment="1">
      <alignment horizontal="left" vertical="top" wrapText="1"/>
    </xf>
    <xf numFmtId="0" fontId="8" fillId="0" borderId="2" xfId="0" applyFont="1" applyBorder="1" applyAlignment="1">
      <alignment horizontal="center" vertical="center" wrapText="1"/>
    </xf>
    <xf numFmtId="0" fontId="3" fillId="0" borderId="13" xfId="0" applyFont="1" applyBorder="1" applyAlignment="1">
      <alignment vertical="top"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166" fontId="3" fillId="0" borderId="7" xfId="1" applyNumberFormat="1" applyFont="1" applyFill="1" applyBorder="1" applyAlignment="1">
      <alignment vertical="center" wrapText="1"/>
    </xf>
    <xf numFmtId="0" fontId="7" fillId="4" borderId="7" xfId="0" applyFont="1" applyFill="1" applyBorder="1" applyAlignment="1">
      <alignment horizontal="left" vertical="center" wrapText="1"/>
    </xf>
    <xf numFmtId="166" fontId="0" fillId="0" borderId="0" xfId="1" applyNumberFormat="1" applyFont="1" applyFill="1"/>
    <xf numFmtId="0" fontId="3" fillId="4" borderId="6" xfId="0" applyFont="1" applyFill="1" applyBorder="1" applyAlignment="1">
      <alignment horizontal="left" vertical="top" wrapText="1"/>
    </xf>
    <xf numFmtId="166" fontId="5" fillId="0" borderId="6" xfId="1" applyNumberFormat="1" applyFont="1" applyBorder="1" applyAlignment="1">
      <alignment vertical="center"/>
    </xf>
    <xf numFmtId="166" fontId="5" fillId="0" borderId="1" xfId="1" applyNumberFormat="1" applyFont="1" applyBorder="1" applyAlignment="1">
      <alignment vertical="center"/>
    </xf>
    <xf numFmtId="166" fontId="5" fillId="0" borderId="2" xfId="1" applyNumberFormat="1" applyFont="1" applyBorder="1" applyAlignment="1">
      <alignment vertical="center"/>
    </xf>
    <xf numFmtId="166" fontId="5" fillId="6" borderId="1" xfId="1" applyNumberFormat="1" applyFont="1" applyFill="1" applyBorder="1" applyAlignment="1">
      <alignment vertical="center"/>
    </xf>
    <xf numFmtId="0" fontId="2" fillId="3" borderId="2" xfId="0" applyFont="1" applyFill="1" applyBorder="1" applyAlignment="1">
      <alignment horizontal="left" vertical="center" wrapText="1"/>
    </xf>
    <xf numFmtId="3" fontId="7" fillId="5" borderId="1" xfId="0" applyNumberFormat="1" applyFont="1" applyFill="1" applyBorder="1" applyAlignment="1">
      <alignment horizontal="right" vertical="center"/>
    </xf>
    <xf numFmtId="0" fontId="1" fillId="2" borderId="2"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2" xfId="0" applyFont="1" applyBorder="1" applyAlignment="1">
      <alignment horizontal="center" vertical="center" wrapText="1"/>
    </xf>
    <xf numFmtId="0" fontId="7" fillId="6" borderId="4"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7" fillId="6" borderId="16" xfId="0" applyFont="1" applyFill="1" applyBorder="1" applyAlignment="1">
      <alignment horizontal="left" vertical="center" wrapText="1"/>
    </xf>
    <xf numFmtId="0" fontId="3" fillId="6" borderId="13"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3" fillId="0" borderId="15" xfId="0" applyFont="1" applyBorder="1" applyAlignment="1">
      <alignment horizontal="left" vertical="center" wrapText="1"/>
    </xf>
    <xf numFmtId="166" fontId="5" fillId="0" borderId="6" xfId="1" applyNumberFormat="1" applyFont="1" applyBorder="1" applyAlignment="1">
      <alignment horizontal="right" vertical="center"/>
    </xf>
    <xf numFmtId="166" fontId="5" fillId="0" borderId="2" xfId="1" applyNumberFormat="1" applyFont="1" applyBorder="1" applyAlignment="1">
      <alignment horizontal="right" vertical="center"/>
    </xf>
    <xf numFmtId="0" fontId="2" fillId="3" borderId="3" xfId="0" applyFont="1" applyFill="1" applyBorder="1" applyAlignment="1">
      <alignment vertical="center" wrapText="1"/>
    </xf>
    <xf numFmtId="166" fontId="5" fillId="0" borderId="1" xfId="1" applyNumberFormat="1" applyFont="1" applyFill="1" applyBorder="1" applyAlignment="1">
      <alignment vertical="center" wrapText="1"/>
    </xf>
    <xf numFmtId="166" fontId="3" fillId="4" borderId="1" xfId="1" applyNumberFormat="1" applyFont="1" applyFill="1" applyBorder="1" applyAlignment="1">
      <alignment vertical="center" wrapText="1"/>
    </xf>
    <xf numFmtId="0" fontId="7" fillId="0" borderId="0" xfId="0" applyFont="1" applyBorder="1" applyAlignment="1">
      <alignment horizontal="left" vertical="center" wrapText="1"/>
    </xf>
    <xf numFmtId="0" fontId="3" fillId="0" borderId="0" xfId="0" applyFont="1" applyBorder="1" applyAlignment="1">
      <alignment horizontal="left"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2" fillId="0" borderId="1" xfId="4" applyFont="1" applyBorder="1" applyAlignment="1">
      <alignment vertical="center" wrapText="1"/>
    </xf>
    <xf numFmtId="0" fontId="12" fillId="0" borderId="13" xfId="4" applyFont="1" applyBorder="1" applyAlignment="1">
      <alignment vertical="center" wrapText="1"/>
    </xf>
    <xf numFmtId="166" fontId="3" fillId="0" borderId="1" xfId="1" applyNumberFormat="1" applyFont="1" applyFill="1" applyBorder="1" applyAlignment="1">
      <alignment vertical="center" wrapText="1"/>
    </xf>
    <xf numFmtId="0" fontId="7" fillId="4" borderId="1" xfId="0" applyFont="1" applyFill="1" applyBorder="1" applyAlignment="1">
      <alignment horizontal="left" vertical="center" wrapText="1"/>
    </xf>
    <xf numFmtId="166" fontId="7" fillId="6" borderId="16" xfId="0" applyNumberFormat="1" applyFont="1" applyFill="1" applyBorder="1" applyAlignment="1">
      <alignment vertical="center" wrapText="1"/>
    </xf>
    <xf numFmtId="166" fontId="7" fillId="6" borderId="2" xfId="0" applyNumberFormat="1" applyFont="1" applyFill="1" applyBorder="1" applyAlignment="1">
      <alignment horizontal="right" vertical="center" wrapText="1"/>
    </xf>
    <xf numFmtId="166" fontId="5" fillId="6" borderId="1" xfId="0" applyNumberFormat="1" applyFont="1" applyFill="1" applyBorder="1" applyAlignment="1">
      <alignment vertical="center"/>
    </xf>
    <xf numFmtId="0" fontId="7" fillId="5" borderId="1" xfId="0" applyFont="1" applyFill="1" applyBorder="1" applyAlignment="1">
      <alignment horizontal="left" vertical="center" wrapText="1"/>
    </xf>
  </cellXfs>
  <cellStyles count="5">
    <cellStyle name="Milliers" xfId="1" builtinId="3"/>
    <cellStyle name="Milliers 2" xfId="2" xr:uid="{00000000-0005-0000-0000-000001000000}"/>
    <cellStyle name="Normal" xfId="0" builtinId="0"/>
    <cellStyle name="Normal 2" xfId="3" xr:uid="{00000000-0005-0000-0000-000003000000}"/>
    <cellStyle name="Normal_Sheet1" xfId="4" xr:uid="{4B3BCAE5-ACCC-42A6-B4E4-908AE20A53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52"/>
  <sheetViews>
    <sheetView tabSelected="1" topLeftCell="B41" zoomScale="130" zoomScaleNormal="130" workbookViewId="0">
      <selection activeCell="C50" sqref="C50"/>
    </sheetView>
  </sheetViews>
  <sheetFormatPr baseColWidth="10" defaultRowHeight="14.4"/>
  <cols>
    <col min="1" max="1" width="13.6640625" hidden="1" customWidth="1"/>
    <col min="2" max="2" width="32.33203125" customWidth="1"/>
    <col min="3" max="3" width="38.5546875" customWidth="1"/>
    <col min="4" max="4" width="20.44140625" customWidth="1"/>
    <col min="5" max="5" width="8" hidden="1" customWidth="1"/>
    <col min="6" max="6" width="8.33203125" hidden="1" customWidth="1"/>
    <col min="7" max="8" width="13.77734375" customWidth="1"/>
    <col min="9" max="9" width="12" customWidth="1"/>
  </cols>
  <sheetData>
    <row r="2" spans="1:9" ht="24" customHeight="1">
      <c r="A2" s="77" t="s">
        <v>0</v>
      </c>
      <c r="B2" s="77" t="s">
        <v>1</v>
      </c>
      <c r="C2" s="77" t="s">
        <v>2</v>
      </c>
      <c r="D2" s="81" t="s">
        <v>16</v>
      </c>
      <c r="E2" s="81" t="s">
        <v>3</v>
      </c>
      <c r="F2" s="81"/>
      <c r="G2" s="87" t="s">
        <v>118</v>
      </c>
      <c r="H2" s="82" t="s">
        <v>114</v>
      </c>
      <c r="I2" s="83"/>
    </row>
    <row r="3" spans="1:9" ht="43.5" customHeight="1">
      <c r="A3" s="78"/>
      <c r="B3" s="78"/>
      <c r="C3" s="78"/>
      <c r="D3" s="65"/>
      <c r="E3" s="16" t="s">
        <v>4</v>
      </c>
      <c r="F3" s="18" t="s">
        <v>5</v>
      </c>
      <c r="G3" s="19" t="s">
        <v>6</v>
      </c>
      <c r="H3" s="63" t="s">
        <v>115</v>
      </c>
      <c r="I3" s="63" t="s">
        <v>116</v>
      </c>
    </row>
    <row r="4" spans="1:9" ht="43.5" customHeight="1">
      <c r="A4" s="81" t="s">
        <v>7</v>
      </c>
      <c r="B4" s="81"/>
      <c r="C4" s="81"/>
      <c r="D4" s="81"/>
      <c r="E4" s="81"/>
      <c r="F4" s="81"/>
      <c r="G4" s="81"/>
      <c r="H4" s="81"/>
      <c r="I4" s="81"/>
    </row>
    <row r="5" spans="1:9" ht="64.5" customHeight="1">
      <c r="A5" s="72" t="s">
        <v>49</v>
      </c>
      <c r="B5" s="58" t="s">
        <v>53</v>
      </c>
      <c r="C5" s="20" t="s">
        <v>17</v>
      </c>
      <c r="D5" s="21" t="s">
        <v>21</v>
      </c>
      <c r="E5" s="23"/>
      <c r="F5" s="22"/>
      <c r="G5" s="59">
        <f>(6000+5000+1500+2000)*550</f>
        <v>7975000</v>
      </c>
      <c r="H5" s="59">
        <v>7975000</v>
      </c>
      <c r="I5" s="40">
        <v>7975000</v>
      </c>
    </row>
    <row r="6" spans="1:9" ht="60" customHeight="1">
      <c r="A6" s="72"/>
      <c r="B6" s="2" t="s">
        <v>54</v>
      </c>
      <c r="C6" s="25" t="s">
        <v>18</v>
      </c>
      <c r="D6" s="5" t="s">
        <v>27</v>
      </c>
      <c r="E6" s="15"/>
      <c r="F6" s="1"/>
      <c r="G6" s="60">
        <f>(15000+5000+1000+1000)*550</f>
        <v>12100000</v>
      </c>
      <c r="H6" s="24">
        <v>0</v>
      </c>
      <c r="I6" s="15">
        <v>0</v>
      </c>
    </row>
    <row r="7" spans="1:9" ht="52.8">
      <c r="A7" s="72"/>
      <c r="B7" s="2" t="s">
        <v>55</v>
      </c>
      <c r="C7" s="25" t="s">
        <v>19</v>
      </c>
      <c r="D7" s="5" t="s">
        <v>28</v>
      </c>
      <c r="E7" s="15"/>
      <c r="F7" s="1"/>
      <c r="G7" s="60">
        <f>9000*550</f>
        <v>4950000</v>
      </c>
      <c r="H7" s="60">
        <v>4950000</v>
      </c>
      <c r="I7" s="15">
        <v>0</v>
      </c>
    </row>
    <row r="8" spans="1:9" ht="63" customHeight="1">
      <c r="A8" s="72"/>
      <c r="B8" s="45" t="s">
        <v>56</v>
      </c>
      <c r="C8" s="25" t="s">
        <v>57</v>
      </c>
      <c r="D8" s="5" t="s">
        <v>58</v>
      </c>
      <c r="E8" s="15"/>
      <c r="F8" s="1"/>
      <c r="G8" s="60">
        <f>(20000+12000+5000+1500+2000)*550</f>
        <v>22275000</v>
      </c>
      <c r="H8" s="24">
        <v>0</v>
      </c>
      <c r="I8" s="15"/>
    </row>
    <row r="9" spans="1:9" ht="111.75" customHeight="1">
      <c r="A9" s="72"/>
      <c r="B9" s="29" t="s">
        <v>59</v>
      </c>
      <c r="C9" s="12" t="s">
        <v>20</v>
      </c>
      <c r="D9" s="5" t="s">
        <v>29</v>
      </c>
      <c r="E9" s="5"/>
      <c r="F9" s="1"/>
      <c r="G9" s="60">
        <f>18500*550</f>
        <v>10175000</v>
      </c>
      <c r="H9" s="24"/>
      <c r="I9" s="15"/>
    </row>
    <row r="10" spans="1:9" ht="66">
      <c r="A10" s="72"/>
      <c r="B10" s="30" t="s">
        <v>60</v>
      </c>
      <c r="C10" s="12" t="s">
        <v>22</v>
      </c>
      <c r="D10" s="5" t="s">
        <v>30</v>
      </c>
      <c r="E10" s="2"/>
      <c r="F10" s="1"/>
      <c r="G10" s="60">
        <f>8500*550</f>
        <v>4675000</v>
      </c>
      <c r="H10" s="59">
        <v>4675000</v>
      </c>
      <c r="I10" s="15">
        <v>4675000</v>
      </c>
    </row>
    <row r="11" spans="1:9" ht="171" customHeight="1">
      <c r="A11" s="74"/>
      <c r="B11" s="49" t="s">
        <v>61</v>
      </c>
      <c r="C11" s="12" t="s">
        <v>117</v>
      </c>
      <c r="D11" s="5" t="s">
        <v>31</v>
      </c>
      <c r="E11" s="6"/>
      <c r="F11" s="1"/>
      <c r="G11" s="60">
        <f>49000*550</f>
        <v>26950000</v>
      </c>
      <c r="H11" s="24"/>
      <c r="I11" s="15"/>
    </row>
    <row r="12" spans="1:9" ht="145.19999999999999">
      <c r="A12" s="75"/>
      <c r="B12" s="84" t="s">
        <v>62</v>
      </c>
      <c r="C12" s="31" t="s">
        <v>23</v>
      </c>
      <c r="D12" s="29" t="s">
        <v>24</v>
      </c>
      <c r="E12" s="32"/>
      <c r="F12" s="9"/>
      <c r="G12" s="61">
        <f>5800*550</f>
        <v>3190000</v>
      </c>
      <c r="H12" s="59">
        <v>3190000</v>
      </c>
      <c r="I12" s="59">
        <v>3190000</v>
      </c>
    </row>
    <row r="13" spans="1:9" ht="39.6">
      <c r="A13" s="46"/>
      <c r="B13" s="6" t="s">
        <v>63</v>
      </c>
      <c r="C13" s="12" t="s">
        <v>65</v>
      </c>
      <c r="D13" s="30" t="s">
        <v>68</v>
      </c>
      <c r="E13" s="6"/>
      <c r="F13" s="1"/>
      <c r="G13" s="86">
        <f>5800*550</f>
        <v>3190000</v>
      </c>
      <c r="H13" s="85">
        <v>3190000</v>
      </c>
      <c r="I13" s="85">
        <v>3190000</v>
      </c>
    </row>
    <row r="14" spans="1:9" ht="26.4">
      <c r="A14" s="46"/>
      <c r="B14" s="6" t="s">
        <v>64</v>
      </c>
      <c r="C14" s="12" t="s">
        <v>66</v>
      </c>
      <c r="D14" s="30" t="s">
        <v>69</v>
      </c>
      <c r="E14" s="6"/>
      <c r="F14" s="1"/>
      <c r="G14" s="86">
        <f>17400*550</f>
        <v>9570000</v>
      </c>
      <c r="H14" s="85">
        <v>9570000</v>
      </c>
      <c r="I14" s="85">
        <v>9570000</v>
      </c>
    </row>
    <row r="15" spans="1:9">
      <c r="A15" s="69" t="s">
        <v>11</v>
      </c>
      <c r="B15" s="76"/>
      <c r="C15" s="76"/>
      <c r="D15" s="76"/>
      <c r="E15" s="76"/>
      <c r="F15" s="76"/>
      <c r="G15" s="62">
        <f>SUM(G5:G14)</f>
        <v>105050000</v>
      </c>
      <c r="H15" s="62">
        <f t="shared" ref="H15:I15" si="0">SUM(H5:H14)</f>
        <v>33550000</v>
      </c>
      <c r="I15" s="62">
        <f t="shared" si="0"/>
        <v>28600000</v>
      </c>
    </row>
    <row r="16" spans="1:9" ht="15" thickBot="1">
      <c r="A16" s="66" t="s">
        <v>8</v>
      </c>
      <c r="B16" s="67"/>
      <c r="C16" s="67"/>
      <c r="D16" s="67"/>
      <c r="E16" s="67"/>
      <c r="F16" s="67"/>
      <c r="G16" s="67"/>
      <c r="H16" s="67"/>
      <c r="I16" s="68"/>
    </row>
    <row r="17" spans="1:9" ht="66.75" customHeight="1">
      <c r="A17" s="71" t="s">
        <v>50</v>
      </c>
      <c r="B17" s="27" t="s">
        <v>71</v>
      </c>
      <c r="C17" s="41" t="s">
        <v>76</v>
      </c>
      <c r="D17" s="40" t="s">
        <v>77</v>
      </c>
      <c r="E17" s="27"/>
      <c r="F17" s="17"/>
      <c r="G17" s="86">
        <f>(25000+5000+1500+1500)*550</f>
        <v>18150000</v>
      </c>
      <c r="H17" s="86">
        <v>8554000</v>
      </c>
      <c r="I17" s="86"/>
    </row>
    <row r="18" spans="1:9" ht="79.2">
      <c r="A18" s="72"/>
      <c r="B18" s="27" t="s">
        <v>73</v>
      </c>
      <c r="C18" s="41" t="s">
        <v>25</v>
      </c>
      <c r="D18" s="40" t="s">
        <v>26</v>
      </c>
      <c r="E18" s="27"/>
      <c r="F18" s="17"/>
      <c r="G18" s="86">
        <f>(20000+5000+1500+1500)*550</f>
        <v>15400000</v>
      </c>
      <c r="H18" s="86">
        <v>4400125</v>
      </c>
      <c r="I18" s="86"/>
    </row>
    <row r="19" spans="1:9" ht="81.75" customHeight="1">
      <c r="A19" s="72"/>
      <c r="B19" s="33" t="s">
        <v>72</v>
      </c>
      <c r="C19" s="13" t="s">
        <v>32</v>
      </c>
      <c r="D19" s="7" t="s">
        <v>33</v>
      </c>
      <c r="E19" s="7"/>
      <c r="F19" s="6"/>
      <c r="G19" s="86">
        <f>550*10000</f>
        <v>5500000</v>
      </c>
      <c r="H19" s="86">
        <v>5500000</v>
      </c>
      <c r="I19" s="86"/>
    </row>
    <row r="20" spans="1:9" ht="92.25" customHeight="1">
      <c r="A20" s="72"/>
      <c r="B20" s="50" t="s">
        <v>74</v>
      </c>
      <c r="C20" s="35" t="s">
        <v>34</v>
      </c>
      <c r="D20" s="28" t="s">
        <v>35</v>
      </c>
      <c r="E20" s="51"/>
      <c r="F20" s="32"/>
      <c r="G20" s="86">
        <f>50000*550</f>
        <v>27500000</v>
      </c>
      <c r="H20" s="86">
        <v>10500000</v>
      </c>
      <c r="I20" s="86">
        <v>10500000</v>
      </c>
    </row>
    <row r="21" spans="1:9" ht="87.75" customHeight="1">
      <c r="A21" s="72"/>
      <c r="B21" s="50" t="s">
        <v>75</v>
      </c>
      <c r="C21" s="36" t="s">
        <v>78</v>
      </c>
      <c r="D21" s="51" t="s">
        <v>79</v>
      </c>
      <c r="E21" s="51"/>
      <c r="F21" s="32"/>
      <c r="G21" s="86">
        <f>270000*550</f>
        <v>148500000</v>
      </c>
      <c r="H21" s="86">
        <f>82693000+65000000</f>
        <v>147693000</v>
      </c>
      <c r="I21" s="86">
        <v>82693000</v>
      </c>
    </row>
    <row r="22" spans="1:9" ht="124.2" customHeight="1">
      <c r="A22" s="73"/>
      <c r="B22" s="31" t="s">
        <v>80</v>
      </c>
      <c r="C22" s="35" t="s">
        <v>82</v>
      </c>
      <c r="D22" s="28" t="s">
        <v>83</v>
      </c>
      <c r="E22" s="28"/>
      <c r="F22" s="32"/>
      <c r="G22" s="86">
        <f>(10000+11000+3500+2000)*550</f>
        <v>14575000</v>
      </c>
      <c r="H22" s="86">
        <v>9075075</v>
      </c>
      <c r="I22" s="86"/>
    </row>
    <row r="23" spans="1:9" ht="26.4">
      <c r="A23" s="46"/>
      <c r="B23" s="48" t="s">
        <v>81</v>
      </c>
      <c r="C23" s="12" t="s">
        <v>67</v>
      </c>
      <c r="D23" s="30" t="s">
        <v>70</v>
      </c>
      <c r="E23" s="53"/>
      <c r="F23" s="47"/>
      <c r="G23" s="86">
        <f>(39000+2000)*550</f>
        <v>22550000</v>
      </c>
      <c r="H23" s="86"/>
      <c r="I23" s="86"/>
    </row>
    <row r="24" spans="1:9">
      <c r="A24" s="69" t="s">
        <v>12</v>
      </c>
      <c r="B24" s="70"/>
      <c r="C24" s="70"/>
      <c r="D24" s="70"/>
      <c r="E24" s="70"/>
      <c r="F24" s="70"/>
      <c r="G24" s="101">
        <f>SUM(G17:G23)</f>
        <v>252175000</v>
      </c>
      <c r="H24" s="101">
        <f t="shared" ref="H24:I24" si="1">SUM(H17:H23)</f>
        <v>185722200</v>
      </c>
      <c r="I24" s="101">
        <f t="shared" si="1"/>
        <v>93193000</v>
      </c>
    </row>
    <row r="25" spans="1:9" ht="22.2" customHeight="1" thickBot="1">
      <c r="A25" s="66" t="s">
        <v>9</v>
      </c>
      <c r="B25" s="67"/>
      <c r="C25" s="67"/>
      <c r="D25" s="67"/>
      <c r="E25" s="67"/>
      <c r="F25" s="67"/>
      <c r="G25" s="67"/>
      <c r="H25" s="67"/>
      <c r="I25" s="68"/>
    </row>
    <row r="26" spans="1:9" ht="26.4">
      <c r="A26" s="71" t="s">
        <v>52</v>
      </c>
      <c r="B26" s="34" t="s">
        <v>84</v>
      </c>
      <c r="C26" s="13" t="s">
        <v>36</v>
      </c>
      <c r="D26" s="7" t="s">
        <v>37</v>
      </c>
      <c r="E26" s="7"/>
      <c r="F26" s="6"/>
      <c r="G26" s="60">
        <f>(25000+20000+4000)*550</f>
        <v>26950000</v>
      </c>
      <c r="H26" s="88">
        <v>3798125</v>
      </c>
      <c r="I26" s="89"/>
    </row>
    <row r="27" spans="1:9" ht="66">
      <c r="A27" s="72"/>
      <c r="B27" s="34" t="s">
        <v>85</v>
      </c>
      <c r="C27" s="13" t="s">
        <v>110</v>
      </c>
      <c r="D27" s="7" t="s">
        <v>111</v>
      </c>
      <c r="E27" s="7"/>
      <c r="F27" s="6"/>
      <c r="G27" s="60">
        <f>(15000+25000+4720)*550</f>
        <v>24596000</v>
      </c>
      <c r="H27" s="88">
        <v>18779750</v>
      </c>
      <c r="I27" s="89"/>
    </row>
    <row r="28" spans="1:9" ht="39.6">
      <c r="A28" s="72"/>
      <c r="B28" s="34" t="s">
        <v>86</v>
      </c>
      <c r="C28" s="13" t="s">
        <v>89</v>
      </c>
      <c r="D28" s="7" t="s">
        <v>90</v>
      </c>
      <c r="E28" s="7"/>
      <c r="F28" s="6"/>
      <c r="G28" s="60">
        <f>100000*550</f>
        <v>55000000</v>
      </c>
      <c r="H28" s="88">
        <v>4317000</v>
      </c>
      <c r="I28" s="89"/>
    </row>
    <row r="29" spans="1:9" ht="66">
      <c r="A29" s="72"/>
      <c r="B29" s="12" t="s">
        <v>87</v>
      </c>
      <c r="C29" s="8" t="s">
        <v>38</v>
      </c>
      <c r="D29" s="42" t="s">
        <v>39</v>
      </c>
      <c r="E29" s="12"/>
      <c r="F29" s="6"/>
      <c r="G29" s="60">
        <f>4000*550</f>
        <v>2200000</v>
      </c>
      <c r="H29" s="88"/>
      <c r="I29" s="89"/>
    </row>
    <row r="30" spans="1:9" ht="79.2">
      <c r="A30" s="73"/>
      <c r="B30" s="35" t="s">
        <v>88</v>
      </c>
      <c r="C30" s="35" t="s">
        <v>112</v>
      </c>
      <c r="D30" s="28" t="s">
        <v>40</v>
      </c>
      <c r="E30" s="35"/>
      <c r="F30" s="32"/>
      <c r="G30" s="61">
        <f>40000*550</f>
        <v>22000000</v>
      </c>
      <c r="H30" s="88"/>
      <c r="I30" s="89"/>
    </row>
    <row r="31" spans="1:9" ht="26.4">
      <c r="A31" s="46"/>
      <c r="B31" s="52" t="s">
        <v>91</v>
      </c>
      <c r="C31" s="52" t="s">
        <v>94</v>
      </c>
      <c r="D31" s="53" t="s">
        <v>95</v>
      </c>
      <c r="E31" s="52"/>
      <c r="F31" s="47"/>
      <c r="G31" s="61">
        <f>225000*550</f>
        <v>123750000</v>
      </c>
      <c r="H31" s="88">
        <f>23000000+24000000+23500000</f>
        <v>70500000</v>
      </c>
      <c r="I31" s="89"/>
    </row>
    <row r="32" spans="1:9" ht="39.6">
      <c r="A32" s="46"/>
      <c r="B32" s="52" t="s">
        <v>92</v>
      </c>
      <c r="C32" s="52" t="s">
        <v>67</v>
      </c>
      <c r="D32" s="53" t="s">
        <v>93</v>
      </c>
      <c r="E32" s="52"/>
      <c r="F32" s="47"/>
      <c r="G32" s="61">
        <f>(43000+2000)*550</f>
        <v>24750000</v>
      </c>
      <c r="H32" s="88"/>
      <c r="I32" s="89"/>
    </row>
    <row r="33" spans="1:10">
      <c r="A33" s="69" t="s">
        <v>13</v>
      </c>
      <c r="B33" s="70"/>
      <c r="C33" s="70"/>
      <c r="D33" s="70"/>
      <c r="E33" s="70"/>
      <c r="F33" s="70"/>
      <c r="G33" s="101">
        <f>SUM(G26:G32)</f>
        <v>279246000</v>
      </c>
      <c r="H33" s="101">
        <f t="shared" ref="H33:I33" si="2">SUM(H26:H32)</f>
        <v>97394875</v>
      </c>
      <c r="I33" s="101">
        <f t="shared" si="2"/>
        <v>0</v>
      </c>
    </row>
    <row r="34" spans="1:10" ht="15" thickBot="1">
      <c r="A34" s="66" t="s">
        <v>10</v>
      </c>
      <c r="B34" s="67"/>
      <c r="C34" s="67"/>
      <c r="D34" s="67"/>
      <c r="E34" s="67"/>
      <c r="F34" s="67"/>
      <c r="G34" s="67"/>
      <c r="H34" s="67"/>
      <c r="I34" s="68"/>
    </row>
    <row r="35" spans="1:10" ht="79.2">
      <c r="A35" s="71" t="s">
        <v>51</v>
      </c>
      <c r="B35" s="37" t="s">
        <v>96</v>
      </c>
      <c r="C35" s="43" t="s">
        <v>41</v>
      </c>
      <c r="D35" s="40" t="s">
        <v>42</v>
      </c>
      <c r="E35" s="37"/>
      <c r="F35" s="27"/>
      <c r="G35" s="61">
        <f>(1500+5000)*550</f>
        <v>3575000</v>
      </c>
      <c r="H35" s="38">
        <v>2750000</v>
      </c>
      <c r="I35" s="38">
        <v>2750000</v>
      </c>
    </row>
    <row r="36" spans="1:10" ht="90.75" customHeight="1">
      <c r="A36" s="72"/>
      <c r="B36" s="8" t="s">
        <v>97</v>
      </c>
      <c r="C36" s="8" t="s">
        <v>43</v>
      </c>
      <c r="D36" s="15" t="s">
        <v>44</v>
      </c>
      <c r="E36" s="8"/>
      <c r="F36" s="6"/>
      <c r="G36" s="61">
        <f>(1500+1000)*550</f>
        <v>1375000</v>
      </c>
      <c r="H36" s="38">
        <v>0</v>
      </c>
      <c r="I36" s="44"/>
    </row>
    <row r="37" spans="1:10" s="14" customFormat="1" ht="99" customHeight="1">
      <c r="A37" s="72"/>
      <c r="B37" s="8" t="s">
        <v>98</v>
      </c>
      <c r="C37" s="8" t="s">
        <v>45</v>
      </c>
      <c r="D37" s="15" t="s">
        <v>46</v>
      </c>
      <c r="E37" s="8"/>
      <c r="F37" s="6"/>
      <c r="G37" s="61">
        <f>11000*550</f>
        <v>6050000</v>
      </c>
      <c r="H37" s="38">
        <v>3792775</v>
      </c>
      <c r="I37" s="44"/>
    </row>
    <row r="38" spans="1:10" ht="100.5" customHeight="1">
      <c r="A38" s="72"/>
      <c r="B38" s="11" t="s">
        <v>99</v>
      </c>
      <c r="C38" s="26" t="s">
        <v>47</v>
      </c>
      <c r="D38" s="5" t="s">
        <v>48</v>
      </c>
      <c r="E38" s="4"/>
      <c r="F38" s="1"/>
      <c r="G38" s="61">
        <f>(10000+4000)*550</f>
        <v>7700000</v>
      </c>
      <c r="H38" s="38">
        <v>13000000</v>
      </c>
      <c r="I38" s="44"/>
    </row>
    <row r="39" spans="1:10" ht="75.75" customHeight="1">
      <c r="A39" s="54"/>
      <c r="B39" s="39" t="s">
        <v>100</v>
      </c>
      <c r="C39" s="26" t="s">
        <v>104</v>
      </c>
      <c r="D39" s="21" t="s">
        <v>105</v>
      </c>
      <c r="E39" s="5"/>
      <c r="F39" s="1"/>
      <c r="G39" s="61">
        <f>(15000+4000+1000)*550</f>
        <v>11000000</v>
      </c>
      <c r="H39" s="97">
        <v>2750550</v>
      </c>
      <c r="I39" s="56"/>
    </row>
    <row r="40" spans="1:10" ht="92.25" customHeight="1">
      <c r="A40" s="54"/>
      <c r="B40" s="39" t="s">
        <v>101</v>
      </c>
      <c r="C40" s="26" t="s">
        <v>106</v>
      </c>
      <c r="D40" s="5" t="s">
        <v>107</v>
      </c>
      <c r="E40" s="5"/>
      <c r="F40" s="1"/>
      <c r="G40" s="61">
        <f>(10000+2000+2000)*550</f>
        <v>7700000</v>
      </c>
      <c r="H40" s="97"/>
      <c r="I40" s="98"/>
    </row>
    <row r="41" spans="1:10" ht="38.25" customHeight="1">
      <c r="A41" s="54"/>
      <c r="B41" s="39" t="s">
        <v>102</v>
      </c>
      <c r="C41" s="26" t="s">
        <v>108</v>
      </c>
      <c r="D41" s="5" t="s">
        <v>109</v>
      </c>
      <c r="E41" s="5"/>
      <c r="F41" s="1"/>
      <c r="G41" s="61">
        <f>8000*550</f>
        <v>4400000</v>
      </c>
      <c r="H41" s="97">
        <v>4399800</v>
      </c>
      <c r="I41" s="56"/>
    </row>
    <row r="42" spans="1:10" ht="48" customHeight="1">
      <c r="A42" s="54"/>
      <c r="B42" s="39" t="s">
        <v>103</v>
      </c>
      <c r="C42" s="52" t="s">
        <v>67</v>
      </c>
      <c r="D42" s="53" t="s">
        <v>93</v>
      </c>
      <c r="E42" s="5"/>
      <c r="F42" s="1"/>
      <c r="G42" s="61">
        <f>(53000+4000)*550</f>
        <v>31350000</v>
      </c>
      <c r="H42" s="55"/>
      <c r="I42" s="98"/>
    </row>
    <row r="43" spans="1:10">
      <c r="A43" s="79" t="s">
        <v>14</v>
      </c>
      <c r="B43" s="80"/>
      <c r="C43" s="80"/>
      <c r="D43" s="80"/>
      <c r="E43" s="80"/>
      <c r="F43" s="80"/>
      <c r="G43" s="100">
        <f>SUM(G35:G42)</f>
        <v>73150000</v>
      </c>
      <c r="H43" s="100">
        <f t="shared" ref="H43:I43" si="3">SUM(H35:H42)</f>
        <v>26693125</v>
      </c>
      <c r="I43" s="100">
        <f t="shared" si="3"/>
        <v>2750000</v>
      </c>
      <c r="J43" s="10"/>
    </row>
    <row r="44" spans="1:10">
      <c r="A44" s="3"/>
      <c r="B44" s="92" t="s">
        <v>113</v>
      </c>
      <c r="C44" s="93"/>
      <c r="D44" s="93"/>
      <c r="E44" s="93"/>
      <c r="F44" s="93"/>
      <c r="G44" s="93"/>
      <c r="H44" s="93"/>
      <c r="I44" s="94"/>
      <c r="J44" s="57"/>
    </row>
    <row r="45" spans="1:10" ht="28.2" customHeight="1">
      <c r="A45" s="90"/>
      <c r="B45" s="39" t="s">
        <v>119</v>
      </c>
      <c r="C45" s="39" t="s">
        <v>131</v>
      </c>
      <c r="D45" s="39" t="s">
        <v>125</v>
      </c>
      <c r="E45" s="96"/>
      <c r="F45" s="96"/>
      <c r="G45" s="61">
        <f>15000*550</f>
        <v>8250000</v>
      </c>
      <c r="H45" s="61">
        <v>4125000</v>
      </c>
      <c r="I45" s="61"/>
      <c r="J45" s="57"/>
    </row>
    <row r="46" spans="1:10" ht="28.2" customHeight="1">
      <c r="A46" s="90"/>
      <c r="B46" s="39" t="s">
        <v>121</v>
      </c>
      <c r="C46" s="39" t="s">
        <v>130</v>
      </c>
      <c r="D46" s="39" t="s">
        <v>126</v>
      </c>
      <c r="E46" s="96"/>
      <c r="F46" s="96"/>
      <c r="G46" s="61">
        <v>1375000</v>
      </c>
      <c r="H46" s="61">
        <v>0</v>
      </c>
      <c r="I46" s="61">
        <v>0</v>
      </c>
      <c r="J46" s="57"/>
    </row>
    <row r="47" spans="1:10" ht="28.2" customHeight="1">
      <c r="A47" s="90"/>
      <c r="B47" s="39" t="s">
        <v>122</v>
      </c>
      <c r="C47" s="39" t="s">
        <v>132</v>
      </c>
      <c r="D47" s="39" t="s">
        <v>127</v>
      </c>
      <c r="E47" s="95"/>
      <c r="F47" s="95"/>
      <c r="G47" s="61">
        <f>10000*550</f>
        <v>5500000</v>
      </c>
      <c r="H47" s="61">
        <f>21980450+16822080</f>
        <v>38802530</v>
      </c>
      <c r="I47" s="61">
        <f>H47</f>
        <v>38802530</v>
      </c>
      <c r="J47" s="57"/>
    </row>
    <row r="48" spans="1:10" ht="39.6">
      <c r="A48" s="90"/>
      <c r="B48" s="39" t="s">
        <v>123</v>
      </c>
      <c r="C48" s="39" t="s">
        <v>133</v>
      </c>
      <c r="D48" s="39" t="s">
        <v>127</v>
      </c>
      <c r="E48" s="91"/>
      <c r="F48" s="91"/>
      <c r="G48" s="61">
        <f>1500*550</f>
        <v>825000</v>
      </c>
      <c r="H48" s="61">
        <v>0</v>
      </c>
      <c r="I48" s="61">
        <v>0</v>
      </c>
      <c r="J48" s="57"/>
    </row>
    <row r="49" spans="1:10" ht="39.6">
      <c r="A49" s="90"/>
      <c r="B49" s="39" t="s">
        <v>124</v>
      </c>
      <c r="C49" s="39" t="s">
        <v>134</v>
      </c>
      <c r="D49" s="39" t="s">
        <v>127</v>
      </c>
      <c r="E49" s="91"/>
      <c r="F49" s="91"/>
      <c r="G49" s="61">
        <f>5000*550</f>
        <v>2750000</v>
      </c>
      <c r="H49" s="61">
        <v>3125000</v>
      </c>
      <c r="I49" s="61">
        <v>3125000</v>
      </c>
      <c r="J49" s="57"/>
    </row>
    <row r="50" spans="1:10">
      <c r="A50" s="90"/>
      <c r="B50" s="39" t="s">
        <v>120</v>
      </c>
      <c r="C50" s="39"/>
      <c r="D50" s="39" t="s">
        <v>128</v>
      </c>
      <c r="E50" s="91"/>
      <c r="F50" s="91"/>
      <c r="G50" s="61">
        <v>150000</v>
      </c>
      <c r="H50" s="61">
        <v>150000</v>
      </c>
      <c r="I50" s="61">
        <v>150000</v>
      </c>
      <c r="J50" s="57"/>
    </row>
    <row r="51" spans="1:10">
      <c r="A51" s="90"/>
      <c r="B51" s="79" t="s">
        <v>129</v>
      </c>
      <c r="C51" s="80"/>
      <c r="D51" s="80"/>
      <c r="E51" s="91"/>
      <c r="F51" s="91"/>
      <c r="G51" s="99">
        <f>SUM(G45:G50)</f>
        <v>18850000</v>
      </c>
      <c r="H51" s="99">
        <f t="shared" ref="H51:I51" si="4">SUM(H45:H50)</f>
        <v>46202530</v>
      </c>
      <c r="I51" s="99">
        <f t="shared" si="4"/>
        <v>42077530</v>
      </c>
      <c r="J51" s="57"/>
    </row>
    <row r="52" spans="1:10" ht="34.5" customHeight="1">
      <c r="A52" s="102" t="s">
        <v>15</v>
      </c>
      <c r="B52" s="102"/>
      <c r="C52" s="102"/>
      <c r="D52" s="102"/>
      <c r="E52" s="102"/>
      <c r="F52" s="102"/>
      <c r="G52" s="64">
        <f>+G15+G24+G33+G43+G51</f>
        <v>728471000</v>
      </c>
      <c r="H52" s="64">
        <f t="shared" ref="H52:I52" si="5">+H15+H24+H33+H43+H51</f>
        <v>389562730</v>
      </c>
      <c r="I52" s="64">
        <f t="shared" si="5"/>
        <v>166620530</v>
      </c>
    </row>
  </sheetData>
  <mergeCells count="21">
    <mergeCell ref="B51:D51"/>
    <mergeCell ref="B2:B3"/>
    <mergeCell ref="A52:F52"/>
    <mergeCell ref="A43:F43"/>
    <mergeCell ref="A4:I4"/>
    <mergeCell ref="E2:F2"/>
    <mergeCell ref="H2:I2"/>
    <mergeCell ref="C2:C3"/>
    <mergeCell ref="D2:D3"/>
    <mergeCell ref="A2:A3"/>
    <mergeCell ref="B44:I44"/>
    <mergeCell ref="A35:A38"/>
    <mergeCell ref="A16:I16"/>
    <mergeCell ref="A25:I25"/>
    <mergeCell ref="A15:F15"/>
    <mergeCell ref="A24:F24"/>
    <mergeCell ref="A17:A22"/>
    <mergeCell ref="A34:I34"/>
    <mergeCell ref="A33:F33"/>
    <mergeCell ref="A26:A30"/>
    <mergeCell ref="A5:A12"/>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"Komlan ODOUDOU" &lt;komlan.odoudou@gmail.com&gt;</dc:creator>
  <cp:lastModifiedBy>hp</cp:lastModifiedBy>
  <cp:lastPrinted>2021-01-20T15:19:35Z</cp:lastPrinted>
  <dcterms:created xsi:type="dcterms:W3CDTF">2021-01-07T08:14:07Z</dcterms:created>
  <dcterms:modified xsi:type="dcterms:W3CDTF">2023-09-26T13:05:23Z</dcterms:modified>
</cp:coreProperties>
</file>