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eis Bonafe\Documents\carga\"/>
    </mc:Choice>
  </mc:AlternateContent>
  <xr:revisionPtr revIDLastSave="0" documentId="13_ncr:1_{587BCB3D-B05B-43B9-A50A-6CF16FD0D0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ISTA COMPLETA" sheetId="10" r:id="rId1"/>
    <sheet name="CARGA" sheetId="66" r:id="rId2"/>
    <sheet name="PRODUÇÃO" sheetId="64" r:id="rId3"/>
    <sheet name="SIMULADOR" sheetId="69" r:id="rId4"/>
    <sheet name="CUBAGEM PRODUTOS" sheetId="70" r:id="rId5"/>
    <sheet name="LISTA POR PEDIDO" sheetId="1" r:id="rId6"/>
    <sheet name="CARGA TOTAL" sheetId="65" state="hidden" r:id="rId7"/>
    <sheet name="PEDIDO 1" sheetId="2" state="hidden" r:id="rId8"/>
    <sheet name="PEDIDO 2" sheetId="11" state="hidden" r:id="rId9"/>
    <sheet name="PEDIDO 3" sheetId="12" state="hidden" r:id="rId10"/>
    <sheet name="PEDIDO 4" sheetId="13" state="hidden" r:id="rId11"/>
    <sheet name="PEDIDO 5" sheetId="15" state="hidden" r:id="rId12"/>
    <sheet name="PEDIDO 6" sheetId="16" state="hidden" r:id="rId13"/>
    <sheet name="PEDIDO 7" sheetId="17" state="hidden" r:id="rId14"/>
    <sheet name="PEDIDO 8" sheetId="18" state="hidden" r:id="rId15"/>
    <sheet name="PEDIDO 9" sheetId="19" state="hidden" r:id="rId16"/>
    <sheet name="PEDIDO 10" sheetId="20" state="hidden" r:id="rId17"/>
    <sheet name="PEDIDO 11" sheetId="21" state="hidden" r:id="rId18"/>
    <sheet name="PEDIDO 12" sheetId="22" state="hidden" r:id="rId19"/>
    <sheet name="PEDIDO 13" sheetId="23" state="hidden" r:id="rId20"/>
    <sheet name="PEDIDO 14" sheetId="24" state="hidden" r:id="rId21"/>
    <sheet name="PEDIDO 15" sheetId="27" state="hidden" r:id="rId22"/>
    <sheet name="PEDIDO 16" sheetId="29" state="hidden" r:id="rId23"/>
    <sheet name="PEDIDO 17" sheetId="30" state="hidden" r:id="rId24"/>
    <sheet name="PEDIDO 18" sheetId="31" state="hidden" r:id="rId25"/>
    <sheet name="PEDIDO 19" sheetId="32" state="hidden" r:id="rId26"/>
    <sheet name="PEDIDO 20" sheetId="33" state="hidden" r:id="rId27"/>
    <sheet name="PEDIDO 21" sheetId="34" state="hidden" r:id="rId28"/>
    <sheet name="PEDIDO 22" sheetId="35" state="hidden" r:id="rId29"/>
    <sheet name="PEDIDO 23" sheetId="36" state="hidden" r:id="rId30"/>
    <sheet name="PEDIDO 24" sheetId="37" state="hidden" r:id="rId31"/>
    <sheet name="PEDIDO 25" sheetId="38" state="hidden" r:id="rId32"/>
    <sheet name="PEDIDO 26" sheetId="39" state="hidden" r:id="rId33"/>
    <sheet name="PEDIDO 27" sheetId="40" state="hidden" r:id="rId34"/>
    <sheet name="PEDIDO 28" sheetId="41" state="hidden" r:id="rId35"/>
    <sheet name="PEDIDO 29" sheetId="42" state="hidden" r:id="rId36"/>
    <sheet name="PEDIDO 30" sheetId="43" state="hidden" r:id="rId37"/>
    <sheet name="PEDIDO 31" sheetId="44" state="hidden" r:id="rId38"/>
    <sheet name="PEDIDO 32" sheetId="45" state="hidden" r:id="rId39"/>
    <sheet name="PEDIDO 33" sheetId="46" state="hidden" r:id="rId40"/>
    <sheet name="PEDIDO 34" sheetId="47" state="hidden" r:id="rId41"/>
    <sheet name="PEDIDO 35" sheetId="48" state="hidden" r:id="rId42"/>
    <sheet name="PEDIDO 36" sheetId="49" state="hidden" r:id="rId43"/>
    <sheet name="PEDIDO 37" sheetId="50" state="hidden" r:id="rId44"/>
    <sheet name="PEDIDO 38" sheetId="51" state="hidden" r:id="rId45"/>
    <sheet name="PEDIDO 39" sheetId="52" state="hidden" r:id="rId46"/>
    <sheet name="PEDIDO 40" sheetId="53" state="hidden" r:id="rId47"/>
    <sheet name="PEDIDO 41" sheetId="54" state="hidden" r:id="rId48"/>
    <sheet name="PEDIDO 42" sheetId="55" state="hidden" r:id="rId49"/>
    <sheet name="PEDIDO 43" sheetId="56" state="hidden" r:id="rId50"/>
    <sheet name="PEDIDO 44" sheetId="57" state="hidden" r:id="rId51"/>
    <sheet name="PEDIDO 45" sheetId="58" state="hidden" r:id="rId52"/>
    <sheet name="PEDIDO 46" sheetId="59" state="hidden" r:id="rId53"/>
    <sheet name="PEDIDO 47" sheetId="60" state="hidden" r:id="rId54"/>
    <sheet name="PEDIDO 48" sheetId="61" state="hidden" r:id="rId55"/>
    <sheet name="PEDIDO 49" sheetId="62" state="hidden" r:id="rId56"/>
    <sheet name="PEDIDO 50" sheetId="63" state="hidden" r:id="rId57"/>
    <sheet name="PEDIDO 51" sheetId="71" state="hidden" r:id="rId58"/>
    <sheet name="PEDIDO 52" sheetId="72" state="hidden" r:id="rId59"/>
    <sheet name="PEDIDO 53" sheetId="73" state="hidden" r:id="rId60"/>
    <sheet name="PEDIDO 54" sheetId="74" state="hidden" r:id="rId61"/>
    <sheet name="PEDIDO 55" sheetId="75" state="hidden" r:id="rId62"/>
    <sheet name="PEDIDO 56" sheetId="76" state="hidden" r:id="rId63"/>
    <sheet name="PEDIDO 57" sheetId="77" state="hidden" r:id="rId64"/>
    <sheet name="PEDIDO 58" sheetId="78" state="hidden" r:id="rId65"/>
    <sheet name="PEDIDO 59" sheetId="79" state="hidden" r:id="rId66"/>
    <sheet name="PEDIDO 60" sheetId="80" state="hidden" r:id="rId67"/>
  </sheets>
  <definedNames>
    <definedName name="_xlnm.Print_Area" localSheetId="1">CARGA!$A$1:$E$26</definedName>
  </definedNames>
  <calcPr calcId="191029"/>
  <pivotCaches>
    <pivotCache cacheId="4" r:id="rId6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59" i="1" l="1"/>
  <c r="E4859" i="1"/>
  <c r="D4859" i="1"/>
  <c r="C4859" i="1"/>
  <c r="G4859" i="1"/>
  <c r="A4859" i="1"/>
  <c r="F4778" i="1"/>
  <c r="E4778" i="1"/>
  <c r="D4778" i="1"/>
  <c r="C4778" i="1"/>
  <c r="G4778" i="1"/>
  <c r="A4778" i="1"/>
  <c r="F4697" i="1"/>
  <c r="E4697" i="1"/>
  <c r="D4697" i="1"/>
  <c r="C4697" i="1"/>
  <c r="G4697" i="1" s="1"/>
  <c r="A4697" i="1"/>
  <c r="F4616" i="1"/>
  <c r="E4616" i="1"/>
  <c r="D4616" i="1"/>
  <c r="C4616" i="1"/>
  <c r="A4616" i="1"/>
  <c r="F4535" i="1"/>
  <c r="E4535" i="1"/>
  <c r="D4535" i="1"/>
  <c r="C4535" i="1"/>
  <c r="A4535" i="1"/>
  <c r="F4454" i="1"/>
  <c r="E4454" i="1"/>
  <c r="D4454" i="1"/>
  <c r="C4454" i="1"/>
  <c r="A4454" i="1"/>
  <c r="F4373" i="1"/>
  <c r="E4373" i="1"/>
  <c r="D4373" i="1"/>
  <c r="C4373" i="1"/>
  <c r="A4373" i="1"/>
  <c r="F4292" i="1"/>
  <c r="E4292" i="1"/>
  <c r="D4292" i="1"/>
  <c r="C4292" i="1"/>
  <c r="A4292" i="1"/>
  <c r="F4211" i="1"/>
  <c r="E4211" i="1"/>
  <c r="D4211" i="1"/>
  <c r="C4211" i="1"/>
  <c r="A4211" i="1"/>
  <c r="F4130" i="1"/>
  <c r="E4130" i="1"/>
  <c r="D4130" i="1"/>
  <c r="C4130" i="1"/>
  <c r="A4130" i="1"/>
  <c r="F4049" i="1"/>
  <c r="E4049" i="1"/>
  <c r="D4049" i="1"/>
  <c r="C4049" i="1"/>
  <c r="A4049" i="1"/>
  <c r="F3968" i="1"/>
  <c r="E3968" i="1"/>
  <c r="D3968" i="1"/>
  <c r="C3968" i="1"/>
  <c r="A3968" i="1"/>
  <c r="F3887" i="1"/>
  <c r="E3887" i="1"/>
  <c r="D3887" i="1"/>
  <c r="C3887" i="1"/>
  <c r="A3887" i="1"/>
  <c r="F3806" i="1"/>
  <c r="E3806" i="1"/>
  <c r="D3806" i="1"/>
  <c r="C3806" i="1"/>
  <c r="A3806" i="1"/>
  <c r="F3725" i="1"/>
  <c r="E3725" i="1"/>
  <c r="D3725" i="1"/>
  <c r="C3725" i="1"/>
  <c r="A3725" i="1"/>
  <c r="F3644" i="1"/>
  <c r="E3644" i="1"/>
  <c r="D3644" i="1"/>
  <c r="C3644" i="1"/>
  <c r="A3644" i="1"/>
  <c r="F3563" i="1"/>
  <c r="E3563" i="1"/>
  <c r="D3563" i="1"/>
  <c r="C3563" i="1"/>
  <c r="A3563" i="1"/>
  <c r="F3482" i="1"/>
  <c r="E3482" i="1"/>
  <c r="D3482" i="1"/>
  <c r="C3482" i="1"/>
  <c r="A3482" i="1"/>
  <c r="F3401" i="1"/>
  <c r="E3401" i="1"/>
  <c r="D3401" i="1"/>
  <c r="C3401" i="1"/>
  <c r="A3401" i="1"/>
  <c r="F3320" i="1"/>
  <c r="E3320" i="1"/>
  <c r="D3320" i="1"/>
  <c r="C3320" i="1"/>
  <c r="A3320" i="1"/>
  <c r="F3239" i="1"/>
  <c r="E3239" i="1"/>
  <c r="D3239" i="1"/>
  <c r="C3239" i="1"/>
  <c r="A3239" i="1"/>
  <c r="F3158" i="1"/>
  <c r="E3158" i="1"/>
  <c r="D3158" i="1"/>
  <c r="C3158" i="1"/>
  <c r="A3158" i="1"/>
  <c r="F3077" i="1"/>
  <c r="E3077" i="1"/>
  <c r="D3077" i="1"/>
  <c r="C3077" i="1"/>
  <c r="A3077" i="1"/>
  <c r="F2996" i="1"/>
  <c r="E2996" i="1"/>
  <c r="D2996" i="1"/>
  <c r="C2996" i="1"/>
  <c r="A2996" i="1"/>
  <c r="F2915" i="1"/>
  <c r="E2915" i="1"/>
  <c r="D2915" i="1"/>
  <c r="C2915" i="1"/>
  <c r="A2915" i="1"/>
  <c r="F2834" i="1"/>
  <c r="E2834" i="1"/>
  <c r="D2834" i="1"/>
  <c r="C2834" i="1"/>
  <c r="A2834" i="1"/>
  <c r="F2753" i="1"/>
  <c r="E2753" i="1"/>
  <c r="D2753" i="1"/>
  <c r="C2753" i="1"/>
  <c r="A2753" i="1"/>
  <c r="F2672" i="1"/>
  <c r="E2672" i="1"/>
  <c r="D2672" i="1"/>
  <c r="C2672" i="1"/>
  <c r="A2672" i="1"/>
  <c r="F2591" i="1"/>
  <c r="E2591" i="1"/>
  <c r="D2591" i="1"/>
  <c r="C2591" i="1"/>
  <c r="A2591" i="1"/>
  <c r="F2510" i="1"/>
  <c r="E2510" i="1"/>
  <c r="D2510" i="1"/>
  <c r="C2510" i="1"/>
  <c r="A2510" i="1"/>
  <c r="L49" i="64"/>
  <c r="K49" i="64"/>
  <c r="J49" i="64"/>
  <c r="I49" i="64"/>
  <c r="F2429" i="1"/>
  <c r="E2429" i="1"/>
  <c r="D2429" i="1"/>
  <c r="C2429" i="1"/>
  <c r="A2429" i="1"/>
  <c r="F2348" i="1"/>
  <c r="E2348" i="1"/>
  <c r="D2348" i="1"/>
  <c r="C2348" i="1"/>
  <c r="A2348" i="1"/>
  <c r="F2267" i="1"/>
  <c r="E2267" i="1"/>
  <c r="D2267" i="1"/>
  <c r="C2267" i="1"/>
  <c r="A2267" i="1"/>
  <c r="F2186" i="1"/>
  <c r="E2186" i="1"/>
  <c r="D2186" i="1"/>
  <c r="C2186" i="1"/>
  <c r="A2186" i="1"/>
  <c r="F2105" i="1"/>
  <c r="E2105" i="1"/>
  <c r="D2105" i="1"/>
  <c r="C2105" i="1"/>
  <c r="A2105" i="1"/>
  <c r="F2024" i="1"/>
  <c r="E2024" i="1"/>
  <c r="D2024" i="1"/>
  <c r="C2024" i="1"/>
  <c r="A2024" i="1"/>
  <c r="F1943" i="1"/>
  <c r="E1943" i="1"/>
  <c r="D1943" i="1"/>
  <c r="C1943" i="1"/>
  <c r="A1943" i="1"/>
  <c r="F1862" i="1"/>
  <c r="E1862" i="1"/>
  <c r="D1862" i="1"/>
  <c r="C1862" i="1"/>
  <c r="A1862" i="1"/>
  <c r="F1781" i="1"/>
  <c r="E1781" i="1"/>
  <c r="D1781" i="1"/>
  <c r="C1781" i="1"/>
  <c r="A1781" i="1"/>
  <c r="F1700" i="1"/>
  <c r="E1700" i="1"/>
  <c r="D1700" i="1"/>
  <c r="C1700" i="1"/>
  <c r="A1700" i="1"/>
  <c r="F1619" i="1"/>
  <c r="E1619" i="1"/>
  <c r="D1619" i="1"/>
  <c r="C1619" i="1"/>
  <c r="A1619" i="1"/>
  <c r="F1538" i="1"/>
  <c r="E1538" i="1"/>
  <c r="D1538" i="1"/>
  <c r="C1538" i="1"/>
  <c r="A1538" i="1"/>
  <c r="F1457" i="1"/>
  <c r="E1457" i="1"/>
  <c r="D1457" i="1"/>
  <c r="C1457" i="1"/>
  <c r="A1457" i="1"/>
  <c r="F1376" i="1"/>
  <c r="E1376" i="1"/>
  <c r="D1376" i="1"/>
  <c r="C1376" i="1"/>
  <c r="A1376" i="1"/>
  <c r="F1295" i="1"/>
  <c r="E1295" i="1"/>
  <c r="D1295" i="1"/>
  <c r="C1295" i="1"/>
  <c r="A1295" i="1"/>
  <c r="F1214" i="1"/>
  <c r="E1214" i="1"/>
  <c r="D1214" i="1"/>
  <c r="C1214" i="1"/>
  <c r="A1214" i="1"/>
  <c r="F1133" i="1"/>
  <c r="E1133" i="1"/>
  <c r="D1133" i="1"/>
  <c r="C1133" i="1"/>
  <c r="A1133" i="1"/>
  <c r="F1052" i="1"/>
  <c r="E1052" i="1"/>
  <c r="D1052" i="1"/>
  <c r="C1052" i="1"/>
  <c r="A1052" i="1"/>
  <c r="F971" i="1"/>
  <c r="E971" i="1"/>
  <c r="D971" i="1"/>
  <c r="C971" i="1"/>
  <c r="A971" i="1"/>
  <c r="F890" i="1"/>
  <c r="E890" i="1"/>
  <c r="D890" i="1"/>
  <c r="C890" i="1"/>
  <c r="A890" i="1"/>
  <c r="F809" i="1"/>
  <c r="E809" i="1"/>
  <c r="D809" i="1"/>
  <c r="C809" i="1"/>
  <c r="A809" i="1"/>
  <c r="F728" i="1"/>
  <c r="E728" i="1"/>
  <c r="D728" i="1"/>
  <c r="C728" i="1"/>
  <c r="A728" i="1"/>
  <c r="F647" i="1"/>
  <c r="E647" i="1"/>
  <c r="D647" i="1"/>
  <c r="C647" i="1"/>
  <c r="A647" i="1"/>
  <c r="F566" i="1"/>
  <c r="E566" i="1"/>
  <c r="D566" i="1"/>
  <c r="C566" i="1"/>
  <c r="A566" i="1"/>
  <c r="F485" i="1"/>
  <c r="E485" i="1"/>
  <c r="D485" i="1"/>
  <c r="C485" i="1"/>
  <c r="A485" i="1"/>
  <c r="F404" i="1"/>
  <c r="E404" i="1"/>
  <c r="D404" i="1"/>
  <c r="C404" i="1"/>
  <c r="A404" i="1"/>
  <c r="F323" i="1"/>
  <c r="E323" i="1"/>
  <c r="D323" i="1"/>
  <c r="C323" i="1"/>
  <c r="A323" i="1"/>
  <c r="F242" i="1"/>
  <c r="E242" i="1"/>
  <c r="D242" i="1"/>
  <c r="C242" i="1"/>
  <c r="A242" i="1"/>
  <c r="F161" i="1"/>
  <c r="E161" i="1"/>
  <c r="D161" i="1"/>
  <c r="C161" i="1"/>
  <c r="A161" i="1"/>
  <c r="F80" i="1"/>
  <c r="E80" i="1"/>
  <c r="D80" i="1"/>
  <c r="C80" i="1"/>
  <c r="A80" i="1"/>
  <c r="C4858" i="1"/>
  <c r="G4858" i="1" s="1"/>
  <c r="C4857" i="1"/>
  <c r="G4857" i="1" s="1"/>
  <c r="C4856" i="1"/>
  <c r="G4856" i="1" s="1"/>
  <c r="C4855" i="1"/>
  <c r="G4855" i="1" s="1"/>
  <c r="C4854" i="1"/>
  <c r="G4854" i="1" s="1"/>
  <c r="C4853" i="1"/>
  <c r="G4853" i="1" s="1"/>
  <c r="C4852" i="1"/>
  <c r="G4852" i="1" s="1"/>
  <c r="C4851" i="1"/>
  <c r="G4851" i="1" s="1"/>
  <c r="C4850" i="1"/>
  <c r="G4850" i="1" s="1"/>
  <c r="C4849" i="1"/>
  <c r="G4849" i="1" s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G4811" i="1" s="1"/>
  <c r="C4810" i="1"/>
  <c r="G4810" i="1" s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G4792" i="1" s="1"/>
  <c r="C4791" i="1"/>
  <c r="C4790" i="1"/>
  <c r="C4789" i="1"/>
  <c r="C4788" i="1"/>
  <c r="C4787" i="1"/>
  <c r="C4786" i="1"/>
  <c r="C4785" i="1"/>
  <c r="C4784" i="1"/>
  <c r="C4783" i="1"/>
  <c r="C4782" i="1"/>
  <c r="C4781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F4848" i="1"/>
  <c r="E4848" i="1"/>
  <c r="D4848" i="1"/>
  <c r="F4847" i="1"/>
  <c r="E4847" i="1"/>
  <c r="D4847" i="1"/>
  <c r="F4846" i="1"/>
  <c r="E4846" i="1"/>
  <c r="D4846" i="1"/>
  <c r="F4845" i="1"/>
  <c r="E4845" i="1"/>
  <c r="D4845" i="1"/>
  <c r="F4844" i="1"/>
  <c r="E4844" i="1"/>
  <c r="D4844" i="1"/>
  <c r="F4843" i="1"/>
  <c r="E4843" i="1"/>
  <c r="D4843" i="1"/>
  <c r="F4842" i="1"/>
  <c r="E4842" i="1"/>
  <c r="D4842" i="1"/>
  <c r="F4841" i="1"/>
  <c r="E4841" i="1"/>
  <c r="D4841" i="1"/>
  <c r="F4840" i="1"/>
  <c r="E4840" i="1"/>
  <c r="D4840" i="1"/>
  <c r="F4839" i="1"/>
  <c r="E4839" i="1"/>
  <c r="D4839" i="1"/>
  <c r="F4838" i="1"/>
  <c r="E4838" i="1"/>
  <c r="D4838" i="1"/>
  <c r="F4837" i="1"/>
  <c r="E4837" i="1"/>
  <c r="D4837" i="1"/>
  <c r="F4836" i="1"/>
  <c r="E4836" i="1"/>
  <c r="D4836" i="1"/>
  <c r="F4835" i="1"/>
  <c r="E4835" i="1"/>
  <c r="D4835" i="1"/>
  <c r="F4834" i="1"/>
  <c r="E4834" i="1"/>
  <c r="D4834" i="1"/>
  <c r="F4833" i="1"/>
  <c r="E4833" i="1"/>
  <c r="D4833" i="1"/>
  <c r="F4832" i="1"/>
  <c r="E4832" i="1"/>
  <c r="D4832" i="1"/>
  <c r="F4831" i="1"/>
  <c r="E4831" i="1"/>
  <c r="D4831" i="1"/>
  <c r="F4830" i="1"/>
  <c r="E4830" i="1"/>
  <c r="D4830" i="1"/>
  <c r="F4829" i="1"/>
  <c r="E4829" i="1"/>
  <c r="D4829" i="1"/>
  <c r="F4828" i="1"/>
  <c r="E4828" i="1"/>
  <c r="D4828" i="1"/>
  <c r="F4827" i="1"/>
  <c r="E4827" i="1"/>
  <c r="D4827" i="1"/>
  <c r="F4826" i="1"/>
  <c r="E4826" i="1"/>
  <c r="D4826" i="1"/>
  <c r="F4825" i="1"/>
  <c r="E4825" i="1"/>
  <c r="D4825" i="1"/>
  <c r="F4824" i="1"/>
  <c r="E4824" i="1"/>
  <c r="D4824" i="1"/>
  <c r="F4823" i="1"/>
  <c r="E4823" i="1"/>
  <c r="D4823" i="1"/>
  <c r="F4822" i="1"/>
  <c r="E4822" i="1"/>
  <c r="D4822" i="1"/>
  <c r="F4821" i="1"/>
  <c r="E4821" i="1"/>
  <c r="D4821" i="1"/>
  <c r="F4820" i="1"/>
  <c r="E4820" i="1"/>
  <c r="D4820" i="1"/>
  <c r="F4819" i="1"/>
  <c r="E4819" i="1"/>
  <c r="D4819" i="1"/>
  <c r="F4818" i="1"/>
  <c r="E4818" i="1"/>
  <c r="D4818" i="1"/>
  <c r="F4817" i="1"/>
  <c r="E4817" i="1"/>
  <c r="D4817" i="1"/>
  <c r="F4816" i="1"/>
  <c r="E4816" i="1"/>
  <c r="D4816" i="1"/>
  <c r="F4815" i="1"/>
  <c r="E4815" i="1"/>
  <c r="D4815" i="1"/>
  <c r="F4814" i="1"/>
  <c r="E4814" i="1"/>
  <c r="D4814" i="1"/>
  <c r="F4813" i="1"/>
  <c r="E4813" i="1"/>
  <c r="D4813" i="1"/>
  <c r="F4812" i="1"/>
  <c r="E4812" i="1"/>
  <c r="D4812" i="1"/>
  <c r="F4809" i="1"/>
  <c r="E4809" i="1"/>
  <c r="D4809" i="1"/>
  <c r="F4808" i="1"/>
  <c r="E4808" i="1"/>
  <c r="D4808" i="1"/>
  <c r="F4807" i="1"/>
  <c r="E4807" i="1"/>
  <c r="D4807" i="1"/>
  <c r="F4806" i="1"/>
  <c r="E4806" i="1"/>
  <c r="D4806" i="1"/>
  <c r="F4805" i="1"/>
  <c r="E4805" i="1"/>
  <c r="D4805" i="1"/>
  <c r="F4804" i="1"/>
  <c r="E4804" i="1"/>
  <c r="D4804" i="1"/>
  <c r="F4803" i="1"/>
  <c r="E4803" i="1"/>
  <c r="D4803" i="1"/>
  <c r="F4802" i="1"/>
  <c r="E4802" i="1"/>
  <c r="D4802" i="1"/>
  <c r="F4801" i="1"/>
  <c r="E4801" i="1"/>
  <c r="D4801" i="1"/>
  <c r="F4800" i="1"/>
  <c r="E4800" i="1"/>
  <c r="D4800" i="1"/>
  <c r="F4799" i="1"/>
  <c r="E4799" i="1"/>
  <c r="D4799" i="1"/>
  <c r="F4798" i="1"/>
  <c r="E4798" i="1"/>
  <c r="D4798" i="1"/>
  <c r="F4797" i="1"/>
  <c r="E4797" i="1"/>
  <c r="D4797" i="1"/>
  <c r="F4796" i="1"/>
  <c r="E4796" i="1"/>
  <c r="D4796" i="1"/>
  <c r="F4795" i="1"/>
  <c r="E4795" i="1"/>
  <c r="D4795" i="1"/>
  <c r="F4794" i="1"/>
  <c r="E4794" i="1"/>
  <c r="D4794" i="1"/>
  <c r="F4793" i="1"/>
  <c r="E4793" i="1"/>
  <c r="D4793" i="1"/>
  <c r="F4791" i="1"/>
  <c r="E4791" i="1"/>
  <c r="D4791" i="1"/>
  <c r="F4790" i="1"/>
  <c r="E4790" i="1"/>
  <c r="D4790" i="1"/>
  <c r="F4789" i="1"/>
  <c r="E4789" i="1"/>
  <c r="D4789" i="1"/>
  <c r="F4788" i="1"/>
  <c r="E4788" i="1"/>
  <c r="D4788" i="1"/>
  <c r="F4787" i="1"/>
  <c r="E4787" i="1"/>
  <c r="D4787" i="1"/>
  <c r="F4786" i="1"/>
  <c r="E4786" i="1"/>
  <c r="D4786" i="1"/>
  <c r="F4785" i="1"/>
  <c r="E4785" i="1"/>
  <c r="D4785" i="1"/>
  <c r="F4784" i="1"/>
  <c r="E4784" i="1"/>
  <c r="D4784" i="1"/>
  <c r="F4783" i="1"/>
  <c r="E4783" i="1"/>
  <c r="D4783" i="1"/>
  <c r="F4782" i="1"/>
  <c r="E4782" i="1"/>
  <c r="D4782" i="1"/>
  <c r="F4781" i="1"/>
  <c r="E4781" i="1"/>
  <c r="D4781" i="1"/>
  <c r="C4777" i="1"/>
  <c r="G4777" i="1" s="1"/>
  <c r="C4776" i="1"/>
  <c r="G4776" i="1" s="1"/>
  <c r="C4775" i="1"/>
  <c r="G4775" i="1" s="1"/>
  <c r="C4774" i="1"/>
  <c r="G4774" i="1" s="1"/>
  <c r="C4773" i="1"/>
  <c r="G4773" i="1" s="1"/>
  <c r="C4772" i="1"/>
  <c r="G4772" i="1" s="1"/>
  <c r="C4771" i="1"/>
  <c r="G4771" i="1" s="1"/>
  <c r="C4770" i="1"/>
  <c r="G4770" i="1" s="1"/>
  <c r="C4769" i="1"/>
  <c r="G4769" i="1" s="1"/>
  <c r="C4768" i="1"/>
  <c r="G4768" i="1" s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G4730" i="1" s="1"/>
  <c r="C4729" i="1"/>
  <c r="G4729" i="1" s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G4711" i="1" s="1"/>
  <c r="C4710" i="1"/>
  <c r="C4709" i="1"/>
  <c r="C4708" i="1"/>
  <c r="C4707" i="1"/>
  <c r="C4706" i="1"/>
  <c r="C4705" i="1"/>
  <c r="C4704" i="1"/>
  <c r="C4703" i="1"/>
  <c r="C4702" i="1"/>
  <c r="C4701" i="1"/>
  <c r="C4700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F4767" i="1"/>
  <c r="E4767" i="1"/>
  <c r="D4767" i="1"/>
  <c r="F4766" i="1"/>
  <c r="E4766" i="1"/>
  <c r="D4766" i="1"/>
  <c r="F4765" i="1"/>
  <c r="E4765" i="1"/>
  <c r="D4765" i="1"/>
  <c r="F4764" i="1"/>
  <c r="E4764" i="1"/>
  <c r="D4764" i="1"/>
  <c r="F4763" i="1"/>
  <c r="E4763" i="1"/>
  <c r="D4763" i="1"/>
  <c r="F4762" i="1"/>
  <c r="E4762" i="1"/>
  <c r="D4762" i="1"/>
  <c r="F4761" i="1"/>
  <c r="E4761" i="1"/>
  <c r="D4761" i="1"/>
  <c r="F4760" i="1"/>
  <c r="E4760" i="1"/>
  <c r="D4760" i="1"/>
  <c r="F4759" i="1"/>
  <c r="E4759" i="1"/>
  <c r="D4759" i="1"/>
  <c r="F4758" i="1"/>
  <c r="E4758" i="1"/>
  <c r="D4758" i="1"/>
  <c r="F4757" i="1"/>
  <c r="E4757" i="1"/>
  <c r="D4757" i="1"/>
  <c r="F4756" i="1"/>
  <c r="E4756" i="1"/>
  <c r="D4756" i="1"/>
  <c r="F4755" i="1"/>
  <c r="E4755" i="1"/>
  <c r="D4755" i="1"/>
  <c r="F4754" i="1"/>
  <c r="E4754" i="1"/>
  <c r="D4754" i="1"/>
  <c r="F4753" i="1"/>
  <c r="E4753" i="1"/>
  <c r="D4753" i="1"/>
  <c r="F4752" i="1"/>
  <c r="E4752" i="1"/>
  <c r="D4752" i="1"/>
  <c r="F4751" i="1"/>
  <c r="E4751" i="1"/>
  <c r="D4751" i="1"/>
  <c r="F4750" i="1"/>
  <c r="E4750" i="1"/>
  <c r="D4750" i="1"/>
  <c r="F4749" i="1"/>
  <c r="E4749" i="1"/>
  <c r="D4749" i="1"/>
  <c r="F4748" i="1"/>
  <c r="E4748" i="1"/>
  <c r="D4748" i="1"/>
  <c r="F4747" i="1"/>
  <c r="E4747" i="1"/>
  <c r="D4747" i="1"/>
  <c r="F4746" i="1"/>
  <c r="E4746" i="1"/>
  <c r="D4746" i="1"/>
  <c r="F4745" i="1"/>
  <c r="E4745" i="1"/>
  <c r="D4745" i="1"/>
  <c r="F4744" i="1"/>
  <c r="E4744" i="1"/>
  <c r="D4744" i="1"/>
  <c r="F4743" i="1"/>
  <c r="E4743" i="1"/>
  <c r="D4743" i="1"/>
  <c r="F4742" i="1"/>
  <c r="E4742" i="1"/>
  <c r="D4742" i="1"/>
  <c r="F4741" i="1"/>
  <c r="E4741" i="1"/>
  <c r="D4741" i="1"/>
  <c r="F4740" i="1"/>
  <c r="E4740" i="1"/>
  <c r="D4740" i="1"/>
  <c r="F4739" i="1"/>
  <c r="E4739" i="1"/>
  <c r="D4739" i="1"/>
  <c r="F4738" i="1"/>
  <c r="E4738" i="1"/>
  <c r="D4738" i="1"/>
  <c r="F4737" i="1"/>
  <c r="E4737" i="1"/>
  <c r="D4737" i="1"/>
  <c r="F4736" i="1"/>
  <c r="E4736" i="1"/>
  <c r="D4736" i="1"/>
  <c r="F4735" i="1"/>
  <c r="E4735" i="1"/>
  <c r="D4735" i="1"/>
  <c r="F4734" i="1"/>
  <c r="E4734" i="1"/>
  <c r="D4734" i="1"/>
  <c r="F4733" i="1"/>
  <c r="E4733" i="1"/>
  <c r="D4733" i="1"/>
  <c r="F4732" i="1"/>
  <c r="E4732" i="1"/>
  <c r="D4732" i="1"/>
  <c r="F4731" i="1"/>
  <c r="E4731" i="1"/>
  <c r="D4731" i="1"/>
  <c r="F4728" i="1"/>
  <c r="E4728" i="1"/>
  <c r="D4728" i="1"/>
  <c r="F4727" i="1"/>
  <c r="E4727" i="1"/>
  <c r="D4727" i="1"/>
  <c r="F4726" i="1"/>
  <c r="E4726" i="1"/>
  <c r="D4726" i="1"/>
  <c r="F4725" i="1"/>
  <c r="E4725" i="1"/>
  <c r="D4725" i="1"/>
  <c r="F4724" i="1"/>
  <c r="E4724" i="1"/>
  <c r="D4724" i="1"/>
  <c r="F4723" i="1"/>
  <c r="E4723" i="1"/>
  <c r="D4723" i="1"/>
  <c r="F4722" i="1"/>
  <c r="E4722" i="1"/>
  <c r="D4722" i="1"/>
  <c r="F4721" i="1"/>
  <c r="E4721" i="1"/>
  <c r="D4721" i="1"/>
  <c r="F4720" i="1"/>
  <c r="E4720" i="1"/>
  <c r="D4720" i="1"/>
  <c r="F4719" i="1"/>
  <c r="E4719" i="1"/>
  <c r="D4719" i="1"/>
  <c r="F4718" i="1"/>
  <c r="E4718" i="1"/>
  <c r="D4718" i="1"/>
  <c r="F4717" i="1"/>
  <c r="E4717" i="1"/>
  <c r="D4717" i="1"/>
  <c r="F4716" i="1"/>
  <c r="E4716" i="1"/>
  <c r="D4716" i="1"/>
  <c r="F4715" i="1"/>
  <c r="E4715" i="1"/>
  <c r="D4715" i="1"/>
  <c r="F4714" i="1"/>
  <c r="E4714" i="1"/>
  <c r="D4714" i="1"/>
  <c r="F4713" i="1"/>
  <c r="E4713" i="1"/>
  <c r="D4713" i="1"/>
  <c r="F4712" i="1"/>
  <c r="E4712" i="1"/>
  <c r="D4712" i="1"/>
  <c r="F4710" i="1"/>
  <c r="E4710" i="1"/>
  <c r="D4710" i="1"/>
  <c r="F4709" i="1"/>
  <c r="E4709" i="1"/>
  <c r="D4709" i="1"/>
  <c r="F4708" i="1"/>
  <c r="E4708" i="1"/>
  <c r="D4708" i="1"/>
  <c r="F4707" i="1"/>
  <c r="E4707" i="1"/>
  <c r="D4707" i="1"/>
  <c r="F4706" i="1"/>
  <c r="E4706" i="1"/>
  <c r="D4706" i="1"/>
  <c r="F4705" i="1"/>
  <c r="E4705" i="1"/>
  <c r="D4705" i="1"/>
  <c r="F4704" i="1"/>
  <c r="E4704" i="1"/>
  <c r="D4704" i="1"/>
  <c r="F4703" i="1"/>
  <c r="E4703" i="1"/>
  <c r="D4703" i="1"/>
  <c r="F4702" i="1"/>
  <c r="E4702" i="1"/>
  <c r="D4702" i="1"/>
  <c r="F4701" i="1"/>
  <c r="E4701" i="1"/>
  <c r="D4701" i="1"/>
  <c r="F4700" i="1"/>
  <c r="E4700" i="1"/>
  <c r="D4700" i="1"/>
  <c r="C4696" i="1"/>
  <c r="G4696" i="1" s="1"/>
  <c r="C4695" i="1"/>
  <c r="G4695" i="1" s="1"/>
  <c r="C4694" i="1"/>
  <c r="G4694" i="1" s="1"/>
  <c r="C4693" i="1"/>
  <c r="G4693" i="1" s="1"/>
  <c r="C4692" i="1"/>
  <c r="G4692" i="1" s="1"/>
  <c r="C4691" i="1"/>
  <c r="G4691" i="1" s="1"/>
  <c r="C4690" i="1"/>
  <c r="G4690" i="1" s="1"/>
  <c r="C4689" i="1"/>
  <c r="G4689" i="1" s="1"/>
  <c r="C4688" i="1"/>
  <c r="G4688" i="1" s="1"/>
  <c r="C4687" i="1"/>
  <c r="G4687" i="1" s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G4649" i="1" s="1"/>
  <c r="C4648" i="1"/>
  <c r="G4648" i="1" s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G4630" i="1" s="1"/>
  <c r="C4629" i="1"/>
  <c r="C4628" i="1"/>
  <c r="C4627" i="1"/>
  <c r="C4626" i="1"/>
  <c r="C4625" i="1"/>
  <c r="C4624" i="1"/>
  <c r="C4623" i="1"/>
  <c r="C4622" i="1"/>
  <c r="C4621" i="1"/>
  <c r="C4620" i="1"/>
  <c r="C4619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F4686" i="1"/>
  <c r="E4686" i="1"/>
  <c r="D4686" i="1"/>
  <c r="F4685" i="1"/>
  <c r="E4685" i="1"/>
  <c r="D4685" i="1"/>
  <c r="F4684" i="1"/>
  <c r="E4684" i="1"/>
  <c r="D4684" i="1"/>
  <c r="F4683" i="1"/>
  <c r="E4683" i="1"/>
  <c r="D4683" i="1"/>
  <c r="F4682" i="1"/>
  <c r="E4682" i="1"/>
  <c r="D4682" i="1"/>
  <c r="F4681" i="1"/>
  <c r="E4681" i="1"/>
  <c r="D4681" i="1"/>
  <c r="F4680" i="1"/>
  <c r="E4680" i="1"/>
  <c r="D4680" i="1"/>
  <c r="F4679" i="1"/>
  <c r="E4679" i="1"/>
  <c r="D4679" i="1"/>
  <c r="F4678" i="1"/>
  <c r="E4678" i="1"/>
  <c r="D4678" i="1"/>
  <c r="F4677" i="1"/>
  <c r="E4677" i="1"/>
  <c r="D4677" i="1"/>
  <c r="F4676" i="1"/>
  <c r="E4676" i="1"/>
  <c r="D4676" i="1"/>
  <c r="F4675" i="1"/>
  <c r="E4675" i="1"/>
  <c r="D4675" i="1"/>
  <c r="F4674" i="1"/>
  <c r="E4674" i="1"/>
  <c r="D4674" i="1"/>
  <c r="F4673" i="1"/>
  <c r="E4673" i="1"/>
  <c r="D4673" i="1"/>
  <c r="F4672" i="1"/>
  <c r="E4672" i="1"/>
  <c r="D4672" i="1"/>
  <c r="F4671" i="1"/>
  <c r="E4671" i="1"/>
  <c r="D4671" i="1"/>
  <c r="F4670" i="1"/>
  <c r="E4670" i="1"/>
  <c r="D4670" i="1"/>
  <c r="F4669" i="1"/>
  <c r="E4669" i="1"/>
  <c r="D4669" i="1"/>
  <c r="F4668" i="1"/>
  <c r="E4668" i="1"/>
  <c r="D4668" i="1"/>
  <c r="F4667" i="1"/>
  <c r="E4667" i="1"/>
  <c r="D4667" i="1"/>
  <c r="F4666" i="1"/>
  <c r="E4666" i="1"/>
  <c r="D4666" i="1"/>
  <c r="F4665" i="1"/>
  <c r="E4665" i="1"/>
  <c r="D4665" i="1"/>
  <c r="F4664" i="1"/>
  <c r="E4664" i="1"/>
  <c r="D4664" i="1"/>
  <c r="F4663" i="1"/>
  <c r="E4663" i="1"/>
  <c r="D4663" i="1"/>
  <c r="F4662" i="1"/>
  <c r="E4662" i="1"/>
  <c r="D4662" i="1"/>
  <c r="F4661" i="1"/>
  <c r="E4661" i="1"/>
  <c r="D4661" i="1"/>
  <c r="F4660" i="1"/>
  <c r="E4660" i="1"/>
  <c r="D4660" i="1"/>
  <c r="F4659" i="1"/>
  <c r="E4659" i="1"/>
  <c r="D4659" i="1"/>
  <c r="F4658" i="1"/>
  <c r="E4658" i="1"/>
  <c r="D4658" i="1"/>
  <c r="F4657" i="1"/>
  <c r="E4657" i="1"/>
  <c r="D4657" i="1"/>
  <c r="F4656" i="1"/>
  <c r="E4656" i="1"/>
  <c r="D4656" i="1"/>
  <c r="F4655" i="1"/>
  <c r="E4655" i="1"/>
  <c r="D4655" i="1"/>
  <c r="F4654" i="1"/>
  <c r="E4654" i="1"/>
  <c r="D4654" i="1"/>
  <c r="F4653" i="1"/>
  <c r="E4653" i="1"/>
  <c r="D4653" i="1"/>
  <c r="F4652" i="1"/>
  <c r="E4652" i="1"/>
  <c r="D4652" i="1"/>
  <c r="F4651" i="1"/>
  <c r="E4651" i="1"/>
  <c r="D4651" i="1"/>
  <c r="F4650" i="1"/>
  <c r="E4650" i="1"/>
  <c r="D4650" i="1"/>
  <c r="F4647" i="1"/>
  <c r="E4647" i="1"/>
  <c r="D4647" i="1"/>
  <c r="F4646" i="1"/>
  <c r="E4646" i="1"/>
  <c r="D4646" i="1"/>
  <c r="F4645" i="1"/>
  <c r="E4645" i="1"/>
  <c r="D4645" i="1"/>
  <c r="F4644" i="1"/>
  <c r="E4644" i="1"/>
  <c r="D4644" i="1"/>
  <c r="F4643" i="1"/>
  <c r="E4643" i="1"/>
  <c r="D4643" i="1"/>
  <c r="F4642" i="1"/>
  <c r="E4642" i="1"/>
  <c r="D4642" i="1"/>
  <c r="F4641" i="1"/>
  <c r="E4641" i="1"/>
  <c r="D4641" i="1"/>
  <c r="F4640" i="1"/>
  <c r="E4640" i="1"/>
  <c r="D4640" i="1"/>
  <c r="F4639" i="1"/>
  <c r="E4639" i="1"/>
  <c r="D4639" i="1"/>
  <c r="F4638" i="1"/>
  <c r="E4638" i="1"/>
  <c r="D4638" i="1"/>
  <c r="F4637" i="1"/>
  <c r="E4637" i="1"/>
  <c r="D4637" i="1"/>
  <c r="F4636" i="1"/>
  <c r="E4636" i="1"/>
  <c r="D4636" i="1"/>
  <c r="F4635" i="1"/>
  <c r="E4635" i="1"/>
  <c r="D4635" i="1"/>
  <c r="F4634" i="1"/>
  <c r="E4634" i="1"/>
  <c r="D4634" i="1"/>
  <c r="F4633" i="1"/>
  <c r="E4633" i="1"/>
  <c r="D4633" i="1"/>
  <c r="F4632" i="1"/>
  <c r="E4632" i="1"/>
  <c r="D4632" i="1"/>
  <c r="F4631" i="1"/>
  <c r="E4631" i="1"/>
  <c r="D4631" i="1"/>
  <c r="F4629" i="1"/>
  <c r="E4629" i="1"/>
  <c r="D4629" i="1"/>
  <c r="F4628" i="1"/>
  <c r="E4628" i="1"/>
  <c r="D4628" i="1"/>
  <c r="F4627" i="1"/>
  <c r="E4627" i="1"/>
  <c r="D4627" i="1"/>
  <c r="F4626" i="1"/>
  <c r="E4626" i="1"/>
  <c r="D4626" i="1"/>
  <c r="F4625" i="1"/>
  <c r="E4625" i="1"/>
  <c r="D4625" i="1"/>
  <c r="F4624" i="1"/>
  <c r="E4624" i="1"/>
  <c r="D4624" i="1"/>
  <c r="F4623" i="1"/>
  <c r="E4623" i="1"/>
  <c r="D4623" i="1"/>
  <c r="F4622" i="1"/>
  <c r="E4622" i="1"/>
  <c r="D4622" i="1"/>
  <c r="F4621" i="1"/>
  <c r="E4621" i="1"/>
  <c r="D4621" i="1"/>
  <c r="F4620" i="1"/>
  <c r="E4620" i="1"/>
  <c r="D4620" i="1"/>
  <c r="F4619" i="1"/>
  <c r="E4619" i="1"/>
  <c r="D4619" i="1"/>
  <c r="C4615" i="1"/>
  <c r="G4615" i="1" s="1"/>
  <c r="C4614" i="1"/>
  <c r="G4614" i="1" s="1"/>
  <c r="C4613" i="1"/>
  <c r="G4613" i="1" s="1"/>
  <c r="C4612" i="1"/>
  <c r="G4612" i="1" s="1"/>
  <c r="C4611" i="1"/>
  <c r="G4611" i="1" s="1"/>
  <c r="C4610" i="1"/>
  <c r="G4610" i="1" s="1"/>
  <c r="C4609" i="1"/>
  <c r="G4609" i="1" s="1"/>
  <c r="C4608" i="1"/>
  <c r="G4608" i="1" s="1"/>
  <c r="C4607" i="1"/>
  <c r="G4607" i="1" s="1"/>
  <c r="C4606" i="1"/>
  <c r="G4606" i="1" s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G4568" i="1" s="1"/>
  <c r="C4567" i="1"/>
  <c r="G4567" i="1" s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G4549" i="1" s="1"/>
  <c r="C4548" i="1"/>
  <c r="C4547" i="1"/>
  <c r="C4546" i="1"/>
  <c r="C4545" i="1"/>
  <c r="C4544" i="1"/>
  <c r="C4543" i="1"/>
  <c r="C4542" i="1"/>
  <c r="C4541" i="1"/>
  <c r="C4540" i="1"/>
  <c r="C4539" i="1"/>
  <c r="C4538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F4605" i="1"/>
  <c r="E4605" i="1"/>
  <c r="D4605" i="1"/>
  <c r="F4604" i="1"/>
  <c r="E4604" i="1"/>
  <c r="D4604" i="1"/>
  <c r="F4603" i="1"/>
  <c r="E4603" i="1"/>
  <c r="D4603" i="1"/>
  <c r="F4602" i="1"/>
  <c r="E4602" i="1"/>
  <c r="D4602" i="1"/>
  <c r="F4601" i="1"/>
  <c r="E4601" i="1"/>
  <c r="D4601" i="1"/>
  <c r="F4600" i="1"/>
  <c r="E4600" i="1"/>
  <c r="D4600" i="1"/>
  <c r="F4599" i="1"/>
  <c r="E4599" i="1"/>
  <c r="D4599" i="1"/>
  <c r="F4598" i="1"/>
  <c r="E4598" i="1"/>
  <c r="D4598" i="1"/>
  <c r="F4597" i="1"/>
  <c r="E4597" i="1"/>
  <c r="D4597" i="1"/>
  <c r="F4596" i="1"/>
  <c r="E4596" i="1"/>
  <c r="D4596" i="1"/>
  <c r="F4595" i="1"/>
  <c r="E4595" i="1"/>
  <c r="D4595" i="1"/>
  <c r="F4594" i="1"/>
  <c r="E4594" i="1"/>
  <c r="D4594" i="1"/>
  <c r="F4593" i="1"/>
  <c r="E4593" i="1"/>
  <c r="D4593" i="1"/>
  <c r="F4592" i="1"/>
  <c r="E4592" i="1"/>
  <c r="D4592" i="1"/>
  <c r="F4591" i="1"/>
  <c r="E4591" i="1"/>
  <c r="D4591" i="1"/>
  <c r="F4590" i="1"/>
  <c r="E4590" i="1"/>
  <c r="D4590" i="1"/>
  <c r="F4589" i="1"/>
  <c r="E4589" i="1"/>
  <c r="D4589" i="1"/>
  <c r="F4588" i="1"/>
  <c r="E4588" i="1"/>
  <c r="D4588" i="1"/>
  <c r="F4587" i="1"/>
  <c r="E4587" i="1"/>
  <c r="D4587" i="1"/>
  <c r="F4586" i="1"/>
  <c r="E4586" i="1"/>
  <c r="D4586" i="1"/>
  <c r="F4585" i="1"/>
  <c r="E4585" i="1"/>
  <c r="D4585" i="1"/>
  <c r="F4584" i="1"/>
  <c r="E4584" i="1"/>
  <c r="D4584" i="1"/>
  <c r="F4583" i="1"/>
  <c r="E4583" i="1"/>
  <c r="D4583" i="1"/>
  <c r="F4582" i="1"/>
  <c r="E4582" i="1"/>
  <c r="D4582" i="1"/>
  <c r="F4581" i="1"/>
  <c r="E4581" i="1"/>
  <c r="D4581" i="1"/>
  <c r="F4580" i="1"/>
  <c r="E4580" i="1"/>
  <c r="D4580" i="1"/>
  <c r="F4579" i="1"/>
  <c r="E4579" i="1"/>
  <c r="D4579" i="1"/>
  <c r="F4578" i="1"/>
  <c r="E4578" i="1"/>
  <c r="D4578" i="1"/>
  <c r="F4577" i="1"/>
  <c r="E4577" i="1"/>
  <c r="D4577" i="1"/>
  <c r="F4576" i="1"/>
  <c r="E4576" i="1"/>
  <c r="D4576" i="1"/>
  <c r="F4575" i="1"/>
  <c r="E4575" i="1"/>
  <c r="D4575" i="1"/>
  <c r="F4574" i="1"/>
  <c r="E4574" i="1"/>
  <c r="D4574" i="1"/>
  <c r="F4573" i="1"/>
  <c r="E4573" i="1"/>
  <c r="D4573" i="1"/>
  <c r="F4572" i="1"/>
  <c r="E4572" i="1"/>
  <c r="D4572" i="1"/>
  <c r="F4571" i="1"/>
  <c r="E4571" i="1"/>
  <c r="D4571" i="1"/>
  <c r="F4570" i="1"/>
  <c r="E4570" i="1"/>
  <c r="D4570" i="1"/>
  <c r="F4569" i="1"/>
  <c r="E4569" i="1"/>
  <c r="D4569" i="1"/>
  <c r="F4566" i="1"/>
  <c r="E4566" i="1"/>
  <c r="D4566" i="1"/>
  <c r="F4565" i="1"/>
  <c r="E4565" i="1"/>
  <c r="D4565" i="1"/>
  <c r="F4564" i="1"/>
  <c r="E4564" i="1"/>
  <c r="D4564" i="1"/>
  <c r="F4563" i="1"/>
  <c r="E4563" i="1"/>
  <c r="D4563" i="1"/>
  <c r="F4562" i="1"/>
  <c r="E4562" i="1"/>
  <c r="D4562" i="1"/>
  <c r="F4561" i="1"/>
  <c r="E4561" i="1"/>
  <c r="D4561" i="1"/>
  <c r="F4560" i="1"/>
  <c r="E4560" i="1"/>
  <c r="D4560" i="1"/>
  <c r="F4559" i="1"/>
  <c r="E4559" i="1"/>
  <c r="D4559" i="1"/>
  <c r="F4558" i="1"/>
  <c r="E4558" i="1"/>
  <c r="D4558" i="1"/>
  <c r="F4557" i="1"/>
  <c r="E4557" i="1"/>
  <c r="D4557" i="1"/>
  <c r="F4556" i="1"/>
  <c r="E4556" i="1"/>
  <c r="D4556" i="1"/>
  <c r="F4555" i="1"/>
  <c r="E4555" i="1"/>
  <c r="D4555" i="1"/>
  <c r="F4554" i="1"/>
  <c r="E4554" i="1"/>
  <c r="D4554" i="1"/>
  <c r="F4553" i="1"/>
  <c r="E4553" i="1"/>
  <c r="D4553" i="1"/>
  <c r="F4552" i="1"/>
  <c r="E4552" i="1"/>
  <c r="D4552" i="1"/>
  <c r="F4551" i="1"/>
  <c r="E4551" i="1"/>
  <c r="D4551" i="1"/>
  <c r="F4550" i="1"/>
  <c r="E4550" i="1"/>
  <c r="D4550" i="1"/>
  <c r="F4548" i="1"/>
  <c r="E4548" i="1"/>
  <c r="D4548" i="1"/>
  <c r="F4547" i="1"/>
  <c r="E4547" i="1"/>
  <c r="D4547" i="1"/>
  <c r="F4546" i="1"/>
  <c r="E4546" i="1"/>
  <c r="D4546" i="1"/>
  <c r="F4545" i="1"/>
  <c r="E4545" i="1"/>
  <c r="D4545" i="1"/>
  <c r="F4544" i="1"/>
  <c r="E4544" i="1"/>
  <c r="D4544" i="1"/>
  <c r="F4543" i="1"/>
  <c r="E4543" i="1"/>
  <c r="D4543" i="1"/>
  <c r="F4542" i="1"/>
  <c r="E4542" i="1"/>
  <c r="D4542" i="1"/>
  <c r="F4541" i="1"/>
  <c r="E4541" i="1"/>
  <c r="D4541" i="1"/>
  <c r="F4540" i="1"/>
  <c r="E4540" i="1"/>
  <c r="D4540" i="1"/>
  <c r="F4539" i="1"/>
  <c r="E4539" i="1"/>
  <c r="D4539" i="1"/>
  <c r="F4538" i="1"/>
  <c r="E4538" i="1"/>
  <c r="D4538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C4534" i="1"/>
  <c r="G4534" i="1" s="1"/>
  <c r="C4533" i="1"/>
  <c r="G4533" i="1" s="1"/>
  <c r="C4532" i="1"/>
  <c r="G4532" i="1" s="1"/>
  <c r="C4531" i="1"/>
  <c r="G4531" i="1" s="1"/>
  <c r="C4530" i="1"/>
  <c r="G4530" i="1" s="1"/>
  <c r="C4529" i="1"/>
  <c r="G4529" i="1" s="1"/>
  <c r="C4528" i="1"/>
  <c r="G4528" i="1" s="1"/>
  <c r="C4527" i="1"/>
  <c r="G4527" i="1" s="1"/>
  <c r="C4526" i="1"/>
  <c r="G4526" i="1" s="1"/>
  <c r="C4525" i="1"/>
  <c r="G4525" i="1" s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G4487" i="1" s="1"/>
  <c r="C4486" i="1"/>
  <c r="G4486" i="1" s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G4468" i="1" s="1"/>
  <c r="C4467" i="1"/>
  <c r="C4466" i="1"/>
  <c r="C4465" i="1"/>
  <c r="C4464" i="1"/>
  <c r="C4463" i="1"/>
  <c r="C4462" i="1"/>
  <c r="C4461" i="1"/>
  <c r="C4460" i="1"/>
  <c r="C4459" i="1"/>
  <c r="C4458" i="1"/>
  <c r="C4457" i="1"/>
  <c r="F4524" i="1"/>
  <c r="E4524" i="1"/>
  <c r="D4524" i="1"/>
  <c r="F4523" i="1"/>
  <c r="E4523" i="1"/>
  <c r="D4523" i="1"/>
  <c r="F4522" i="1"/>
  <c r="E4522" i="1"/>
  <c r="D4522" i="1"/>
  <c r="F4521" i="1"/>
  <c r="E4521" i="1"/>
  <c r="D4521" i="1"/>
  <c r="F4520" i="1"/>
  <c r="E4520" i="1"/>
  <c r="D4520" i="1"/>
  <c r="F4519" i="1"/>
  <c r="E4519" i="1"/>
  <c r="D4519" i="1"/>
  <c r="F4518" i="1"/>
  <c r="E4518" i="1"/>
  <c r="D4518" i="1"/>
  <c r="F4517" i="1"/>
  <c r="E4517" i="1"/>
  <c r="D4517" i="1"/>
  <c r="F4516" i="1"/>
  <c r="E4516" i="1"/>
  <c r="D4516" i="1"/>
  <c r="F4515" i="1"/>
  <c r="E4515" i="1"/>
  <c r="D4515" i="1"/>
  <c r="F4514" i="1"/>
  <c r="E4514" i="1"/>
  <c r="D4514" i="1"/>
  <c r="F4513" i="1"/>
  <c r="E4513" i="1"/>
  <c r="D4513" i="1"/>
  <c r="F4512" i="1"/>
  <c r="E4512" i="1"/>
  <c r="D4512" i="1"/>
  <c r="F4511" i="1"/>
  <c r="E4511" i="1"/>
  <c r="D4511" i="1"/>
  <c r="F4510" i="1"/>
  <c r="E4510" i="1"/>
  <c r="D4510" i="1"/>
  <c r="F4509" i="1"/>
  <c r="E4509" i="1"/>
  <c r="D4509" i="1"/>
  <c r="F4508" i="1"/>
  <c r="E4508" i="1"/>
  <c r="D4508" i="1"/>
  <c r="F4507" i="1"/>
  <c r="E4507" i="1"/>
  <c r="D4507" i="1"/>
  <c r="F4506" i="1"/>
  <c r="E4506" i="1"/>
  <c r="D4506" i="1"/>
  <c r="F4505" i="1"/>
  <c r="E4505" i="1"/>
  <c r="D4505" i="1"/>
  <c r="F4504" i="1"/>
  <c r="E4504" i="1"/>
  <c r="D4504" i="1"/>
  <c r="F4503" i="1"/>
  <c r="E4503" i="1"/>
  <c r="D4503" i="1"/>
  <c r="F4502" i="1"/>
  <c r="E4502" i="1"/>
  <c r="D4502" i="1"/>
  <c r="F4501" i="1"/>
  <c r="E4501" i="1"/>
  <c r="D4501" i="1"/>
  <c r="F4500" i="1"/>
  <c r="E4500" i="1"/>
  <c r="D4500" i="1"/>
  <c r="F4499" i="1"/>
  <c r="E4499" i="1"/>
  <c r="D4499" i="1"/>
  <c r="F4498" i="1"/>
  <c r="E4498" i="1"/>
  <c r="D4498" i="1"/>
  <c r="F4497" i="1"/>
  <c r="E4497" i="1"/>
  <c r="D4497" i="1"/>
  <c r="F4496" i="1"/>
  <c r="E4496" i="1"/>
  <c r="D4496" i="1"/>
  <c r="F4495" i="1"/>
  <c r="E4495" i="1"/>
  <c r="D4495" i="1"/>
  <c r="F4494" i="1"/>
  <c r="E4494" i="1"/>
  <c r="D4494" i="1"/>
  <c r="F4493" i="1"/>
  <c r="E4493" i="1"/>
  <c r="D4493" i="1"/>
  <c r="F4492" i="1"/>
  <c r="E4492" i="1"/>
  <c r="D4492" i="1"/>
  <c r="F4491" i="1"/>
  <c r="E4491" i="1"/>
  <c r="D4491" i="1"/>
  <c r="F4490" i="1"/>
  <c r="E4490" i="1"/>
  <c r="D4490" i="1"/>
  <c r="F4489" i="1"/>
  <c r="E4489" i="1"/>
  <c r="D4489" i="1"/>
  <c r="F4488" i="1"/>
  <c r="E4488" i="1"/>
  <c r="D4488" i="1"/>
  <c r="F4485" i="1"/>
  <c r="E4485" i="1"/>
  <c r="D4485" i="1"/>
  <c r="F4484" i="1"/>
  <c r="E4484" i="1"/>
  <c r="D4484" i="1"/>
  <c r="F4483" i="1"/>
  <c r="E4483" i="1"/>
  <c r="D4483" i="1"/>
  <c r="F4482" i="1"/>
  <c r="E4482" i="1"/>
  <c r="D4482" i="1"/>
  <c r="F4481" i="1"/>
  <c r="E4481" i="1"/>
  <c r="D4481" i="1"/>
  <c r="F4480" i="1"/>
  <c r="E4480" i="1"/>
  <c r="D4480" i="1"/>
  <c r="F4479" i="1"/>
  <c r="E4479" i="1"/>
  <c r="D4479" i="1"/>
  <c r="F4478" i="1"/>
  <c r="E4478" i="1"/>
  <c r="D4478" i="1"/>
  <c r="F4477" i="1"/>
  <c r="E4477" i="1"/>
  <c r="D4477" i="1"/>
  <c r="F4476" i="1"/>
  <c r="E4476" i="1"/>
  <c r="D4476" i="1"/>
  <c r="F4475" i="1"/>
  <c r="E4475" i="1"/>
  <c r="D4475" i="1"/>
  <c r="F4474" i="1"/>
  <c r="E4474" i="1"/>
  <c r="D4474" i="1"/>
  <c r="F4473" i="1"/>
  <c r="E4473" i="1"/>
  <c r="D4473" i="1"/>
  <c r="F4472" i="1"/>
  <c r="E4472" i="1"/>
  <c r="D4472" i="1"/>
  <c r="F4471" i="1"/>
  <c r="E4471" i="1"/>
  <c r="D4471" i="1"/>
  <c r="F4470" i="1"/>
  <c r="E4470" i="1"/>
  <c r="D4470" i="1"/>
  <c r="F4469" i="1"/>
  <c r="E4469" i="1"/>
  <c r="D4469" i="1"/>
  <c r="F4467" i="1"/>
  <c r="E4467" i="1"/>
  <c r="D4467" i="1"/>
  <c r="F4466" i="1"/>
  <c r="E4466" i="1"/>
  <c r="D4466" i="1"/>
  <c r="F4465" i="1"/>
  <c r="E4465" i="1"/>
  <c r="D4465" i="1"/>
  <c r="F4464" i="1"/>
  <c r="E4464" i="1"/>
  <c r="D4464" i="1"/>
  <c r="F4463" i="1"/>
  <c r="E4463" i="1"/>
  <c r="D4463" i="1"/>
  <c r="F4462" i="1"/>
  <c r="E4462" i="1"/>
  <c r="D4462" i="1"/>
  <c r="F4461" i="1"/>
  <c r="E4461" i="1"/>
  <c r="D4461" i="1"/>
  <c r="F4460" i="1"/>
  <c r="E4460" i="1"/>
  <c r="D4460" i="1"/>
  <c r="F4459" i="1"/>
  <c r="E4459" i="1"/>
  <c r="D4459" i="1"/>
  <c r="F4458" i="1"/>
  <c r="E4458" i="1"/>
  <c r="D4458" i="1"/>
  <c r="F4457" i="1"/>
  <c r="E4457" i="1"/>
  <c r="D4457" i="1"/>
  <c r="C4453" i="1"/>
  <c r="G4453" i="1" s="1"/>
  <c r="C4452" i="1"/>
  <c r="G4452" i="1" s="1"/>
  <c r="C4451" i="1"/>
  <c r="G4451" i="1" s="1"/>
  <c r="C4450" i="1"/>
  <c r="G4450" i="1" s="1"/>
  <c r="C4449" i="1"/>
  <c r="G4449" i="1" s="1"/>
  <c r="C4448" i="1"/>
  <c r="G4448" i="1" s="1"/>
  <c r="C4447" i="1"/>
  <c r="G4447" i="1" s="1"/>
  <c r="C4446" i="1"/>
  <c r="G4446" i="1" s="1"/>
  <c r="C4445" i="1"/>
  <c r="G4445" i="1" s="1"/>
  <c r="C4444" i="1"/>
  <c r="G4444" i="1" s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G4406" i="1" s="1"/>
  <c r="C4405" i="1"/>
  <c r="G4405" i="1" s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G4387" i="1" s="1"/>
  <c r="C4386" i="1"/>
  <c r="C4385" i="1"/>
  <c r="C4384" i="1"/>
  <c r="C4383" i="1"/>
  <c r="C4382" i="1"/>
  <c r="C4381" i="1"/>
  <c r="C4380" i="1"/>
  <c r="C4379" i="1"/>
  <c r="C4378" i="1"/>
  <c r="C4377" i="1"/>
  <c r="C4376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F4443" i="1"/>
  <c r="E4443" i="1"/>
  <c r="D4443" i="1"/>
  <c r="F4442" i="1"/>
  <c r="E4442" i="1"/>
  <c r="D4442" i="1"/>
  <c r="F4441" i="1"/>
  <c r="E4441" i="1"/>
  <c r="D4441" i="1"/>
  <c r="F4440" i="1"/>
  <c r="E4440" i="1"/>
  <c r="D4440" i="1"/>
  <c r="F4439" i="1"/>
  <c r="E4439" i="1"/>
  <c r="D4439" i="1"/>
  <c r="F4438" i="1"/>
  <c r="E4438" i="1"/>
  <c r="D4438" i="1"/>
  <c r="F4437" i="1"/>
  <c r="E4437" i="1"/>
  <c r="D4437" i="1"/>
  <c r="F4436" i="1"/>
  <c r="E4436" i="1"/>
  <c r="D4436" i="1"/>
  <c r="F4435" i="1"/>
  <c r="E4435" i="1"/>
  <c r="D4435" i="1"/>
  <c r="F4434" i="1"/>
  <c r="E4434" i="1"/>
  <c r="D4434" i="1"/>
  <c r="F4433" i="1"/>
  <c r="E4433" i="1"/>
  <c r="D4433" i="1"/>
  <c r="F4432" i="1"/>
  <c r="E4432" i="1"/>
  <c r="D4432" i="1"/>
  <c r="F4431" i="1"/>
  <c r="E4431" i="1"/>
  <c r="D4431" i="1"/>
  <c r="F4430" i="1"/>
  <c r="E4430" i="1"/>
  <c r="D4430" i="1"/>
  <c r="F4429" i="1"/>
  <c r="E4429" i="1"/>
  <c r="D4429" i="1"/>
  <c r="F4428" i="1"/>
  <c r="E4428" i="1"/>
  <c r="D4428" i="1"/>
  <c r="F4427" i="1"/>
  <c r="E4427" i="1"/>
  <c r="D4427" i="1"/>
  <c r="F4426" i="1"/>
  <c r="E4426" i="1"/>
  <c r="D4426" i="1"/>
  <c r="F4425" i="1"/>
  <c r="E4425" i="1"/>
  <c r="D4425" i="1"/>
  <c r="F4424" i="1"/>
  <c r="E4424" i="1"/>
  <c r="D4424" i="1"/>
  <c r="F4423" i="1"/>
  <c r="E4423" i="1"/>
  <c r="D4423" i="1"/>
  <c r="F4422" i="1"/>
  <c r="E4422" i="1"/>
  <c r="D4422" i="1"/>
  <c r="F4421" i="1"/>
  <c r="E4421" i="1"/>
  <c r="D4421" i="1"/>
  <c r="F4420" i="1"/>
  <c r="E4420" i="1"/>
  <c r="D4420" i="1"/>
  <c r="F4419" i="1"/>
  <c r="E4419" i="1"/>
  <c r="D4419" i="1"/>
  <c r="F4418" i="1"/>
  <c r="E4418" i="1"/>
  <c r="D4418" i="1"/>
  <c r="F4417" i="1"/>
  <c r="E4417" i="1"/>
  <c r="D4417" i="1"/>
  <c r="F4416" i="1"/>
  <c r="E4416" i="1"/>
  <c r="D4416" i="1"/>
  <c r="F4415" i="1"/>
  <c r="E4415" i="1"/>
  <c r="D4415" i="1"/>
  <c r="F4414" i="1"/>
  <c r="E4414" i="1"/>
  <c r="D4414" i="1"/>
  <c r="F4413" i="1"/>
  <c r="E4413" i="1"/>
  <c r="D4413" i="1"/>
  <c r="F4412" i="1"/>
  <c r="E4412" i="1"/>
  <c r="D4412" i="1"/>
  <c r="F4411" i="1"/>
  <c r="E4411" i="1"/>
  <c r="D4411" i="1"/>
  <c r="F4410" i="1"/>
  <c r="E4410" i="1"/>
  <c r="D4410" i="1"/>
  <c r="F4409" i="1"/>
  <c r="E4409" i="1"/>
  <c r="D4409" i="1"/>
  <c r="F4408" i="1"/>
  <c r="E4408" i="1"/>
  <c r="D4408" i="1"/>
  <c r="F4407" i="1"/>
  <c r="E4407" i="1"/>
  <c r="D4407" i="1"/>
  <c r="F4404" i="1"/>
  <c r="E4404" i="1"/>
  <c r="D4404" i="1"/>
  <c r="F4403" i="1"/>
  <c r="E4403" i="1"/>
  <c r="D4403" i="1"/>
  <c r="F4402" i="1"/>
  <c r="E4402" i="1"/>
  <c r="D4402" i="1"/>
  <c r="F4401" i="1"/>
  <c r="E4401" i="1"/>
  <c r="D4401" i="1"/>
  <c r="F4400" i="1"/>
  <c r="E4400" i="1"/>
  <c r="D4400" i="1"/>
  <c r="F4399" i="1"/>
  <c r="E4399" i="1"/>
  <c r="D4399" i="1"/>
  <c r="F4398" i="1"/>
  <c r="E4398" i="1"/>
  <c r="D4398" i="1"/>
  <c r="F4397" i="1"/>
  <c r="E4397" i="1"/>
  <c r="D4397" i="1"/>
  <c r="F4396" i="1"/>
  <c r="E4396" i="1"/>
  <c r="D4396" i="1"/>
  <c r="F4395" i="1"/>
  <c r="E4395" i="1"/>
  <c r="D4395" i="1"/>
  <c r="F4394" i="1"/>
  <c r="E4394" i="1"/>
  <c r="D4394" i="1"/>
  <c r="F4393" i="1"/>
  <c r="E4393" i="1"/>
  <c r="D4393" i="1"/>
  <c r="F4392" i="1"/>
  <c r="E4392" i="1"/>
  <c r="D4392" i="1"/>
  <c r="F4391" i="1"/>
  <c r="E4391" i="1"/>
  <c r="D4391" i="1"/>
  <c r="F4390" i="1"/>
  <c r="E4390" i="1"/>
  <c r="D4390" i="1"/>
  <c r="F4389" i="1"/>
  <c r="E4389" i="1"/>
  <c r="D4389" i="1"/>
  <c r="F4388" i="1"/>
  <c r="E4388" i="1"/>
  <c r="D4388" i="1"/>
  <c r="F4386" i="1"/>
  <c r="E4386" i="1"/>
  <c r="D4386" i="1"/>
  <c r="F4385" i="1"/>
  <c r="E4385" i="1"/>
  <c r="D4385" i="1"/>
  <c r="F4384" i="1"/>
  <c r="E4384" i="1"/>
  <c r="D4384" i="1"/>
  <c r="F4383" i="1"/>
  <c r="E4383" i="1"/>
  <c r="D4383" i="1"/>
  <c r="F4382" i="1"/>
  <c r="E4382" i="1"/>
  <c r="D4382" i="1"/>
  <c r="F4381" i="1"/>
  <c r="E4381" i="1"/>
  <c r="D4381" i="1"/>
  <c r="F4380" i="1"/>
  <c r="E4380" i="1"/>
  <c r="D4380" i="1"/>
  <c r="F4379" i="1"/>
  <c r="E4379" i="1"/>
  <c r="D4379" i="1"/>
  <c r="F4378" i="1"/>
  <c r="E4378" i="1"/>
  <c r="D4378" i="1"/>
  <c r="F4377" i="1"/>
  <c r="E4377" i="1"/>
  <c r="D4377" i="1"/>
  <c r="F4376" i="1"/>
  <c r="E4376" i="1"/>
  <c r="D4376" i="1"/>
  <c r="C4372" i="1"/>
  <c r="G4372" i="1" s="1"/>
  <c r="C4371" i="1"/>
  <c r="G4371" i="1" s="1"/>
  <c r="C4370" i="1"/>
  <c r="G4370" i="1" s="1"/>
  <c r="C4369" i="1"/>
  <c r="G4369" i="1" s="1"/>
  <c r="C4368" i="1"/>
  <c r="G4368" i="1" s="1"/>
  <c r="C4367" i="1"/>
  <c r="G4367" i="1" s="1"/>
  <c r="C4366" i="1"/>
  <c r="G4366" i="1" s="1"/>
  <c r="C4365" i="1"/>
  <c r="G4365" i="1" s="1"/>
  <c r="C4364" i="1"/>
  <c r="G4364" i="1" s="1"/>
  <c r="C4363" i="1"/>
  <c r="G4363" i="1" s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G4325" i="1" s="1"/>
  <c r="C4324" i="1"/>
  <c r="G4324" i="1" s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G4306" i="1" s="1"/>
  <c r="C4305" i="1"/>
  <c r="C4304" i="1"/>
  <c r="C4303" i="1"/>
  <c r="C4302" i="1"/>
  <c r="C4301" i="1"/>
  <c r="C4300" i="1"/>
  <c r="C4299" i="1"/>
  <c r="C4298" i="1"/>
  <c r="C4297" i="1"/>
  <c r="C4296" i="1"/>
  <c r="C4295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F4362" i="1"/>
  <c r="E4362" i="1"/>
  <c r="D4362" i="1"/>
  <c r="F4361" i="1"/>
  <c r="E4361" i="1"/>
  <c r="D4361" i="1"/>
  <c r="F4360" i="1"/>
  <c r="E4360" i="1"/>
  <c r="D4360" i="1"/>
  <c r="F4359" i="1"/>
  <c r="E4359" i="1"/>
  <c r="D4359" i="1"/>
  <c r="F4358" i="1"/>
  <c r="E4358" i="1"/>
  <c r="D4358" i="1"/>
  <c r="F4357" i="1"/>
  <c r="E4357" i="1"/>
  <c r="D4357" i="1"/>
  <c r="F4356" i="1"/>
  <c r="E4356" i="1"/>
  <c r="D4356" i="1"/>
  <c r="F4355" i="1"/>
  <c r="E4355" i="1"/>
  <c r="D4355" i="1"/>
  <c r="F4354" i="1"/>
  <c r="E4354" i="1"/>
  <c r="D4354" i="1"/>
  <c r="F4353" i="1"/>
  <c r="E4353" i="1"/>
  <c r="D4353" i="1"/>
  <c r="F4352" i="1"/>
  <c r="E4352" i="1"/>
  <c r="D4352" i="1"/>
  <c r="F4351" i="1"/>
  <c r="E4351" i="1"/>
  <c r="D4351" i="1"/>
  <c r="F4350" i="1"/>
  <c r="E4350" i="1"/>
  <c r="D4350" i="1"/>
  <c r="F4349" i="1"/>
  <c r="E4349" i="1"/>
  <c r="D4349" i="1"/>
  <c r="F4348" i="1"/>
  <c r="E4348" i="1"/>
  <c r="D4348" i="1"/>
  <c r="F4347" i="1"/>
  <c r="E4347" i="1"/>
  <c r="D4347" i="1"/>
  <c r="F4346" i="1"/>
  <c r="E4346" i="1"/>
  <c r="D4346" i="1"/>
  <c r="F4345" i="1"/>
  <c r="E4345" i="1"/>
  <c r="D4345" i="1"/>
  <c r="F4344" i="1"/>
  <c r="E4344" i="1"/>
  <c r="D4344" i="1"/>
  <c r="F4343" i="1"/>
  <c r="E4343" i="1"/>
  <c r="D4343" i="1"/>
  <c r="F4342" i="1"/>
  <c r="E4342" i="1"/>
  <c r="D4342" i="1"/>
  <c r="F4341" i="1"/>
  <c r="E4341" i="1"/>
  <c r="D4341" i="1"/>
  <c r="F4340" i="1"/>
  <c r="E4340" i="1"/>
  <c r="D4340" i="1"/>
  <c r="F4339" i="1"/>
  <c r="E4339" i="1"/>
  <c r="D4339" i="1"/>
  <c r="F4338" i="1"/>
  <c r="E4338" i="1"/>
  <c r="D4338" i="1"/>
  <c r="F4337" i="1"/>
  <c r="E4337" i="1"/>
  <c r="D4337" i="1"/>
  <c r="F4336" i="1"/>
  <c r="E4336" i="1"/>
  <c r="D4336" i="1"/>
  <c r="F4335" i="1"/>
  <c r="E4335" i="1"/>
  <c r="D4335" i="1"/>
  <c r="F4334" i="1"/>
  <c r="E4334" i="1"/>
  <c r="D4334" i="1"/>
  <c r="F4333" i="1"/>
  <c r="E4333" i="1"/>
  <c r="D4333" i="1"/>
  <c r="F4332" i="1"/>
  <c r="E4332" i="1"/>
  <c r="D4332" i="1"/>
  <c r="F4331" i="1"/>
  <c r="E4331" i="1"/>
  <c r="D4331" i="1"/>
  <c r="F4330" i="1"/>
  <c r="E4330" i="1"/>
  <c r="D4330" i="1"/>
  <c r="F4329" i="1"/>
  <c r="E4329" i="1"/>
  <c r="D4329" i="1"/>
  <c r="F4328" i="1"/>
  <c r="E4328" i="1"/>
  <c r="D4328" i="1"/>
  <c r="F4327" i="1"/>
  <c r="E4327" i="1"/>
  <c r="D4327" i="1"/>
  <c r="F4326" i="1"/>
  <c r="E4326" i="1"/>
  <c r="D4326" i="1"/>
  <c r="F4323" i="1"/>
  <c r="E4323" i="1"/>
  <c r="D4323" i="1"/>
  <c r="F4322" i="1"/>
  <c r="E4322" i="1"/>
  <c r="D4322" i="1"/>
  <c r="F4321" i="1"/>
  <c r="E4321" i="1"/>
  <c r="D4321" i="1"/>
  <c r="F4320" i="1"/>
  <c r="E4320" i="1"/>
  <c r="D4320" i="1"/>
  <c r="F4319" i="1"/>
  <c r="E4319" i="1"/>
  <c r="D4319" i="1"/>
  <c r="F4318" i="1"/>
  <c r="E4318" i="1"/>
  <c r="D4318" i="1"/>
  <c r="F4317" i="1"/>
  <c r="E4317" i="1"/>
  <c r="D4317" i="1"/>
  <c r="F4316" i="1"/>
  <c r="E4316" i="1"/>
  <c r="D4316" i="1"/>
  <c r="F4315" i="1"/>
  <c r="E4315" i="1"/>
  <c r="D4315" i="1"/>
  <c r="F4314" i="1"/>
  <c r="E4314" i="1"/>
  <c r="D4314" i="1"/>
  <c r="F4313" i="1"/>
  <c r="E4313" i="1"/>
  <c r="D4313" i="1"/>
  <c r="F4312" i="1"/>
  <c r="E4312" i="1"/>
  <c r="D4312" i="1"/>
  <c r="F4311" i="1"/>
  <c r="E4311" i="1"/>
  <c r="D4311" i="1"/>
  <c r="F4310" i="1"/>
  <c r="E4310" i="1"/>
  <c r="D4310" i="1"/>
  <c r="F4309" i="1"/>
  <c r="E4309" i="1"/>
  <c r="D4309" i="1"/>
  <c r="F4308" i="1"/>
  <c r="E4308" i="1"/>
  <c r="D4308" i="1"/>
  <c r="F4307" i="1"/>
  <c r="E4307" i="1"/>
  <c r="D4307" i="1"/>
  <c r="F4305" i="1"/>
  <c r="E4305" i="1"/>
  <c r="D4305" i="1"/>
  <c r="F4304" i="1"/>
  <c r="E4304" i="1"/>
  <c r="D4304" i="1"/>
  <c r="F4303" i="1"/>
  <c r="E4303" i="1"/>
  <c r="D4303" i="1"/>
  <c r="F4302" i="1"/>
  <c r="E4302" i="1"/>
  <c r="D4302" i="1"/>
  <c r="F4301" i="1"/>
  <c r="E4301" i="1"/>
  <c r="D4301" i="1"/>
  <c r="F4300" i="1"/>
  <c r="E4300" i="1"/>
  <c r="D4300" i="1"/>
  <c r="F4299" i="1"/>
  <c r="E4299" i="1"/>
  <c r="D4299" i="1"/>
  <c r="F4298" i="1"/>
  <c r="E4298" i="1"/>
  <c r="D4298" i="1"/>
  <c r="F4297" i="1"/>
  <c r="E4297" i="1"/>
  <c r="D4297" i="1"/>
  <c r="F4296" i="1"/>
  <c r="E4296" i="1"/>
  <c r="D4296" i="1"/>
  <c r="F4295" i="1"/>
  <c r="E4295" i="1"/>
  <c r="D4295" i="1"/>
  <c r="C4291" i="1"/>
  <c r="G4291" i="1" s="1"/>
  <c r="C4290" i="1"/>
  <c r="G4290" i="1" s="1"/>
  <c r="C4289" i="1"/>
  <c r="G4289" i="1" s="1"/>
  <c r="C4288" i="1"/>
  <c r="G4288" i="1" s="1"/>
  <c r="C4287" i="1"/>
  <c r="G4287" i="1" s="1"/>
  <c r="C4286" i="1"/>
  <c r="G4286" i="1" s="1"/>
  <c r="C4285" i="1"/>
  <c r="G4285" i="1" s="1"/>
  <c r="C4284" i="1"/>
  <c r="G4284" i="1" s="1"/>
  <c r="C4283" i="1"/>
  <c r="G4283" i="1" s="1"/>
  <c r="C4282" i="1"/>
  <c r="G4282" i="1" s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G4244" i="1" s="1"/>
  <c r="C4243" i="1"/>
  <c r="G4243" i="1" s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G4225" i="1" s="1"/>
  <c r="C4224" i="1"/>
  <c r="C4223" i="1"/>
  <c r="C4222" i="1"/>
  <c r="C4221" i="1"/>
  <c r="C4220" i="1"/>
  <c r="C4219" i="1"/>
  <c r="C4218" i="1"/>
  <c r="C4217" i="1"/>
  <c r="C4216" i="1"/>
  <c r="C4215" i="1"/>
  <c r="C4214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F4281" i="1"/>
  <c r="E4281" i="1"/>
  <c r="D4281" i="1"/>
  <c r="F4280" i="1"/>
  <c r="E4280" i="1"/>
  <c r="D4280" i="1"/>
  <c r="F4279" i="1"/>
  <c r="E4279" i="1"/>
  <c r="D4279" i="1"/>
  <c r="F4278" i="1"/>
  <c r="E4278" i="1"/>
  <c r="D4278" i="1"/>
  <c r="F4277" i="1"/>
  <c r="E4277" i="1"/>
  <c r="D4277" i="1"/>
  <c r="F4276" i="1"/>
  <c r="E4276" i="1"/>
  <c r="D4276" i="1"/>
  <c r="F4275" i="1"/>
  <c r="E4275" i="1"/>
  <c r="D4275" i="1"/>
  <c r="F4274" i="1"/>
  <c r="E4274" i="1"/>
  <c r="D4274" i="1"/>
  <c r="F4273" i="1"/>
  <c r="E4273" i="1"/>
  <c r="D4273" i="1"/>
  <c r="F4272" i="1"/>
  <c r="E4272" i="1"/>
  <c r="D4272" i="1"/>
  <c r="F4271" i="1"/>
  <c r="E4271" i="1"/>
  <c r="D4271" i="1"/>
  <c r="F4270" i="1"/>
  <c r="E4270" i="1"/>
  <c r="D4270" i="1"/>
  <c r="F4269" i="1"/>
  <c r="E4269" i="1"/>
  <c r="D4269" i="1"/>
  <c r="F4268" i="1"/>
  <c r="E4268" i="1"/>
  <c r="D4268" i="1"/>
  <c r="F4267" i="1"/>
  <c r="E4267" i="1"/>
  <c r="D4267" i="1"/>
  <c r="F4266" i="1"/>
  <c r="E4266" i="1"/>
  <c r="D4266" i="1"/>
  <c r="F4265" i="1"/>
  <c r="E4265" i="1"/>
  <c r="D4265" i="1"/>
  <c r="F4264" i="1"/>
  <c r="E4264" i="1"/>
  <c r="D4264" i="1"/>
  <c r="F4263" i="1"/>
  <c r="E4263" i="1"/>
  <c r="D4263" i="1"/>
  <c r="F4262" i="1"/>
  <c r="E4262" i="1"/>
  <c r="D4262" i="1"/>
  <c r="F4261" i="1"/>
  <c r="E4261" i="1"/>
  <c r="D4261" i="1"/>
  <c r="F4260" i="1"/>
  <c r="E4260" i="1"/>
  <c r="D4260" i="1"/>
  <c r="F4259" i="1"/>
  <c r="E4259" i="1"/>
  <c r="D4259" i="1"/>
  <c r="F4258" i="1"/>
  <c r="E4258" i="1"/>
  <c r="D4258" i="1"/>
  <c r="F4257" i="1"/>
  <c r="E4257" i="1"/>
  <c r="D4257" i="1"/>
  <c r="F4256" i="1"/>
  <c r="E4256" i="1"/>
  <c r="D4256" i="1"/>
  <c r="F4255" i="1"/>
  <c r="E4255" i="1"/>
  <c r="D4255" i="1"/>
  <c r="F4254" i="1"/>
  <c r="E4254" i="1"/>
  <c r="D4254" i="1"/>
  <c r="F4253" i="1"/>
  <c r="E4253" i="1"/>
  <c r="D4253" i="1"/>
  <c r="F4252" i="1"/>
  <c r="E4252" i="1"/>
  <c r="D4252" i="1"/>
  <c r="F4251" i="1"/>
  <c r="E4251" i="1"/>
  <c r="D4251" i="1"/>
  <c r="F4250" i="1"/>
  <c r="E4250" i="1"/>
  <c r="D4250" i="1"/>
  <c r="F4249" i="1"/>
  <c r="E4249" i="1"/>
  <c r="D4249" i="1"/>
  <c r="F4248" i="1"/>
  <c r="E4248" i="1"/>
  <c r="D4248" i="1"/>
  <c r="F4247" i="1"/>
  <c r="E4247" i="1"/>
  <c r="D4247" i="1"/>
  <c r="F4246" i="1"/>
  <c r="E4246" i="1"/>
  <c r="D4246" i="1"/>
  <c r="F4245" i="1"/>
  <c r="E4245" i="1"/>
  <c r="D4245" i="1"/>
  <c r="F4242" i="1"/>
  <c r="E4242" i="1"/>
  <c r="D4242" i="1"/>
  <c r="F4241" i="1"/>
  <c r="E4241" i="1"/>
  <c r="D4241" i="1"/>
  <c r="F4240" i="1"/>
  <c r="E4240" i="1"/>
  <c r="D4240" i="1"/>
  <c r="F4239" i="1"/>
  <c r="E4239" i="1"/>
  <c r="D4239" i="1"/>
  <c r="F4238" i="1"/>
  <c r="E4238" i="1"/>
  <c r="D4238" i="1"/>
  <c r="F4237" i="1"/>
  <c r="E4237" i="1"/>
  <c r="D4237" i="1"/>
  <c r="F4236" i="1"/>
  <c r="E4236" i="1"/>
  <c r="D4236" i="1"/>
  <c r="F4235" i="1"/>
  <c r="E4235" i="1"/>
  <c r="D4235" i="1"/>
  <c r="F4234" i="1"/>
  <c r="E4234" i="1"/>
  <c r="D4234" i="1"/>
  <c r="F4233" i="1"/>
  <c r="E4233" i="1"/>
  <c r="D4233" i="1"/>
  <c r="F4232" i="1"/>
  <c r="E4232" i="1"/>
  <c r="D4232" i="1"/>
  <c r="F4231" i="1"/>
  <c r="E4231" i="1"/>
  <c r="D4231" i="1"/>
  <c r="F4230" i="1"/>
  <c r="E4230" i="1"/>
  <c r="D4230" i="1"/>
  <c r="F4229" i="1"/>
  <c r="E4229" i="1"/>
  <c r="D4229" i="1"/>
  <c r="F4228" i="1"/>
  <c r="E4228" i="1"/>
  <c r="D4228" i="1"/>
  <c r="F4227" i="1"/>
  <c r="E4227" i="1"/>
  <c r="D4227" i="1"/>
  <c r="F4226" i="1"/>
  <c r="E4226" i="1"/>
  <c r="D4226" i="1"/>
  <c r="F4224" i="1"/>
  <c r="E4224" i="1"/>
  <c r="D4224" i="1"/>
  <c r="F4223" i="1"/>
  <c r="E4223" i="1"/>
  <c r="D4223" i="1"/>
  <c r="F4222" i="1"/>
  <c r="E4222" i="1"/>
  <c r="D4222" i="1"/>
  <c r="F4221" i="1"/>
  <c r="E4221" i="1"/>
  <c r="D4221" i="1"/>
  <c r="F4220" i="1"/>
  <c r="E4220" i="1"/>
  <c r="D4220" i="1"/>
  <c r="F4219" i="1"/>
  <c r="E4219" i="1"/>
  <c r="D4219" i="1"/>
  <c r="F4218" i="1"/>
  <c r="E4218" i="1"/>
  <c r="D4218" i="1"/>
  <c r="F4217" i="1"/>
  <c r="E4217" i="1"/>
  <c r="D4217" i="1"/>
  <c r="F4216" i="1"/>
  <c r="E4216" i="1"/>
  <c r="D4216" i="1"/>
  <c r="F4215" i="1"/>
  <c r="E4215" i="1"/>
  <c r="D4215" i="1"/>
  <c r="F4214" i="1"/>
  <c r="E4214" i="1"/>
  <c r="D4214" i="1"/>
  <c r="C4210" i="1"/>
  <c r="G4210" i="1" s="1"/>
  <c r="C4209" i="1"/>
  <c r="G4209" i="1" s="1"/>
  <c r="C4208" i="1"/>
  <c r="G4208" i="1" s="1"/>
  <c r="C4207" i="1"/>
  <c r="G4207" i="1" s="1"/>
  <c r="C4206" i="1"/>
  <c r="G4206" i="1" s="1"/>
  <c r="C4205" i="1"/>
  <c r="G4205" i="1" s="1"/>
  <c r="C4204" i="1"/>
  <c r="G4204" i="1" s="1"/>
  <c r="C4203" i="1"/>
  <c r="G4203" i="1" s="1"/>
  <c r="C4202" i="1"/>
  <c r="G4202" i="1" s="1"/>
  <c r="C4201" i="1"/>
  <c r="G4201" i="1" s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G4163" i="1" s="1"/>
  <c r="C4162" i="1"/>
  <c r="G4162" i="1" s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G4144" i="1" s="1"/>
  <c r="C4143" i="1"/>
  <c r="C4142" i="1"/>
  <c r="C4141" i="1"/>
  <c r="C4140" i="1"/>
  <c r="C4139" i="1"/>
  <c r="C4138" i="1"/>
  <c r="C4137" i="1"/>
  <c r="C4136" i="1"/>
  <c r="C4135" i="1"/>
  <c r="C4134" i="1"/>
  <c r="C4133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F4200" i="1"/>
  <c r="E4200" i="1"/>
  <c r="D4200" i="1"/>
  <c r="F4199" i="1"/>
  <c r="E4199" i="1"/>
  <c r="D4199" i="1"/>
  <c r="F4198" i="1"/>
  <c r="E4198" i="1"/>
  <c r="D4198" i="1"/>
  <c r="F4197" i="1"/>
  <c r="E4197" i="1"/>
  <c r="D4197" i="1"/>
  <c r="F4196" i="1"/>
  <c r="E4196" i="1"/>
  <c r="D4196" i="1"/>
  <c r="F4195" i="1"/>
  <c r="E4195" i="1"/>
  <c r="D4195" i="1"/>
  <c r="F4194" i="1"/>
  <c r="E4194" i="1"/>
  <c r="D4194" i="1"/>
  <c r="F4193" i="1"/>
  <c r="E4193" i="1"/>
  <c r="D4193" i="1"/>
  <c r="F4192" i="1"/>
  <c r="E4192" i="1"/>
  <c r="D4192" i="1"/>
  <c r="F4191" i="1"/>
  <c r="E4191" i="1"/>
  <c r="D4191" i="1"/>
  <c r="F4190" i="1"/>
  <c r="E4190" i="1"/>
  <c r="D4190" i="1"/>
  <c r="F4189" i="1"/>
  <c r="E4189" i="1"/>
  <c r="D4189" i="1"/>
  <c r="F4188" i="1"/>
  <c r="E4188" i="1"/>
  <c r="D4188" i="1"/>
  <c r="F4187" i="1"/>
  <c r="E4187" i="1"/>
  <c r="D4187" i="1"/>
  <c r="F4186" i="1"/>
  <c r="E4186" i="1"/>
  <c r="D4186" i="1"/>
  <c r="F4185" i="1"/>
  <c r="E4185" i="1"/>
  <c r="D4185" i="1"/>
  <c r="F4184" i="1"/>
  <c r="E4184" i="1"/>
  <c r="D4184" i="1"/>
  <c r="F4183" i="1"/>
  <c r="E4183" i="1"/>
  <c r="D4183" i="1"/>
  <c r="F4182" i="1"/>
  <c r="E4182" i="1"/>
  <c r="D4182" i="1"/>
  <c r="F4181" i="1"/>
  <c r="E4181" i="1"/>
  <c r="D4181" i="1"/>
  <c r="F4180" i="1"/>
  <c r="E4180" i="1"/>
  <c r="D4180" i="1"/>
  <c r="F4179" i="1"/>
  <c r="E4179" i="1"/>
  <c r="D4179" i="1"/>
  <c r="F4178" i="1"/>
  <c r="E4178" i="1"/>
  <c r="D4178" i="1"/>
  <c r="F4177" i="1"/>
  <c r="E4177" i="1"/>
  <c r="D4177" i="1"/>
  <c r="F4176" i="1"/>
  <c r="E4176" i="1"/>
  <c r="D4176" i="1"/>
  <c r="F4175" i="1"/>
  <c r="E4175" i="1"/>
  <c r="D4175" i="1"/>
  <c r="F4174" i="1"/>
  <c r="E4174" i="1"/>
  <c r="D4174" i="1"/>
  <c r="F4173" i="1"/>
  <c r="E4173" i="1"/>
  <c r="D4173" i="1"/>
  <c r="F4172" i="1"/>
  <c r="E4172" i="1"/>
  <c r="D4172" i="1"/>
  <c r="F4171" i="1"/>
  <c r="E4171" i="1"/>
  <c r="D4171" i="1"/>
  <c r="F4170" i="1"/>
  <c r="E4170" i="1"/>
  <c r="D4170" i="1"/>
  <c r="F4169" i="1"/>
  <c r="E4169" i="1"/>
  <c r="D4169" i="1"/>
  <c r="F4168" i="1"/>
  <c r="E4168" i="1"/>
  <c r="D4168" i="1"/>
  <c r="F4167" i="1"/>
  <c r="E4167" i="1"/>
  <c r="D4167" i="1"/>
  <c r="F4166" i="1"/>
  <c r="E4166" i="1"/>
  <c r="D4166" i="1"/>
  <c r="F4165" i="1"/>
  <c r="E4165" i="1"/>
  <c r="D4165" i="1"/>
  <c r="F4164" i="1"/>
  <c r="E4164" i="1"/>
  <c r="D4164" i="1"/>
  <c r="F4161" i="1"/>
  <c r="E4161" i="1"/>
  <c r="D4161" i="1"/>
  <c r="F4160" i="1"/>
  <c r="E4160" i="1"/>
  <c r="D4160" i="1"/>
  <c r="F4159" i="1"/>
  <c r="E4159" i="1"/>
  <c r="D4159" i="1"/>
  <c r="F4158" i="1"/>
  <c r="E4158" i="1"/>
  <c r="D4158" i="1"/>
  <c r="F4157" i="1"/>
  <c r="E4157" i="1"/>
  <c r="D4157" i="1"/>
  <c r="F4156" i="1"/>
  <c r="E4156" i="1"/>
  <c r="D4156" i="1"/>
  <c r="F4155" i="1"/>
  <c r="E4155" i="1"/>
  <c r="D4155" i="1"/>
  <c r="F4154" i="1"/>
  <c r="E4154" i="1"/>
  <c r="D4154" i="1"/>
  <c r="F4153" i="1"/>
  <c r="E4153" i="1"/>
  <c r="D4153" i="1"/>
  <c r="F4152" i="1"/>
  <c r="E4152" i="1"/>
  <c r="D4152" i="1"/>
  <c r="F4151" i="1"/>
  <c r="E4151" i="1"/>
  <c r="D4151" i="1"/>
  <c r="F4150" i="1"/>
  <c r="E4150" i="1"/>
  <c r="D4150" i="1"/>
  <c r="F4149" i="1"/>
  <c r="E4149" i="1"/>
  <c r="D4149" i="1"/>
  <c r="F4148" i="1"/>
  <c r="E4148" i="1"/>
  <c r="D4148" i="1"/>
  <c r="F4147" i="1"/>
  <c r="E4147" i="1"/>
  <c r="D4147" i="1"/>
  <c r="F4146" i="1"/>
  <c r="E4146" i="1"/>
  <c r="D4146" i="1"/>
  <c r="F4145" i="1"/>
  <c r="E4145" i="1"/>
  <c r="D4145" i="1"/>
  <c r="F4143" i="1"/>
  <c r="E4143" i="1"/>
  <c r="D4143" i="1"/>
  <c r="F4142" i="1"/>
  <c r="E4142" i="1"/>
  <c r="D4142" i="1"/>
  <c r="F4141" i="1"/>
  <c r="E4141" i="1"/>
  <c r="D4141" i="1"/>
  <c r="F4140" i="1"/>
  <c r="E4140" i="1"/>
  <c r="D4140" i="1"/>
  <c r="F4139" i="1"/>
  <c r="E4139" i="1"/>
  <c r="D4139" i="1"/>
  <c r="F4138" i="1"/>
  <c r="E4138" i="1"/>
  <c r="D4138" i="1"/>
  <c r="F4137" i="1"/>
  <c r="E4137" i="1"/>
  <c r="D4137" i="1"/>
  <c r="F4136" i="1"/>
  <c r="E4136" i="1"/>
  <c r="D4136" i="1"/>
  <c r="F4135" i="1"/>
  <c r="E4135" i="1"/>
  <c r="D4135" i="1"/>
  <c r="F4134" i="1"/>
  <c r="E4134" i="1"/>
  <c r="D4134" i="1"/>
  <c r="F4133" i="1"/>
  <c r="E4133" i="1"/>
  <c r="D4133" i="1"/>
  <c r="C4129" i="1"/>
  <c r="G4129" i="1" s="1"/>
  <c r="C4128" i="1"/>
  <c r="G4128" i="1" s="1"/>
  <c r="C4127" i="1"/>
  <c r="G4127" i="1" s="1"/>
  <c r="C4126" i="1"/>
  <c r="G4126" i="1" s="1"/>
  <c r="C4125" i="1"/>
  <c r="G4125" i="1" s="1"/>
  <c r="C4124" i="1"/>
  <c r="G4124" i="1" s="1"/>
  <c r="C4123" i="1"/>
  <c r="G4123" i="1" s="1"/>
  <c r="C4122" i="1"/>
  <c r="G4122" i="1" s="1"/>
  <c r="C4121" i="1"/>
  <c r="G4121" i="1" s="1"/>
  <c r="C4120" i="1"/>
  <c r="G4120" i="1" s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G4082" i="1" s="1"/>
  <c r="C4081" i="1"/>
  <c r="G4081" i="1" s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G4063" i="1" s="1"/>
  <c r="C4062" i="1"/>
  <c r="C4061" i="1"/>
  <c r="C4060" i="1"/>
  <c r="C4059" i="1"/>
  <c r="C4058" i="1"/>
  <c r="C4057" i="1"/>
  <c r="C4056" i="1"/>
  <c r="C4055" i="1"/>
  <c r="C4054" i="1"/>
  <c r="C4053" i="1"/>
  <c r="C4052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F4119" i="1"/>
  <c r="E4119" i="1"/>
  <c r="D4119" i="1"/>
  <c r="F4118" i="1"/>
  <c r="E4118" i="1"/>
  <c r="D4118" i="1"/>
  <c r="F4117" i="1"/>
  <c r="E4117" i="1"/>
  <c r="D4117" i="1"/>
  <c r="F4116" i="1"/>
  <c r="E4116" i="1"/>
  <c r="D4116" i="1"/>
  <c r="F4115" i="1"/>
  <c r="E4115" i="1"/>
  <c r="D4115" i="1"/>
  <c r="F4114" i="1"/>
  <c r="E4114" i="1"/>
  <c r="D4114" i="1"/>
  <c r="F4113" i="1"/>
  <c r="E4113" i="1"/>
  <c r="D4113" i="1"/>
  <c r="F4112" i="1"/>
  <c r="E4112" i="1"/>
  <c r="D4112" i="1"/>
  <c r="F4111" i="1"/>
  <c r="E4111" i="1"/>
  <c r="D4111" i="1"/>
  <c r="F4110" i="1"/>
  <c r="E4110" i="1"/>
  <c r="D4110" i="1"/>
  <c r="F4109" i="1"/>
  <c r="E4109" i="1"/>
  <c r="D4109" i="1"/>
  <c r="F4108" i="1"/>
  <c r="E4108" i="1"/>
  <c r="D4108" i="1"/>
  <c r="F4107" i="1"/>
  <c r="E4107" i="1"/>
  <c r="D4107" i="1"/>
  <c r="F4106" i="1"/>
  <c r="E4106" i="1"/>
  <c r="D4106" i="1"/>
  <c r="F4105" i="1"/>
  <c r="E4105" i="1"/>
  <c r="D4105" i="1"/>
  <c r="F4104" i="1"/>
  <c r="E4104" i="1"/>
  <c r="D4104" i="1"/>
  <c r="F4103" i="1"/>
  <c r="E4103" i="1"/>
  <c r="D4103" i="1"/>
  <c r="F4102" i="1"/>
  <c r="E4102" i="1"/>
  <c r="D4102" i="1"/>
  <c r="F4101" i="1"/>
  <c r="E4101" i="1"/>
  <c r="D4101" i="1"/>
  <c r="F4100" i="1"/>
  <c r="E4100" i="1"/>
  <c r="D4100" i="1"/>
  <c r="F4099" i="1"/>
  <c r="E4099" i="1"/>
  <c r="D4099" i="1"/>
  <c r="F4098" i="1"/>
  <c r="E4098" i="1"/>
  <c r="D4098" i="1"/>
  <c r="F4097" i="1"/>
  <c r="E4097" i="1"/>
  <c r="D4097" i="1"/>
  <c r="F4096" i="1"/>
  <c r="E4096" i="1"/>
  <c r="D4096" i="1"/>
  <c r="F4095" i="1"/>
  <c r="E4095" i="1"/>
  <c r="D4095" i="1"/>
  <c r="F4094" i="1"/>
  <c r="E4094" i="1"/>
  <c r="D4094" i="1"/>
  <c r="F4093" i="1"/>
  <c r="E4093" i="1"/>
  <c r="D4093" i="1"/>
  <c r="F4092" i="1"/>
  <c r="E4092" i="1"/>
  <c r="D4092" i="1"/>
  <c r="F4091" i="1"/>
  <c r="E4091" i="1"/>
  <c r="D4091" i="1"/>
  <c r="F4090" i="1"/>
  <c r="E4090" i="1"/>
  <c r="D4090" i="1"/>
  <c r="F4089" i="1"/>
  <c r="E4089" i="1"/>
  <c r="D4089" i="1"/>
  <c r="F4088" i="1"/>
  <c r="E4088" i="1"/>
  <c r="D4088" i="1"/>
  <c r="F4087" i="1"/>
  <c r="E4087" i="1"/>
  <c r="D4087" i="1"/>
  <c r="F4086" i="1"/>
  <c r="E4086" i="1"/>
  <c r="D4086" i="1"/>
  <c r="F4085" i="1"/>
  <c r="E4085" i="1"/>
  <c r="D4085" i="1"/>
  <c r="F4084" i="1"/>
  <c r="E4084" i="1"/>
  <c r="D4084" i="1"/>
  <c r="F4083" i="1"/>
  <c r="E4083" i="1"/>
  <c r="D4083" i="1"/>
  <c r="F4080" i="1"/>
  <c r="E4080" i="1"/>
  <c r="D4080" i="1"/>
  <c r="F4079" i="1"/>
  <c r="E4079" i="1"/>
  <c r="D4079" i="1"/>
  <c r="F4078" i="1"/>
  <c r="E4078" i="1"/>
  <c r="D4078" i="1"/>
  <c r="F4077" i="1"/>
  <c r="E4077" i="1"/>
  <c r="D4077" i="1"/>
  <c r="F4076" i="1"/>
  <c r="E4076" i="1"/>
  <c r="D4076" i="1"/>
  <c r="F4075" i="1"/>
  <c r="E4075" i="1"/>
  <c r="D4075" i="1"/>
  <c r="F4074" i="1"/>
  <c r="E4074" i="1"/>
  <c r="D4074" i="1"/>
  <c r="F4073" i="1"/>
  <c r="E4073" i="1"/>
  <c r="D4073" i="1"/>
  <c r="F4072" i="1"/>
  <c r="E4072" i="1"/>
  <c r="D4072" i="1"/>
  <c r="F4071" i="1"/>
  <c r="E4071" i="1"/>
  <c r="D4071" i="1"/>
  <c r="F4070" i="1"/>
  <c r="E4070" i="1"/>
  <c r="D4070" i="1"/>
  <c r="F4069" i="1"/>
  <c r="E4069" i="1"/>
  <c r="D4069" i="1"/>
  <c r="F4068" i="1"/>
  <c r="E4068" i="1"/>
  <c r="D4068" i="1"/>
  <c r="F4067" i="1"/>
  <c r="E4067" i="1"/>
  <c r="D4067" i="1"/>
  <c r="F4066" i="1"/>
  <c r="E4066" i="1"/>
  <c r="D4066" i="1"/>
  <c r="F4065" i="1"/>
  <c r="E4065" i="1"/>
  <c r="D4065" i="1"/>
  <c r="F4064" i="1"/>
  <c r="E4064" i="1"/>
  <c r="D4064" i="1"/>
  <c r="F4062" i="1"/>
  <c r="E4062" i="1"/>
  <c r="D4062" i="1"/>
  <c r="F4061" i="1"/>
  <c r="E4061" i="1"/>
  <c r="D4061" i="1"/>
  <c r="F4060" i="1"/>
  <c r="E4060" i="1"/>
  <c r="D4060" i="1"/>
  <c r="F4059" i="1"/>
  <c r="E4059" i="1"/>
  <c r="D4059" i="1"/>
  <c r="F4058" i="1"/>
  <c r="E4058" i="1"/>
  <c r="D4058" i="1"/>
  <c r="F4057" i="1"/>
  <c r="E4057" i="1"/>
  <c r="D4057" i="1"/>
  <c r="F4056" i="1"/>
  <c r="E4056" i="1"/>
  <c r="D4056" i="1"/>
  <c r="F4055" i="1"/>
  <c r="E4055" i="1"/>
  <c r="D4055" i="1"/>
  <c r="F4054" i="1"/>
  <c r="E4054" i="1"/>
  <c r="D4054" i="1"/>
  <c r="F4053" i="1"/>
  <c r="E4053" i="1"/>
  <c r="D4053" i="1"/>
  <c r="F4052" i="1"/>
  <c r="E4052" i="1"/>
  <c r="D4052" i="1"/>
  <c r="F3975" i="1"/>
  <c r="F3894" i="1"/>
  <c r="F3813" i="1"/>
  <c r="F3732" i="1"/>
  <c r="F3651" i="1"/>
  <c r="F3570" i="1"/>
  <c r="F3489" i="1"/>
  <c r="F3408" i="1"/>
  <c r="F3327" i="1"/>
  <c r="F3246" i="1"/>
  <c r="F3165" i="1"/>
  <c r="F3084" i="1"/>
  <c r="F3003" i="1"/>
  <c r="F2922" i="1"/>
  <c r="F2841" i="1"/>
  <c r="F2760" i="1"/>
  <c r="F2679" i="1"/>
  <c r="F2598" i="1"/>
  <c r="F2517" i="1"/>
  <c r="F2436" i="1"/>
  <c r="F2355" i="1"/>
  <c r="F2274" i="1"/>
  <c r="F2193" i="1"/>
  <c r="F2112" i="1"/>
  <c r="F2031" i="1"/>
  <c r="F1950" i="1"/>
  <c r="F1869" i="1"/>
  <c r="F1788" i="1"/>
  <c r="F1707" i="1"/>
  <c r="F1626" i="1"/>
  <c r="F1545" i="1"/>
  <c r="F1464" i="1"/>
  <c r="F1383" i="1"/>
  <c r="F1302" i="1"/>
  <c r="F1221" i="1"/>
  <c r="F1140" i="1"/>
  <c r="F1059" i="1"/>
  <c r="F978" i="1"/>
  <c r="F897" i="1"/>
  <c r="F816" i="1"/>
  <c r="F735" i="1"/>
  <c r="F654" i="1"/>
  <c r="F573" i="1"/>
  <c r="F492" i="1"/>
  <c r="F411" i="1"/>
  <c r="F330" i="1"/>
  <c r="F249" i="1"/>
  <c r="F168" i="1"/>
  <c r="F87" i="1"/>
  <c r="F6" i="1"/>
  <c r="G4616" i="1" l="1"/>
  <c r="G4535" i="1"/>
  <c r="G4454" i="1"/>
  <c r="G4373" i="1"/>
  <c r="G4130" i="1"/>
  <c r="G4423" i="1"/>
  <c r="G4224" i="1"/>
  <c r="G4211" i="1"/>
  <c r="G4292" i="1"/>
  <c r="G4113" i="1"/>
  <c r="G4157" i="1"/>
  <c r="G4351" i="1"/>
  <c r="G4439" i="1"/>
  <c r="G4141" i="1"/>
  <c r="G4136" i="1"/>
  <c r="G4160" i="1"/>
  <c r="G4176" i="1"/>
  <c r="G4192" i="1"/>
  <c r="G4260" i="1"/>
  <c r="G4268" i="1"/>
  <c r="G4276" i="1"/>
  <c r="G4296" i="1"/>
  <c r="G4518" i="1"/>
  <c r="G4560" i="1"/>
  <c r="G4588" i="1"/>
  <c r="G4592" i="1"/>
  <c r="G4750" i="1"/>
  <c r="G4263" i="1"/>
  <c r="G4279" i="1"/>
  <c r="G4319" i="1"/>
  <c r="G4407" i="1"/>
  <c r="G4097" i="1"/>
  <c r="G4255" i="1"/>
  <c r="G4271" i="1"/>
  <c r="G4391" i="1"/>
  <c r="G4062" i="1"/>
  <c r="G4070" i="1"/>
  <c r="G4094" i="1"/>
  <c r="G4102" i="1"/>
  <c r="G4118" i="1"/>
  <c r="G4382" i="1"/>
  <c r="G4430" i="1"/>
  <c r="G4149" i="1"/>
  <c r="G4214" i="1"/>
  <c r="G4312" i="1"/>
  <c r="G4360" i="1"/>
  <c r="G4502" i="1"/>
  <c r="G4065" i="1"/>
  <c r="G4216" i="1"/>
  <c r="G4232" i="1"/>
  <c r="G4248" i="1"/>
  <c r="G4256" i="1"/>
  <c r="G4264" i="1"/>
  <c r="G4272" i="1"/>
  <c r="G4280" i="1"/>
  <c r="G4376" i="1"/>
  <c r="G4054" i="1"/>
  <c r="G4078" i="1"/>
  <c r="G4086" i="1"/>
  <c r="G4110" i="1"/>
  <c r="G4152" i="1"/>
  <c r="G4168" i="1"/>
  <c r="G4184" i="1"/>
  <c r="G4200" i="1"/>
  <c r="G4328" i="1"/>
  <c r="G4344" i="1"/>
  <c r="G4398" i="1"/>
  <c r="G4414" i="1"/>
  <c r="G4538" i="1"/>
  <c r="G4714" i="1"/>
  <c r="G4057" i="1"/>
  <c r="G4073" i="1"/>
  <c r="G4089" i="1"/>
  <c r="G4105" i="1"/>
  <c r="G4165" i="1"/>
  <c r="G4173" i="1"/>
  <c r="G4181" i="1"/>
  <c r="G4189" i="1"/>
  <c r="G4197" i="1"/>
  <c r="G4240" i="1"/>
  <c r="G4217" i="1"/>
  <c r="G4221" i="1"/>
  <c r="G4233" i="1"/>
  <c r="G4249" i="1"/>
  <c r="G4303" i="1"/>
  <c r="G4335" i="1"/>
  <c r="G4377" i="1"/>
  <c r="G4381" i="1"/>
  <c r="G4385" i="1"/>
  <c r="G4471" i="1"/>
  <c r="G4457" i="1"/>
  <c r="G4461" i="1"/>
  <c r="G4465" i="1"/>
  <c r="G4493" i="1"/>
  <c r="G4509" i="1"/>
  <c r="G4556" i="1"/>
  <c r="G4541" i="1"/>
  <c r="G4545" i="1"/>
  <c r="G4561" i="1"/>
  <c r="G4655" i="1"/>
  <c r="G4683" i="1"/>
  <c r="G4700" i="1"/>
  <c r="G4701" i="1"/>
  <c r="G4705" i="1"/>
  <c r="G4709" i="1"/>
  <c r="G4809" i="1"/>
  <c r="G4813" i="1"/>
  <c r="G4841" i="1"/>
  <c r="G4845" i="1"/>
  <c r="G4052" i="1"/>
  <c r="G4056" i="1"/>
  <c r="G4064" i="1"/>
  <c r="G4061" i="1"/>
  <c r="G4085" i="1"/>
  <c r="G4109" i="1"/>
  <c r="G4143" i="1"/>
  <c r="G4159" i="1"/>
  <c r="G4171" i="1"/>
  <c r="G4187" i="1"/>
  <c r="G4245" i="1"/>
  <c r="G4257" i="1"/>
  <c r="G4273" i="1"/>
  <c r="G4315" i="1"/>
  <c r="G4327" i="1"/>
  <c r="G4339" i="1"/>
  <c r="G4389" i="1"/>
  <c r="G4401" i="1"/>
  <c r="G4441" i="1"/>
  <c r="G4469" i="1"/>
  <c r="G4473" i="1"/>
  <c r="G4481" i="1"/>
  <c r="G4489" i="1"/>
  <c r="G4497" i="1"/>
  <c r="G4505" i="1"/>
  <c r="G4517" i="1"/>
  <c r="G4553" i="1"/>
  <c r="G4557" i="1"/>
  <c r="G4569" i="1"/>
  <c r="G4573" i="1"/>
  <c r="G4577" i="1"/>
  <c r="G4581" i="1"/>
  <c r="G4585" i="1"/>
  <c r="G4589" i="1"/>
  <c r="G4593" i="1"/>
  <c r="G4597" i="1"/>
  <c r="G4601" i="1"/>
  <c r="G4605" i="1"/>
  <c r="G4619" i="1"/>
  <c r="G4623" i="1"/>
  <c r="G4627" i="1"/>
  <c r="G4631" i="1"/>
  <c r="G4635" i="1"/>
  <c r="G4639" i="1"/>
  <c r="G4643" i="1"/>
  <c r="G4647" i="1"/>
  <c r="G4651" i="1"/>
  <c r="G4659" i="1"/>
  <c r="G4663" i="1"/>
  <c r="G4667" i="1"/>
  <c r="G4671" i="1"/>
  <c r="G4675" i="1"/>
  <c r="G4679" i="1"/>
  <c r="G4713" i="1"/>
  <c r="G4717" i="1"/>
  <c r="G4721" i="1"/>
  <c r="G4725" i="1"/>
  <c r="G4733" i="1"/>
  <c r="G4737" i="1"/>
  <c r="G4741" i="1"/>
  <c r="G4745" i="1"/>
  <c r="G4749" i="1"/>
  <c r="G4753" i="1"/>
  <c r="G4757" i="1"/>
  <c r="G4761" i="1"/>
  <c r="G4765" i="1"/>
  <c r="G4783" i="1"/>
  <c r="G4787" i="1"/>
  <c r="G4791" i="1"/>
  <c r="G4795" i="1"/>
  <c r="G4799" i="1"/>
  <c r="G4803" i="1"/>
  <c r="G4807" i="1"/>
  <c r="G4815" i="1"/>
  <c r="G4819" i="1"/>
  <c r="G4823" i="1"/>
  <c r="G4827" i="1"/>
  <c r="G4831" i="1"/>
  <c r="G4835" i="1"/>
  <c r="G4839" i="1"/>
  <c r="G4843" i="1"/>
  <c r="G4847" i="1"/>
  <c r="G4069" i="1"/>
  <c r="G4093" i="1"/>
  <c r="G4135" i="1"/>
  <c r="G4147" i="1"/>
  <c r="G4155" i="1"/>
  <c r="G4167" i="1"/>
  <c r="G4179" i="1"/>
  <c r="G4191" i="1"/>
  <c r="G4199" i="1"/>
  <c r="G4237" i="1"/>
  <c r="G4261" i="1"/>
  <c r="G4269" i="1"/>
  <c r="G4281" i="1"/>
  <c r="G4299" i="1"/>
  <c r="G4311" i="1"/>
  <c r="G4323" i="1"/>
  <c r="G4347" i="1"/>
  <c r="G4359" i="1"/>
  <c r="G4393" i="1"/>
  <c r="G4413" i="1"/>
  <c r="G4421" i="1"/>
  <c r="G4429" i="1"/>
  <c r="G4437" i="1"/>
  <c r="G4058" i="1"/>
  <c r="G4074" i="1"/>
  <c r="G4090" i="1"/>
  <c r="G4114" i="1"/>
  <c r="G4156" i="1"/>
  <c r="G4784" i="1"/>
  <c r="G4788" i="1"/>
  <c r="G4796" i="1"/>
  <c r="G4800" i="1"/>
  <c r="G4804" i="1"/>
  <c r="G4808" i="1"/>
  <c r="G4812" i="1"/>
  <c r="G4816" i="1"/>
  <c r="G4820" i="1"/>
  <c r="G4824" i="1"/>
  <c r="G4828" i="1"/>
  <c r="G4832" i="1"/>
  <c r="G4836" i="1"/>
  <c r="G4840" i="1"/>
  <c r="G4844" i="1"/>
  <c r="G4848" i="1"/>
  <c r="G4060" i="1"/>
  <c r="G4053" i="1"/>
  <c r="G4077" i="1"/>
  <c r="G4101" i="1"/>
  <c r="G4117" i="1"/>
  <c r="G4139" i="1"/>
  <c r="G4151" i="1"/>
  <c r="G4175" i="1"/>
  <c r="G4183" i="1"/>
  <c r="G4195" i="1"/>
  <c r="G4229" i="1"/>
  <c r="G4241" i="1"/>
  <c r="G4253" i="1"/>
  <c r="G4265" i="1"/>
  <c r="G4277" i="1"/>
  <c r="G4295" i="1"/>
  <c r="G4307" i="1"/>
  <c r="G4331" i="1"/>
  <c r="G4343" i="1"/>
  <c r="G4355" i="1"/>
  <c r="G4397" i="1"/>
  <c r="G4409" i="1"/>
  <c r="G4417" i="1"/>
  <c r="G4425" i="1"/>
  <c r="G4433" i="1"/>
  <c r="G4477" i="1"/>
  <c r="G4485" i="1"/>
  <c r="G4501" i="1"/>
  <c r="G4513" i="1"/>
  <c r="G4521" i="1"/>
  <c r="G4565" i="1"/>
  <c r="G4066" i="1"/>
  <c r="G4098" i="1"/>
  <c r="G4106" i="1"/>
  <c r="G4140" i="1"/>
  <c r="G4148" i="1"/>
  <c r="G4164" i="1"/>
  <c r="G4172" i="1"/>
  <c r="G4180" i="1"/>
  <c r="G4188" i="1"/>
  <c r="G4196" i="1"/>
  <c r="G4218" i="1"/>
  <c r="G4222" i="1"/>
  <c r="G4226" i="1"/>
  <c r="G4230" i="1"/>
  <c r="G4234" i="1"/>
  <c r="G4238" i="1"/>
  <c r="G4242" i="1"/>
  <c r="G4246" i="1"/>
  <c r="G4250" i="1"/>
  <c r="G4254" i="1"/>
  <c r="G4258" i="1"/>
  <c r="G4262" i="1"/>
  <c r="G4266" i="1"/>
  <c r="G4270" i="1"/>
  <c r="G4274" i="1"/>
  <c r="G4278" i="1"/>
  <c r="G4300" i="1"/>
  <c r="G4304" i="1"/>
  <c r="G4308" i="1"/>
  <c r="G4316" i="1"/>
  <c r="G4320" i="1"/>
  <c r="G4332" i="1"/>
  <c r="G4336" i="1"/>
  <c r="G4340" i="1"/>
  <c r="G4348" i="1"/>
  <c r="G4352" i="1"/>
  <c r="G4356" i="1"/>
  <c r="G4378" i="1"/>
  <c r="G4386" i="1"/>
  <c r="G4390" i="1"/>
  <c r="G4394" i="1"/>
  <c r="G4402" i="1"/>
  <c r="G4410" i="1"/>
  <c r="G4418" i="1"/>
  <c r="G4422" i="1"/>
  <c r="G4426" i="1"/>
  <c r="G4434" i="1"/>
  <c r="G4438" i="1"/>
  <c r="G4442" i="1"/>
  <c r="G4458" i="1"/>
  <c r="G4462" i="1"/>
  <c r="G4466" i="1"/>
  <c r="G4470" i="1"/>
  <c r="G4474" i="1"/>
  <c r="G4478" i="1"/>
  <c r="G4482" i="1"/>
  <c r="G4490" i="1"/>
  <c r="G4494" i="1"/>
  <c r="G4498" i="1"/>
  <c r="G4506" i="1"/>
  <c r="G4510" i="1"/>
  <c r="G4514" i="1"/>
  <c r="G4522" i="1"/>
  <c r="G4542" i="1"/>
  <c r="G4546" i="1"/>
  <c r="G4550" i="1"/>
  <c r="G4554" i="1"/>
  <c r="G4558" i="1"/>
  <c r="G4562" i="1"/>
  <c r="G4566" i="1"/>
  <c r="G4570" i="1"/>
  <c r="G4574" i="1"/>
  <c r="G4578" i="1"/>
  <c r="G4582" i="1"/>
  <c r="G4586" i="1"/>
  <c r="G4590" i="1"/>
  <c r="G4594" i="1"/>
  <c r="G4598" i="1"/>
  <c r="G4602" i="1"/>
  <c r="G4620" i="1"/>
  <c r="G4624" i="1"/>
  <c r="G4628" i="1"/>
  <c r="G4632" i="1"/>
  <c r="G4636" i="1"/>
  <c r="G4640" i="1"/>
  <c r="G4644" i="1"/>
  <c r="G4652" i="1"/>
  <c r="G4656" i="1"/>
  <c r="G4660" i="1"/>
  <c r="G4664" i="1"/>
  <c r="G4668" i="1"/>
  <c r="G4672" i="1"/>
  <c r="G4676" i="1"/>
  <c r="G4680" i="1"/>
  <c r="G4684" i="1"/>
  <c r="G4702" i="1"/>
  <c r="G4706" i="1"/>
  <c r="G4710" i="1"/>
  <c r="G4718" i="1"/>
  <c r="G4722" i="1"/>
  <c r="G4726" i="1"/>
  <c r="G4734" i="1"/>
  <c r="G4738" i="1"/>
  <c r="G4742" i="1"/>
  <c r="G4746" i="1"/>
  <c r="G4754" i="1"/>
  <c r="G4758" i="1"/>
  <c r="G4762" i="1"/>
  <c r="G4766" i="1"/>
  <c r="G4055" i="1"/>
  <c r="G4059" i="1"/>
  <c r="G4067" i="1"/>
  <c r="G4071" i="1"/>
  <c r="G4075" i="1"/>
  <c r="G4079" i="1"/>
  <c r="G4083" i="1"/>
  <c r="G4087" i="1"/>
  <c r="G4091" i="1"/>
  <c r="G4095" i="1"/>
  <c r="G4099" i="1"/>
  <c r="G4103" i="1"/>
  <c r="G4107" i="1"/>
  <c r="G4111" i="1"/>
  <c r="G4115" i="1"/>
  <c r="G4119" i="1"/>
  <c r="G4137" i="1"/>
  <c r="G4145" i="1"/>
  <c r="G4153" i="1"/>
  <c r="G4161" i="1"/>
  <c r="G4169" i="1"/>
  <c r="G4177" i="1"/>
  <c r="G4185" i="1"/>
  <c r="G4193" i="1"/>
  <c r="G4259" i="1"/>
  <c r="G4267" i="1"/>
  <c r="G4275" i="1"/>
  <c r="G4415" i="1"/>
  <c r="G4431" i="1"/>
  <c r="G4383" i="1"/>
  <c r="G4399" i="1"/>
  <c r="G4133" i="1"/>
  <c r="G4215" i="1"/>
  <c r="G4219" i="1"/>
  <c r="G4223" i="1"/>
  <c r="G4227" i="1"/>
  <c r="G4231" i="1"/>
  <c r="G4235" i="1"/>
  <c r="G4239" i="1"/>
  <c r="G4247" i="1"/>
  <c r="G4251" i="1"/>
  <c r="G4297" i="1"/>
  <c r="G4301" i="1"/>
  <c r="G4305" i="1"/>
  <c r="G4309" i="1"/>
  <c r="G4313" i="1"/>
  <c r="G4317" i="1"/>
  <c r="G4321" i="1"/>
  <c r="G4329" i="1"/>
  <c r="G4333" i="1"/>
  <c r="G4337" i="1"/>
  <c r="G4341" i="1"/>
  <c r="G4345" i="1"/>
  <c r="G4349" i="1"/>
  <c r="G4353" i="1"/>
  <c r="G4357" i="1"/>
  <c r="G4361" i="1"/>
  <c r="G4379" i="1"/>
  <c r="G4395" i="1"/>
  <c r="G4403" i="1"/>
  <c r="G4411" i="1"/>
  <c r="G4419" i="1"/>
  <c r="G4427" i="1"/>
  <c r="G4435" i="1"/>
  <c r="G4443" i="1"/>
  <c r="G4463" i="1"/>
  <c r="G4479" i="1"/>
  <c r="G4793" i="1"/>
  <c r="G4797" i="1"/>
  <c r="G4825" i="1"/>
  <c r="G4829" i="1"/>
  <c r="G4068" i="1"/>
  <c r="G4072" i="1"/>
  <c r="G4076" i="1"/>
  <c r="G4080" i="1"/>
  <c r="G4084" i="1"/>
  <c r="G4088" i="1"/>
  <c r="G4092" i="1"/>
  <c r="G4096" i="1"/>
  <c r="G4100" i="1"/>
  <c r="G4104" i="1"/>
  <c r="G4108" i="1"/>
  <c r="G4112" i="1"/>
  <c r="G4116" i="1"/>
  <c r="G4134" i="1"/>
  <c r="G4138" i="1"/>
  <c r="G4142" i="1"/>
  <c r="G4146" i="1"/>
  <c r="G4150" i="1"/>
  <c r="G4154" i="1"/>
  <c r="G4158" i="1"/>
  <c r="G4166" i="1"/>
  <c r="G4170" i="1"/>
  <c r="G4174" i="1"/>
  <c r="G4178" i="1"/>
  <c r="G4182" i="1"/>
  <c r="G4186" i="1"/>
  <c r="G4190" i="1"/>
  <c r="G4194" i="1"/>
  <c r="G4198" i="1"/>
  <c r="G4220" i="1"/>
  <c r="G4228" i="1"/>
  <c r="G4236" i="1"/>
  <c r="G4252" i="1"/>
  <c r="G4298" i="1"/>
  <c r="G4302" i="1"/>
  <c r="G4310" i="1"/>
  <c r="G4314" i="1"/>
  <c r="G4318" i="1"/>
  <c r="G4322" i="1"/>
  <c r="G4326" i="1"/>
  <c r="G4330" i="1"/>
  <c r="G4334" i="1"/>
  <c r="G4338" i="1"/>
  <c r="G4342" i="1"/>
  <c r="G4346" i="1"/>
  <c r="G4350" i="1"/>
  <c r="G4354" i="1"/>
  <c r="G4358" i="1"/>
  <c r="G4362" i="1"/>
  <c r="G4380" i="1"/>
  <c r="G4384" i="1"/>
  <c r="G4388" i="1"/>
  <c r="G4392" i="1"/>
  <c r="G4396" i="1"/>
  <c r="G4400" i="1"/>
  <c r="G4404" i="1"/>
  <c r="G4408" i="1"/>
  <c r="G4412" i="1"/>
  <c r="G4540" i="1"/>
  <c r="G4544" i="1"/>
  <c r="G4572" i="1"/>
  <c r="G4576" i="1"/>
  <c r="G4604" i="1"/>
  <c r="G4049" i="1"/>
  <c r="G4459" i="1"/>
  <c r="G4467" i="1"/>
  <c r="G4475" i="1"/>
  <c r="G4483" i="1"/>
  <c r="G4491" i="1"/>
  <c r="G4495" i="1"/>
  <c r="G4499" i="1"/>
  <c r="G4503" i="1"/>
  <c r="G4507" i="1"/>
  <c r="G4511" i="1"/>
  <c r="G4515" i="1"/>
  <c r="G4519" i="1"/>
  <c r="G4523" i="1"/>
  <c r="G4539" i="1"/>
  <c r="G4543" i="1"/>
  <c r="G4547" i="1"/>
  <c r="G4551" i="1"/>
  <c r="G4555" i="1"/>
  <c r="G4559" i="1"/>
  <c r="G4563" i="1"/>
  <c r="G4571" i="1"/>
  <c r="G4575" i="1"/>
  <c r="G4579" i="1"/>
  <c r="G4583" i="1"/>
  <c r="G4587" i="1"/>
  <c r="G4591" i="1"/>
  <c r="G4595" i="1"/>
  <c r="G4599" i="1"/>
  <c r="G4603" i="1"/>
  <c r="G4621" i="1"/>
  <c r="G4625" i="1"/>
  <c r="G4629" i="1"/>
  <c r="G4633" i="1"/>
  <c r="G4637" i="1"/>
  <c r="G4641" i="1"/>
  <c r="G4645" i="1"/>
  <c r="G4653" i="1"/>
  <c r="G4657" i="1"/>
  <c r="G4661" i="1"/>
  <c r="G4665" i="1"/>
  <c r="G4669" i="1"/>
  <c r="G4673" i="1"/>
  <c r="G4677" i="1"/>
  <c r="G4681" i="1"/>
  <c r="G4685" i="1"/>
  <c r="G4703" i="1"/>
  <c r="G4707" i="1"/>
  <c r="G4715" i="1"/>
  <c r="G4719" i="1"/>
  <c r="G4723" i="1"/>
  <c r="G4727" i="1"/>
  <c r="G4731" i="1"/>
  <c r="G4735" i="1"/>
  <c r="G4739" i="1"/>
  <c r="G4743" i="1"/>
  <c r="G4747" i="1"/>
  <c r="G4751" i="1"/>
  <c r="G4755" i="1"/>
  <c r="G4759" i="1"/>
  <c r="G4763" i="1"/>
  <c r="G4767" i="1"/>
  <c r="G4781" i="1"/>
  <c r="G4785" i="1"/>
  <c r="G4789" i="1"/>
  <c r="G4801" i="1"/>
  <c r="G4805" i="1"/>
  <c r="G4817" i="1"/>
  <c r="G4821" i="1"/>
  <c r="G4833" i="1"/>
  <c r="G4837" i="1"/>
  <c r="G4416" i="1"/>
  <c r="G4420" i="1"/>
  <c r="G4424" i="1"/>
  <c r="G4428" i="1"/>
  <c r="G4432" i="1"/>
  <c r="G4436" i="1"/>
  <c r="G4440" i="1"/>
  <c r="G4460" i="1"/>
  <c r="G4464" i="1"/>
  <c r="G4472" i="1"/>
  <c r="G4476" i="1"/>
  <c r="G4480" i="1"/>
  <c r="G4484" i="1"/>
  <c r="G4488" i="1"/>
  <c r="G4492" i="1"/>
  <c r="G4496" i="1"/>
  <c r="G4500" i="1"/>
  <c r="G4504" i="1"/>
  <c r="G4508" i="1"/>
  <c r="G4512" i="1"/>
  <c r="G4516" i="1"/>
  <c r="G4520" i="1"/>
  <c r="G4524" i="1"/>
  <c r="G4548" i="1"/>
  <c r="G4552" i="1"/>
  <c r="G4564" i="1"/>
  <c r="G4580" i="1"/>
  <c r="G4584" i="1"/>
  <c r="G4596" i="1"/>
  <c r="G4600" i="1"/>
  <c r="G4622" i="1"/>
  <c r="G4626" i="1"/>
  <c r="G4634" i="1"/>
  <c r="G4638" i="1"/>
  <c r="G4642" i="1"/>
  <c r="G4646" i="1"/>
  <c r="G4650" i="1"/>
  <c r="G4654" i="1"/>
  <c r="G4658" i="1"/>
  <c r="G4662" i="1"/>
  <c r="G4666" i="1"/>
  <c r="G4670" i="1"/>
  <c r="G4674" i="1"/>
  <c r="G4678" i="1"/>
  <c r="G4682" i="1"/>
  <c r="G4686" i="1"/>
  <c r="G4704" i="1"/>
  <c r="G4708" i="1"/>
  <c r="G4712" i="1"/>
  <c r="G4716" i="1"/>
  <c r="G4720" i="1"/>
  <c r="G4724" i="1"/>
  <c r="G4728" i="1"/>
  <c r="G4732" i="1"/>
  <c r="G4736" i="1"/>
  <c r="G4740" i="1"/>
  <c r="G4744" i="1"/>
  <c r="G4748" i="1"/>
  <c r="G4752" i="1"/>
  <c r="G4756" i="1"/>
  <c r="G4760" i="1"/>
  <c r="G4764" i="1"/>
  <c r="G4782" i="1"/>
  <c r="G4786" i="1"/>
  <c r="G4790" i="1"/>
  <c r="G4794" i="1"/>
  <c r="G4798" i="1"/>
  <c r="G4802" i="1"/>
  <c r="G4806" i="1"/>
  <c r="G4814" i="1"/>
  <c r="G4818" i="1"/>
  <c r="G4822" i="1"/>
  <c r="G4826" i="1"/>
  <c r="G4830" i="1"/>
  <c r="G4834" i="1"/>
  <c r="G4838" i="1"/>
  <c r="G4842" i="1"/>
  <c r="G4846" i="1"/>
  <c r="G3887" i="1"/>
  <c r="G3968" i="1"/>
  <c r="G3806" i="1"/>
  <c r="G3563" i="1"/>
  <c r="G3644" i="1"/>
  <c r="G3725" i="1"/>
  <c r="G3482" i="1"/>
  <c r="G3401" i="1"/>
  <c r="G3320" i="1"/>
  <c r="G3239" i="1"/>
  <c r="G3158" i="1"/>
  <c r="G3077" i="1"/>
  <c r="G2996" i="1"/>
  <c r="G2915" i="1"/>
  <c r="G2834" i="1"/>
  <c r="G2753" i="1"/>
  <c r="G2672" i="1"/>
  <c r="G2591" i="1"/>
  <c r="G2510" i="1"/>
  <c r="G2429" i="1"/>
  <c r="G2348" i="1"/>
  <c r="G2267" i="1"/>
  <c r="G2186" i="1"/>
  <c r="G2105" i="1"/>
  <c r="G2024" i="1"/>
  <c r="G1943" i="1"/>
  <c r="G80" i="1"/>
  <c r="G404" i="1"/>
  <c r="G728" i="1"/>
  <c r="G1052" i="1"/>
  <c r="G1376" i="1"/>
  <c r="G1700" i="1"/>
  <c r="G161" i="1"/>
  <c r="G323" i="1"/>
  <c r="G485" i="1"/>
  <c r="G647" i="1"/>
  <c r="G809" i="1"/>
  <c r="G971" i="1"/>
  <c r="G1133" i="1"/>
  <c r="G1295" i="1"/>
  <c r="G1457" i="1"/>
  <c r="G1619" i="1"/>
  <c r="G1781" i="1"/>
  <c r="G242" i="1"/>
  <c r="G566" i="1"/>
  <c r="G890" i="1"/>
  <c r="G1214" i="1"/>
  <c r="G1538" i="1"/>
  <c r="G1862" i="1"/>
  <c r="H25" i="70"/>
  <c r="H26" i="70"/>
  <c r="H27" i="70"/>
  <c r="H28" i="70"/>
  <c r="H29" i="70"/>
  <c r="H42" i="70"/>
  <c r="H43" i="70"/>
  <c r="H44" i="70"/>
  <c r="H45" i="70"/>
  <c r="H46" i="70"/>
  <c r="H47" i="70"/>
  <c r="H48" i="70"/>
  <c r="H49" i="70"/>
  <c r="H50" i="70"/>
  <c r="H51" i="70"/>
  <c r="H52" i="70"/>
  <c r="H53" i="70"/>
  <c r="H54" i="70"/>
  <c r="H55" i="70"/>
  <c r="H56" i="70"/>
  <c r="H57" i="70"/>
  <c r="H58" i="70"/>
  <c r="H59" i="70"/>
  <c r="H60" i="70"/>
  <c r="H61" i="70"/>
  <c r="H62" i="70"/>
  <c r="H63" i="70"/>
  <c r="H64" i="70"/>
  <c r="H65" i="70"/>
  <c r="H66" i="70"/>
  <c r="H67" i="70"/>
  <c r="H68" i="70"/>
  <c r="H69" i="70"/>
  <c r="H70" i="70"/>
  <c r="H71" i="70"/>
  <c r="H72" i="70"/>
  <c r="H73" i="70"/>
  <c r="H74" i="70"/>
  <c r="H75" i="70"/>
  <c r="H76" i="70"/>
  <c r="H77" i="70"/>
  <c r="H78" i="70"/>
  <c r="H79" i="70"/>
  <c r="H80" i="70"/>
  <c r="H81" i="70"/>
  <c r="H82" i="70"/>
  <c r="H83" i="70"/>
  <c r="H84" i="70"/>
  <c r="H85" i="70"/>
  <c r="H86" i="70"/>
  <c r="H87" i="70"/>
  <c r="H88" i="70"/>
  <c r="H89" i="70"/>
  <c r="H90" i="70"/>
  <c r="H91" i="70"/>
  <c r="H92" i="70"/>
  <c r="H93" i="70"/>
  <c r="H94" i="70"/>
  <c r="H95" i="70"/>
  <c r="H96" i="70"/>
  <c r="H97" i="70"/>
  <c r="H98" i="70"/>
  <c r="H99" i="70"/>
  <c r="H100" i="70"/>
  <c r="H101" i="70"/>
  <c r="H102" i="70"/>
  <c r="H103" i="70"/>
  <c r="H104" i="70"/>
  <c r="H105" i="70"/>
  <c r="H106" i="70"/>
  <c r="H107" i="70"/>
  <c r="H108" i="70"/>
  <c r="H109" i="70"/>
  <c r="H110" i="70"/>
  <c r="H111" i="70"/>
  <c r="H112" i="70"/>
  <c r="H113" i="70"/>
  <c r="H114" i="70"/>
  <c r="H115" i="70"/>
  <c r="H116" i="70"/>
  <c r="H117" i="70"/>
  <c r="H118" i="70"/>
  <c r="H119" i="70"/>
  <c r="H120" i="70"/>
  <c r="H121" i="70"/>
  <c r="H122" i="70"/>
  <c r="H123" i="70"/>
  <c r="H124" i="70"/>
  <c r="H125" i="70"/>
  <c r="H126" i="70"/>
  <c r="H127" i="70"/>
  <c r="H128" i="70"/>
  <c r="H129" i="70"/>
  <c r="H130" i="70"/>
  <c r="H131" i="70"/>
  <c r="H132" i="70"/>
  <c r="H133" i="70"/>
  <c r="H134" i="70"/>
  <c r="H135" i="70"/>
  <c r="H136" i="70"/>
  <c r="H137" i="70"/>
  <c r="H138" i="70"/>
  <c r="H139" i="70"/>
  <c r="H140" i="70"/>
  <c r="H141" i="70"/>
  <c r="H142" i="70"/>
  <c r="H143" i="70"/>
  <c r="H144" i="70"/>
  <c r="H145" i="70"/>
  <c r="H146" i="70"/>
  <c r="H147" i="70"/>
  <c r="H148" i="70"/>
  <c r="H149" i="70"/>
  <c r="H150" i="70"/>
  <c r="H151" i="70"/>
  <c r="H152" i="70"/>
  <c r="H153" i="70"/>
  <c r="H154" i="70"/>
  <c r="H155" i="70"/>
  <c r="H156" i="70"/>
  <c r="H157" i="70"/>
  <c r="H158" i="70"/>
  <c r="H159" i="70"/>
  <c r="H160" i="70"/>
  <c r="H161" i="70"/>
  <c r="H162" i="70"/>
  <c r="H163" i="70"/>
  <c r="H164" i="70"/>
  <c r="H165" i="70"/>
  <c r="H166" i="70"/>
  <c r="H167" i="70"/>
  <c r="H168" i="70"/>
  <c r="H169" i="70"/>
  <c r="H170" i="70"/>
  <c r="H171" i="70"/>
  <c r="H172" i="70"/>
  <c r="H173" i="70"/>
  <c r="H174" i="70"/>
  <c r="H175" i="70"/>
  <c r="H176" i="70"/>
  <c r="H177" i="70"/>
  <c r="H178" i="70"/>
  <c r="H179" i="70"/>
  <c r="H180" i="70"/>
  <c r="H181" i="70"/>
  <c r="H182" i="70"/>
  <c r="H183" i="70"/>
  <c r="H184" i="70"/>
  <c r="H185" i="70"/>
  <c r="H186" i="70"/>
  <c r="H187" i="70"/>
  <c r="H188" i="70"/>
  <c r="H189" i="70"/>
  <c r="H190" i="70"/>
  <c r="H191" i="70"/>
  <c r="H192" i="70"/>
  <c r="H193" i="70"/>
  <c r="H194" i="70"/>
  <c r="H195" i="70"/>
  <c r="H196" i="70"/>
  <c r="H197" i="70"/>
  <c r="H198" i="70"/>
  <c r="H199" i="70"/>
  <c r="H200" i="70"/>
  <c r="H201" i="70"/>
  <c r="H202" i="70"/>
  <c r="H203" i="70"/>
  <c r="H204" i="70"/>
  <c r="H205" i="70"/>
  <c r="H206" i="70"/>
  <c r="H207" i="70"/>
  <c r="H208" i="70"/>
  <c r="H209" i="70"/>
  <c r="H210" i="70"/>
  <c r="H211" i="70"/>
  <c r="H212" i="70"/>
  <c r="H213" i="70"/>
  <c r="H214" i="70"/>
  <c r="H215" i="70"/>
  <c r="H216" i="70"/>
  <c r="H217" i="70"/>
  <c r="H218" i="70"/>
  <c r="H219" i="70"/>
  <c r="H220" i="70"/>
  <c r="H221" i="70"/>
  <c r="H222" i="70"/>
  <c r="H223" i="70"/>
  <c r="H224" i="70"/>
  <c r="H225" i="70"/>
  <c r="H226" i="70"/>
  <c r="H227" i="70"/>
  <c r="H228" i="70"/>
  <c r="H229" i="70"/>
  <c r="H230" i="70"/>
  <c r="H231" i="70"/>
  <c r="H232" i="70"/>
  <c r="H233" i="70"/>
  <c r="H234" i="70"/>
  <c r="H235" i="70"/>
  <c r="H236" i="70"/>
  <c r="H237" i="70"/>
  <c r="H238" i="70"/>
  <c r="H239" i="70"/>
  <c r="H240" i="70"/>
  <c r="H241" i="70"/>
  <c r="H242" i="70"/>
  <c r="H243" i="70"/>
  <c r="H244" i="70"/>
  <c r="H245" i="70"/>
  <c r="H246" i="70"/>
  <c r="H247" i="70"/>
  <c r="H248" i="70"/>
  <c r="H249" i="70"/>
  <c r="H250" i="70"/>
  <c r="H251" i="70"/>
  <c r="H252" i="70"/>
  <c r="H253" i="70"/>
  <c r="H254" i="70"/>
  <c r="H255" i="70"/>
  <c r="H256" i="70"/>
  <c r="H257" i="70"/>
  <c r="H258" i="70"/>
  <c r="H259" i="70"/>
  <c r="H260" i="70"/>
  <c r="H261" i="70"/>
  <c r="H262" i="70"/>
  <c r="H263" i="70"/>
  <c r="H264" i="70"/>
  <c r="H265" i="70"/>
  <c r="H266" i="70"/>
  <c r="H267" i="70"/>
  <c r="H268" i="70"/>
  <c r="H269" i="70"/>
  <c r="H270" i="70"/>
  <c r="H271" i="70"/>
  <c r="H272" i="70"/>
  <c r="H273" i="70"/>
  <c r="H274" i="70"/>
  <c r="H2" i="70"/>
  <c r="H3" i="70"/>
  <c r="H4" i="70"/>
  <c r="H5" i="70"/>
  <c r="H6" i="70"/>
  <c r="H7" i="70"/>
  <c r="H8" i="70"/>
  <c r="H9" i="70"/>
  <c r="H10" i="70"/>
  <c r="H11" i="70"/>
  <c r="H12" i="70"/>
  <c r="H13" i="70"/>
  <c r="H14" i="70"/>
  <c r="H15" i="70"/>
  <c r="H16" i="70"/>
  <c r="H17" i="70"/>
  <c r="H18" i="70"/>
  <c r="H19" i="70"/>
  <c r="H20" i="70"/>
  <c r="H21" i="70"/>
  <c r="H22" i="70"/>
  <c r="H23" i="70"/>
  <c r="H7" i="69" l="1"/>
  <c r="G3" i="69"/>
  <c r="C7" i="69"/>
  <c r="E142" i="69"/>
  <c r="E34" i="69"/>
  <c r="H24" i="70"/>
  <c r="K4" i="69"/>
  <c r="J200" i="69"/>
  <c r="D200" i="69" s="1"/>
  <c r="J199" i="69"/>
  <c r="D199" i="69" s="1"/>
  <c r="J198" i="69"/>
  <c r="D198" i="69" s="1"/>
  <c r="J197" i="69"/>
  <c r="J196" i="69"/>
  <c r="D196" i="69" s="1"/>
  <c r="J195" i="69"/>
  <c r="D195" i="69" s="1"/>
  <c r="J194" i="69"/>
  <c r="D194" i="69" s="1"/>
  <c r="J193" i="69"/>
  <c r="J192" i="69"/>
  <c r="D192" i="69" s="1"/>
  <c r="J191" i="69"/>
  <c r="D191" i="69" s="1"/>
  <c r="J190" i="69"/>
  <c r="D190" i="69" s="1"/>
  <c r="J189" i="69"/>
  <c r="J188" i="69"/>
  <c r="D188" i="69" s="1"/>
  <c r="J187" i="69"/>
  <c r="D187" i="69" s="1"/>
  <c r="J186" i="69"/>
  <c r="D186" i="69" s="1"/>
  <c r="J185" i="69"/>
  <c r="J184" i="69"/>
  <c r="D184" i="69" s="1"/>
  <c r="J183" i="69"/>
  <c r="D183" i="69" s="1"/>
  <c r="J182" i="69"/>
  <c r="D182" i="69" s="1"/>
  <c r="J181" i="69"/>
  <c r="J180" i="69"/>
  <c r="D180" i="69" s="1"/>
  <c r="J179" i="69"/>
  <c r="D179" i="69" s="1"/>
  <c r="J178" i="69"/>
  <c r="D178" i="69" s="1"/>
  <c r="J177" i="69"/>
  <c r="J176" i="69"/>
  <c r="D176" i="69" s="1"/>
  <c r="J175" i="69"/>
  <c r="D175" i="69" s="1"/>
  <c r="J174" i="69"/>
  <c r="D174" i="69" s="1"/>
  <c r="J173" i="69"/>
  <c r="J172" i="69"/>
  <c r="D172" i="69" s="1"/>
  <c r="J171" i="69"/>
  <c r="D171" i="69" s="1"/>
  <c r="J170" i="69"/>
  <c r="D170" i="69" s="1"/>
  <c r="J169" i="69"/>
  <c r="J168" i="69"/>
  <c r="D168" i="69" s="1"/>
  <c r="J167" i="69"/>
  <c r="D167" i="69" s="1"/>
  <c r="J166" i="69"/>
  <c r="D166" i="69" s="1"/>
  <c r="J165" i="69"/>
  <c r="J164" i="69"/>
  <c r="D164" i="69" s="1"/>
  <c r="J163" i="69"/>
  <c r="D163" i="69" s="1"/>
  <c r="J162" i="69"/>
  <c r="D162" i="69" s="1"/>
  <c r="J161" i="69"/>
  <c r="J160" i="69"/>
  <c r="D160" i="69" s="1"/>
  <c r="J159" i="69"/>
  <c r="D159" i="69" s="1"/>
  <c r="J158" i="69"/>
  <c r="D158" i="69" s="1"/>
  <c r="J157" i="69"/>
  <c r="J156" i="69"/>
  <c r="D156" i="69" s="1"/>
  <c r="J155" i="69"/>
  <c r="D155" i="69" s="1"/>
  <c r="J154" i="69"/>
  <c r="D154" i="69" s="1"/>
  <c r="J153" i="69"/>
  <c r="J152" i="69"/>
  <c r="D152" i="69" s="1"/>
  <c r="J151" i="69"/>
  <c r="D151" i="69" s="1"/>
  <c r="J150" i="69"/>
  <c r="D150" i="69" s="1"/>
  <c r="J149" i="69"/>
  <c r="J148" i="69"/>
  <c r="D148" i="69" s="1"/>
  <c r="J147" i="69"/>
  <c r="D147" i="69" s="1"/>
  <c r="J146" i="69"/>
  <c r="D146" i="69" s="1"/>
  <c r="J145" i="69"/>
  <c r="J144" i="69"/>
  <c r="D144" i="69" s="1"/>
  <c r="J143" i="69"/>
  <c r="D143" i="69" s="1"/>
  <c r="J142" i="69"/>
  <c r="D142" i="69" s="1"/>
  <c r="J141" i="69"/>
  <c r="D141" i="69" s="1"/>
  <c r="J140" i="69"/>
  <c r="D140" i="69" s="1"/>
  <c r="J139" i="69"/>
  <c r="D139" i="69" s="1"/>
  <c r="J138" i="69"/>
  <c r="D138" i="69" s="1"/>
  <c r="J137" i="69"/>
  <c r="J136" i="69"/>
  <c r="D136" i="69" s="1"/>
  <c r="J135" i="69"/>
  <c r="D135" i="69" s="1"/>
  <c r="J134" i="69"/>
  <c r="D134" i="69" s="1"/>
  <c r="J133" i="69"/>
  <c r="D133" i="69" s="1"/>
  <c r="J132" i="69"/>
  <c r="D132" i="69" s="1"/>
  <c r="J131" i="69"/>
  <c r="J130" i="69"/>
  <c r="D130" i="69" s="1"/>
  <c r="J129" i="69"/>
  <c r="J128" i="69"/>
  <c r="D128" i="69" s="1"/>
  <c r="J127" i="69"/>
  <c r="D127" i="69" s="1"/>
  <c r="J126" i="69"/>
  <c r="D126" i="69" s="1"/>
  <c r="J125" i="69"/>
  <c r="D125" i="69" s="1"/>
  <c r="J124" i="69"/>
  <c r="D124" i="69" s="1"/>
  <c r="J123" i="69"/>
  <c r="D123" i="69" s="1"/>
  <c r="J122" i="69"/>
  <c r="J121" i="69"/>
  <c r="J120" i="69"/>
  <c r="D120" i="69" s="1"/>
  <c r="J119" i="69"/>
  <c r="D119" i="69" s="1"/>
  <c r="J118" i="69"/>
  <c r="D118" i="69" s="1"/>
  <c r="J117" i="69"/>
  <c r="D117" i="69" s="1"/>
  <c r="J116" i="69"/>
  <c r="D116" i="69" s="1"/>
  <c r="J115" i="69"/>
  <c r="D115" i="69" s="1"/>
  <c r="J114" i="69"/>
  <c r="J113" i="69"/>
  <c r="D113" i="69" s="1"/>
  <c r="J112" i="69"/>
  <c r="D112" i="69" s="1"/>
  <c r="J111" i="69"/>
  <c r="D111" i="69" s="1"/>
  <c r="J110" i="69"/>
  <c r="D110" i="69" s="1"/>
  <c r="J109" i="69"/>
  <c r="D109" i="69" s="1"/>
  <c r="J108" i="69"/>
  <c r="D108" i="69" s="1"/>
  <c r="J107" i="69"/>
  <c r="D107" i="69" s="1"/>
  <c r="J106" i="69"/>
  <c r="J105" i="69"/>
  <c r="D105" i="69" s="1"/>
  <c r="J104" i="69"/>
  <c r="D104" i="69" s="1"/>
  <c r="J103" i="69"/>
  <c r="D103" i="69" s="1"/>
  <c r="J102" i="69"/>
  <c r="D102" i="69" s="1"/>
  <c r="J101" i="69"/>
  <c r="D101" i="69" s="1"/>
  <c r="J100" i="69"/>
  <c r="D100" i="69" s="1"/>
  <c r="J99" i="69"/>
  <c r="D99" i="69" s="1"/>
  <c r="J98" i="69"/>
  <c r="J97" i="69"/>
  <c r="D97" i="69" s="1"/>
  <c r="J96" i="69"/>
  <c r="D96" i="69" s="1"/>
  <c r="J95" i="69"/>
  <c r="D95" i="69" s="1"/>
  <c r="J94" i="69"/>
  <c r="D94" i="69" s="1"/>
  <c r="J93" i="69"/>
  <c r="D93" i="69" s="1"/>
  <c r="J92" i="69"/>
  <c r="D92" i="69" s="1"/>
  <c r="J91" i="69"/>
  <c r="D91" i="69" s="1"/>
  <c r="J90" i="69"/>
  <c r="J89" i="69"/>
  <c r="D89" i="69" s="1"/>
  <c r="J88" i="69"/>
  <c r="D88" i="69" s="1"/>
  <c r="J87" i="69"/>
  <c r="D87" i="69" s="1"/>
  <c r="J86" i="69"/>
  <c r="D86" i="69" s="1"/>
  <c r="J85" i="69"/>
  <c r="D85" i="69" s="1"/>
  <c r="J84" i="69"/>
  <c r="D84" i="69" s="1"/>
  <c r="J83" i="69"/>
  <c r="D83" i="69" s="1"/>
  <c r="J82" i="69"/>
  <c r="J81" i="69"/>
  <c r="D81" i="69" s="1"/>
  <c r="J80" i="69"/>
  <c r="D80" i="69" s="1"/>
  <c r="J79" i="69"/>
  <c r="D79" i="69" s="1"/>
  <c r="J78" i="69"/>
  <c r="D78" i="69" s="1"/>
  <c r="J77" i="69"/>
  <c r="D77" i="69" s="1"/>
  <c r="J76" i="69"/>
  <c r="D76" i="69" s="1"/>
  <c r="J75" i="69"/>
  <c r="D75" i="69" s="1"/>
  <c r="J74" i="69"/>
  <c r="J73" i="69"/>
  <c r="D73" i="69" s="1"/>
  <c r="J72" i="69"/>
  <c r="D72" i="69" s="1"/>
  <c r="J71" i="69"/>
  <c r="D71" i="69" s="1"/>
  <c r="J70" i="69"/>
  <c r="D70" i="69" s="1"/>
  <c r="J69" i="69"/>
  <c r="D69" i="69" s="1"/>
  <c r="J68" i="69"/>
  <c r="D68" i="69" s="1"/>
  <c r="J67" i="69"/>
  <c r="D67" i="69" s="1"/>
  <c r="J66" i="69"/>
  <c r="J65" i="69"/>
  <c r="D65" i="69" s="1"/>
  <c r="J64" i="69"/>
  <c r="D64" i="69" s="1"/>
  <c r="J63" i="69"/>
  <c r="D63" i="69" s="1"/>
  <c r="J62" i="69"/>
  <c r="D62" i="69" s="1"/>
  <c r="J61" i="69"/>
  <c r="D61" i="69" s="1"/>
  <c r="J60" i="69"/>
  <c r="D60" i="69" s="1"/>
  <c r="J59" i="69"/>
  <c r="D59" i="69" s="1"/>
  <c r="J58" i="69"/>
  <c r="J57" i="69"/>
  <c r="D57" i="69" s="1"/>
  <c r="J56" i="69"/>
  <c r="D56" i="69" s="1"/>
  <c r="J55" i="69"/>
  <c r="D55" i="69" s="1"/>
  <c r="J54" i="69"/>
  <c r="D54" i="69" s="1"/>
  <c r="J53" i="69"/>
  <c r="D53" i="69" s="1"/>
  <c r="J52" i="69"/>
  <c r="D52" i="69" s="1"/>
  <c r="J51" i="69"/>
  <c r="D51" i="69" s="1"/>
  <c r="J50" i="69"/>
  <c r="J49" i="69"/>
  <c r="D49" i="69" s="1"/>
  <c r="J48" i="69"/>
  <c r="J47" i="69"/>
  <c r="D47" i="69" s="1"/>
  <c r="J46" i="69"/>
  <c r="J45" i="69"/>
  <c r="D45" i="69" s="1"/>
  <c r="J44" i="69"/>
  <c r="J43" i="69"/>
  <c r="D43" i="69" s="1"/>
  <c r="J42" i="69"/>
  <c r="J41" i="69"/>
  <c r="J40" i="69"/>
  <c r="J39" i="69"/>
  <c r="D39" i="69" s="1"/>
  <c r="J38" i="69"/>
  <c r="E38" i="69" s="1"/>
  <c r="J37" i="69"/>
  <c r="J36" i="69"/>
  <c r="J35" i="69"/>
  <c r="D35" i="69" s="1"/>
  <c r="J34" i="69"/>
  <c r="D34" i="69" s="1"/>
  <c r="J33" i="69"/>
  <c r="J32" i="69"/>
  <c r="J31" i="69"/>
  <c r="D31" i="69" s="1"/>
  <c r="J30" i="69"/>
  <c r="J29" i="69"/>
  <c r="J28" i="69"/>
  <c r="J27" i="69"/>
  <c r="D27" i="69" s="1"/>
  <c r="J26" i="69"/>
  <c r="J25" i="69"/>
  <c r="J24" i="69"/>
  <c r="J23" i="69"/>
  <c r="D23" i="69" s="1"/>
  <c r="J22" i="69"/>
  <c r="J21" i="69"/>
  <c r="J20" i="69"/>
  <c r="D20" i="69" s="1"/>
  <c r="J19" i="69"/>
  <c r="D19" i="69" s="1"/>
  <c r="J18" i="69"/>
  <c r="J17" i="69"/>
  <c r="D17" i="69" s="1"/>
  <c r="K14" i="69"/>
  <c r="B2" i="66"/>
  <c r="C2" i="66"/>
  <c r="D2" i="66"/>
  <c r="E2" i="66"/>
  <c r="G1" i="64"/>
  <c r="B26" i="66"/>
  <c r="F26" i="66" s="1"/>
  <c r="E25" i="66"/>
  <c r="D25" i="66"/>
  <c r="C25" i="66"/>
  <c r="B25" i="66"/>
  <c r="E24" i="66"/>
  <c r="D24" i="66"/>
  <c r="C24" i="66"/>
  <c r="B24" i="66"/>
  <c r="E23" i="66"/>
  <c r="D23" i="66"/>
  <c r="C23" i="66"/>
  <c r="B23" i="66"/>
  <c r="E22" i="66"/>
  <c r="D22" i="66"/>
  <c r="C22" i="66"/>
  <c r="B22" i="66"/>
  <c r="E21" i="66"/>
  <c r="D21" i="66"/>
  <c r="C21" i="66"/>
  <c r="B21" i="66"/>
  <c r="E20" i="66"/>
  <c r="D20" i="66"/>
  <c r="C20" i="66"/>
  <c r="B20" i="66"/>
  <c r="E19" i="66"/>
  <c r="D19" i="66"/>
  <c r="C19" i="66"/>
  <c r="B19" i="66"/>
  <c r="E18" i="66"/>
  <c r="D18" i="66"/>
  <c r="C18" i="66"/>
  <c r="B18" i="66"/>
  <c r="E17" i="66"/>
  <c r="D17" i="66"/>
  <c r="C17" i="66"/>
  <c r="B17" i="66"/>
  <c r="E16" i="66"/>
  <c r="D16" i="66"/>
  <c r="C16" i="66"/>
  <c r="B16" i="66"/>
  <c r="E15" i="66"/>
  <c r="D15" i="66"/>
  <c r="C15" i="66"/>
  <c r="B15" i="66"/>
  <c r="E14" i="66"/>
  <c r="D14" i="66"/>
  <c r="C14" i="66"/>
  <c r="B14" i="66"/>
  <c r="E13" i="66"/>
  <c r="D13" i="66"/>
  <c r="C13" i="66"/>
  <c r="B13" i="66"/>
  <c r="E12" i="66"/>
  <c r="D12" i="66"/>
  <c r="C12" i="66"/>
  <c r="B12" i="66"/>
  <c r="E11" i="66"/>
  <c r="D11" i="66"/>
  <c r="C11" i="66"/>
  <c r="B11" i="66"/>
  <c r="E10" i="66"/>
  <c r="D10" i="66"/>
  <c r="C10" i="66"/>
  <c r="B10" i="66"/>
  <c r="B9" i="66"/>
  <c r="F9" i="66" s="1"/>
  <c r="E8" i="66"/>
  <c r="D8" i="66"/>
  <c r="C8" i="66"/>
  <c r="B8" i="66"/>
  <c r="E7" i="66"/>
  <c r="D7" i="66"/>
  <c r="C7" i="66"/>
  <c r="B7" i="66"/>
  <c r="E6" i="66"/>
  <c r="D6" i="66"/>
  <c r="C6" i="66"/>
  <c r="B6" i="66"/>
  <c r="E5" i="66"/>
  <c r="D5" i="66"/>
  <c r="C5" i="66"/>
  <c r="B5" i="66"/>
  <c r="E4" i="66"/>
  <c r="D4" i="66"/>
  <c r="C4" i="66"/>
  <c r="B4" i="66"/>
  <c r="E3" i="66"/>
  <c r="D3" i="66"/>
  <c r="C3" i="66"/>
  <c r="B3" i="66"/>
  <c r="I48" i="64"/>
  <c r="I47" i="64"/>
  <c r="I46" i="64"/>
  <c r="I45" i="64"/>
  <c r="I44" i="64"/>
  <c r="I43" i="64"/>
  <c r="I42" i="64"/>
  <c r="I41" i="64"/>
  <c r="I40" i="64"/>
  <c r="I39" i="64"/>
  <c r="L38" i="64"/>
  <c r="K38" i="64"/>
  <c r="J38" i="64"/>
  <c r="I38" i="64"/>
  <c r="L37" i="64"/>
  <c r="K37" i="64"/>
  <c r="J37" i="64"/>
  <c r="I37" i="64"/>
  <c r="L36" i="64"/>
  <c r="K36" i="64"/>
  <c r="J36" i="64"/>
  <c r="I36" i="64"/>
  <c r="L35" i="64"/>
  <c r="K35" i="64"/>
  <c r="J35" i="64"/>
  <c r="I35" i="64"/>
  <c r="L34" i="64"/>
  <c r="K34" i="64"/>
  <c r="J34" i="64"/>
  <c r="I34" i="64"/>
  <c r="L33" i="64"/>
  <c r="K33" i="64"/>
  <c r="J33" i="64"/>
  <c r="I33" i="64"/>
  <c r="L32" i="64"/>
  <c r="K32" i="64"/>
  <c r="J32" i="64"/>
  <c r="I32" i="64"/>
  <c r="B32" i="64"/>
  <c r="L31" i="64"/>
  <c r="K31" i="64"/>
  <c r="J31" i="64"/>
  <c r="I31" i="64"/>
  <c r="B31" i="64"/>
  <c r="L30" i="64"/>
  <c r="K30" i="64"/>
  <c r="J30" i="64"/>
  <c r="I30" i="64"/>
  <c r="E30" i="64"/>
  <c r="D30" i="64"/>
  <c r="C30" i="64"/>
  <c r="B30" i="64"/>
  <c r="L29" i="64"/>
  <c r="K29" i="64"/>
  <c r="J29" i="64"/>
  <c r="I29" i="64"/>
  <c r="E29" i="64"/>
  <c r="D29" i="64"/>
  <c r="C29" i="64"/>
  <c r="B29" i="64"/>
  <c r="L28" i="64"/>
  <c r="K28" i="64"/>
  <c r="J28" i="64"/>
  <c r="I28" i="64"/>
  <c r="E28" i="64"/>
  <c r="D28" i="64"/>
  <c r="C28" i="64"/>
  <c r="B28" i="64"/>
  <c r="L27" i="64"/>
  <c r="K27" i="64"/>
  <c r="J27" i="64"/>
  <c r="I27" i="64"/>
  <c r="E27" i="64"/>
  <c r="D27" i="64"/>
  <c r="C27" i="64"/>
  <c r="B27" i="64"/>
  <c r="L26" i="64"/>
  <c r="K26" i="64"/>
  <c r="J26" i="64"/>
  <c r="I26" i="64"/>
  <c r="E26" i="64"/>
  <c r="D26" i="64"/>
  <c r="C26" i="64"/>
  <c r="B26" i="64"/>
  <c r="L25" i="64"/>
  <c r="K25" i="64"/>
  <c r="J25" i="64"/>
  <c r="I25" i="64"/>
  <c r="E25" i="64"/>
  <c r="D25" i="64"/>
  <c r="C25" i="64"/>
  <c r="B25" i="64"/>
  <c r="L24" i="64"/>
  <c r="K24" i="64"/>
  <c r="J24" i="64"/>
  <c r="I24" i="64"/>
  <c r="E24" i="64"/>
  <c r="D24" i="64"/>
  <c r="C24" i="64"/>
  <c r="B24" i="64"/>
  <c r="L23" i="64"/>
  <c r="K23" i="64"/>
  <c r="J23" i="64"/>
  <c r="I23" i="64"/>
  <c r="E23" i="64"/>
  <c r="D23" i="64"/>
  <c r="C23" i="64"/>
  <c r="B23" i="64"/>
  <c r="L22" i="64"/>
  <c r="K22" i="64"/>
  <c r="J22" i="64"/>
  <c r="I22" i="64"/>
  <c r="E22" i="64"/>
  <c r="D22" i="64"/>
  <c r="C22" i="64"/>
  <c r="B22" i="64"/>
  <c r="L21" i="64"/>
  <c r="K21" i="64"/>
  <c r="J21" i="64"/>
  <c r="I21" i="64"/>
  <c r="E21" i="64"/>
  <c r="D21" i="64"/>
  <c r="C21" i="64"/>
  <c r="B21" i="64"/>
  <c r="L20" i="64"/>
  <c r="K20" i="64"/>
  <c r="J20" i="64"/>
  <c r="I20" i="64"/>
  <c r="E20" i="64"/>
  <c r="D20" i="64"/>
  <c r="C20" i="64"/>
  <c r="B20" i="64"/>
  <c r="L19" i="64"/>
  <c r="K19" i="64"/>
  <c r="J19" i="64"/>
  <c r="I19" i="64"/>
  <c r="E19" i="64"/>
  <c r="D19" i="64"/>
  <c r="C19" i="64"/>
  <c r="B19" i="64"/>
  <c r="L18" i="64"/>
  <c r="K18" i="64"/>
  <c r="J18" i="64"/>
  <c r="I18" i="64"/>
  <c r="E18" i="64"/>
  <c r="D18" i="64"/>
  <c r="C18" i="64"/>
  <c r="B18" i="64"/>
  <c r="L17" i="64"/>
  <c r="K17" i="64"/>
  <c r="J17" i="64"/>
  <c r="I17" i="64"/>
  <c r="E17" i="64"/>
  <c r="D17" i="64"/>
  <c r="C17" i="64"/>
  <c r="B17" i="64"/>
  <c r="L16" i="64"/>
  <c r="K16" i="64"/>
  <c r="J16" i="64"/>
  <c r="I16" i="64"/>
  <c r="E16" i="64"/>
  <c r="D16" i="64"/>
  <c r="C16" i="64"/>
  <c r="B16" i="64"/>
  <c r="L15" i="64"/>
  <c r="K15" i="64"/>
  <c r="J15" i="64"/>
  <c r="I15" i="64"/>
  <c r="E15" i="64"/>
  <c r="D15" i="64"/>
  <c r="C15" i="64"/>
  <c r="B15" i="64"/>
  <c r="L14" i="64"/>
  <c r="K14" i="64"/>
  <c r="J14" i="64"/>
  <c r="I14" i="64"/>
  <c r="E14" i="64"/>
  <c r="D14" i="64"/>
  <c r="C14" i="64"/>
  <c r="B14" i="64"/>
  <c r="L13" i="64"/>
  <c r="K13" i="64"/>
  <c r="J13" i="64"/>
  <c r="I13" i="64"/>
  <c r="B13" i="64"/>
  <c r="L12" i="64"/>
  <c r="K12" i="64"/>
  <c r="J12" i="64"/>
  <c r="I12" i="64"/>
  <c r="E12" i="64"/>
  <c r="D12" i="64"/>
  <c r="C12" i="64"/>
  <c r="B12" i="64"/>
  <c r="L11" i="64"/>
  <c r="K11" i="64"/>
  <c r="J11" i="64"/>
  <c r="I11" i="64"/>
  <c r="E11" i="64"/>
  <c r="D11" i="64"/>
  <c r="C11" i="64"/>
  <c r="B11" i="64"/>
  <c r="L10" i="64"/>
  <c r="K10" i="64"/>
  <c r="J10" i="64"/>
  <c r="I10" i="64"/>
  <c r="E10" i="64"/>
  <c r="D10" i="64"/>
  <c r="C10" i="64"/>
  <c r="B10" i="64"/>
  <c r="L9" i="64"/>
  <c r="K9" i="64"/>
  <c r="J9" i="64"/>
  <c r="I9" i="64"/>
  <c r="E9" i="64"/>
  <c r="D9" i="64"/>
  <c r="C9" i="64"/>
  <c r="B9" i="64"/>
  <c r="L8" i="64"/>
  <c r="K8" i="64"/>
  <c r="J8" i="64"/>
  <c r="I8" i="64"/>
  <c r="E8" i="64"/>
  <c r="D8" i="64"/>
  <c r="C8" i="64"/>
  <c r="B8" i="64"/>
  <c r="L7" i="64"/>
  <c r="K7" i="64"/>
  <c r="J7" i="64"/>
  <c r="I7" i="64"/>
  <c r="E7" i="64"/>
  <c r="D7" i="64"/>
  <c r="C7" i="64"/>
  <c r="B7" i="64"/>
  <c r="L6" i="64"/>
  <c r="K6" i="64"/>
  <c r="J6" i="64"/>
  <c r="I6" i="64"/>
  <c r="E6" i="64"/>
  <c r="D6" i="64"/>
  <c r="C6" i="64"/>
  <c r="B6" i="64"/>
  <c r="L5" i="64"/>
  <c r="K5" i="64"/>
  <c r="J5" i="64"/>
  <c r="I5" i="64"/>
  <c r="E5" i="64"/>
  <c r="D5" i="64"/>
  <c r="C5" i="64"/>
  <c r="B5" i="64"/>
  <c r="L4" i="64"/>
  <c r="K4" i="64"/>
  <c r="J4" i="64"/>
  <c r="I4" i="64"/>
  <c r="E4" i="64"/>
  <c r="D4" i="64"/>
  <c r="C4" i="64"/>
  <c r="B4" i="64"/>
  <c r="L3" i="64"/>
  <c r="K3" i="64"/>
  <c r="J3" i="64"/>
  <c r="I3" i="64"/>
  <c r="E3" i="64"/>
  <c r="D3" i="64"/>
  <c r="C3" i="64"/>
  <c r="B3" i="64"/>
  <c r="L2" i="64"/>
  <c r="K2" i="64"/>
  <c r="J2" i="64"/>
  <c r="I2" i="64"/>
  <c r="E2" i="64"/>
  <c r="D2" i="64"/>
  <c r="C2" i="64"/>
  <c r="B2" i="64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C4048" i="1"/>
  <c r="G4048" i="1" s="1"/>
  <c r="C4047" i="1"/>
  <c r="C4046" i="1"/>
  <c r="C4045" i="1"/>
  <c r="G4045" i="1" s="1"/>
  <c r="C4044" i="1"/>
  <c r="G4044" i="1" s="1"/>
  <c r="C4043" i="1"/>
  <c r="C4042" i="1"/>
  <c r="C4041" i="1"/>
  <c r="G4041" i="1" s="1"/>
  <c r="C4040" i="1"/>
  <c r="G4040" i="1" s="1"/>
  <c r="C4039" i="1"/>
  <c r="F4038" i="1"/>
  <c r="E4038" i="1"/>
  <c r="D4038" i="1"/>
  <c r="C4038" i="1"/>
  <c r="F4037" i="1"/>
  <c r="E4037" i="1"/>
  <c r="D4037" i="1"/>
  <c r="C4037" i="1"/>
  <c r="F4036" i="1"/>
  <c r="E4036" i="1"/>
  <c r="D4036" i="1"/>
  <c r="C4036" i="1"/>
  <c r="F4035" i="1"/>
  <c r="E4035" i="1"/>
  <c r="D4035" i="1"/>
  <c r="C4035" i="1"/>
  <c r="F4034" i="1"/>
  <c r="E4034" i="1"/>
  <c r="D4034" i="1"/>
  <c r="C4034" i="1"/>
  <c r="F4033" i="1"/>
  <c r="E4033" i="1"/>
  <c r="D4033" i="1"/>
  <c r="C4033" i="1"/>
  <c r="F4032" i="1"/>
  <c r="E4032" i="1"/>
  <c r="D4032" i="1"/>
  <c r="C4032" i="1"/>
  <c r="F4031" i="1"/>
  <c r="E4031" i="1"/>
  <c r="D4031" i="1"/>
  <c r="C4031" i="1"/>
  <c r="F4030" i="1"/>
  <c r="E4030" i="1"/>
  <c r="D4030" i="1"/>
  <c r="C4030" i="1"/>
  <c r="F4029" i="1"/>
  <c r="E4029" i="1"/>
  <c r="D4029" i="1"/>
  <c r="C4029" i="1"/>
  <c r="F4028" i="1"/>
  <c r="E4028" i="1"/>
  <c r="D4028" i="1"/>
  <c r="C4028" i="1"/>
  <c r="F4027" i="1"/>
  <c r="E4027" i="1"/>
  <c r="D4027" i="1"/>
  <c r="C4027" i="1"/>
  <c r="F4026" i="1"/>
  <c r="E4026" i="1"/>
  <c r="D4026" i="1"/>
  <c r="C4026" i="1"/>
  <c r="F4025" i="1"/>
  <c r="E4025" i="1"/>
  <c r="D4025" i="1"/>
  <c r="C4025" i="1"/>
  <c r="F4024" i="1"/>
  <c r="E4024" i="1"/>
  <c r="D4024" i="1"/>
  <c r="C4024" i="1"/>
  <c r="F4023" i="1"/>
  <c r="E4023" i="1"/>
  <c r="D4023" i="1"/>
  <c r="C4023" i="1"/>
  <c r="F4022" i="1"/>
  <c r="E4022" i="1"/>
  <c r="D4022" i="1"/>
  <c r="C4022" i="1"/>
  <c r="F4021" i="1"/>
  <c r="E4021" i="1"/>
  <c r="D4021" i="1"/>
  <c r="C4021" i="1"/>
  <c r="F4020" i="1"/>
  <c r="E4020" i="1"/>
  <c r="D4020" i="1"/>
  <c r="C4020" i="1"/>
  <c r="F4019" i="1"/>
  <c r="E4019" i="1"/>
  <c r="D4019" i="1"/>
  <c r="C4019" i="1"/>
  <c r="F4018" i="1"/>
  <c r="E4018" i="1"/>
  <c r="D4018" i="1"/>
  <c r="C4018" i="1"/>
  <c r="F4017" i="1"/>
  <c r="E4017" i="1"/>
  <c r="D4017" i="1"/>
  <c r="C4017" i="1"/>
  <c r="F4016" i="1"/>
  <c r="E4016" i="1"/>
  <c r="D4016" i="1"/>
  <c r="C4016" i="1"/>
  <c r="F4015" i="1"/>
  <c r="E4015" i="1"/>
  <c r="D4015" i="1"/>
  <c r="C4015" i="1"/>
  <c r="F4014" i="1"/>
  <c r="E4014" i="1"/>
  <c r="D4014" i="1"/>
  <c r="C4014" i="1"/>
  <c r="F4013" i="1"/>
  <c r="E4013" i="1"/>
  <c r="D4013" i="1"/>
  <c r="C4013" i="1"/>
  <c r="F4012" i="1"/>
  <c r="E4012" i="1"/>
  <c r="D4012" i="1"/>
  <c r="C4012" i="1"/>
  <c r="F4011" i="1"/>
  <c r="E4011" i="1"/>
  <c r="D4011" i="1"/>
  <c r="C4011" i="1"/>
  <c r="F4010" i="1"/>
  <c r="E4010" i="1"/>
  <c r="D4010" i="1"/>
  <c r="C4010" i="1"/>
  <c r="F4009" i="1"/>
  <c r="E4009" i="1"/>
  <c r="D4009" i="1"/>
  <c r="C4009" i="1"/>
  <c r="F4008" i="1"/>
  <c r="E4008" i="1"/>
  <c r="D4008" i="1"/>
  <c r="C4008" i="1"/>
  <c r="F4007" i="1"/>
  <c r="E4007" i="1"/>
  <c r="D4007" i="1"/>
  <c r="C4007" i="1"/>
  <c r="F4006" i="1"/>
  <c r="E4006" i="1"/>
  <c r="D4006" i="1"/>
  <c r="C4006" i="1"/>
  <c r="F4005" i="1"/>
  <c r="E4005" i="1"/>
  <c r="D4005" i="1"/>
  <c r="C4005" i="1"/>
  <c r="F4004" i="1"/>
  <c r="E4004" i="1"/>
  <c r="D4004" i="1"/>
  <c r="C4004" i="1"/>
  <c r="F4003" i="1"/>
  <c r="E4003" i="1"/>
  <c r="D4003" i="1"/>
  <c r="C4003" i="1"/>
  <c r="F4002" i="1"/>
  <c r="E4002" i="1"/>
  <c r="D4002" i="1"/>
  <c r="C4002" i="1"/>
  <c r="C4001" i="1"/>
  <c r="C4000" i="1"/>
  <c r="G4000" i="1" s="1"/>
  <c r="F3999" i="1"/>
  <c r="E3999" i="1"/>
  <c r="D3999" i="1"/>
  <c r="C3999" i="1"/>
  <c r="F3998" i="1"/>
  <c r="E3998" i="1"/>
  <c r="D3998" i="1"/>
  <c r="C3998" i="1"/>
  <c r="F3997" i="1"/>
  <c r="E3997" i="1"/>
  <c r="D3997" i="1"/>
  <c r="C3997" i="1"/>
  <c r="F3996" i="1"/>
  <c r="E3996" i="1"/>
  <c r="D3996" i="1"/>
  <c r="C3996" i="1"/>
  <c r="F3995" i="1"/>
  <c r="E3995" i="1"/>
  <c r="D3995" i="1"/>
  <c r="C3995" i="1"/>
  <c r="F3994" i="1"/>
  <c r="E3994" i="1"/>
  <c r="D3994" i="1"/>
  <c r="C3994" i="1"/>
  <c r="F3993" i="1"/>
  <c r="E3993" i="1"/>
  <c r="D3993" i="1"/>
  <c r="C3993" i="1"/>
  <c r="F3992" i="1"/>
  <c r="E3992" i="1"/>
  <c r="D3992" i="1"/>
  <c r="C3992" i="1"/>
  <c r="F3991" i="1"/>
  <c r="E3991" i="1"/>
  <c r="D3991" i="1"/>
  <c r="C3991" i="1"/>
  <c r="F3990" i="1"/>
  <c r="E3990" i="1"/>
  <c r="D3990" i="1"/>
  <c r="C3990" i="1"/>
  <c r="F3989" i="1"/>
  <c r="E3989" i="1"/>
  <c r="D3989" i="1"/>
  <c r="C3989" i="1"/>
  <c r="F3988" i="1"/>
  <c r="E3988" i="1"/>
  <c r="D3988" i="1"/>
  <c r="C3988" i="1"/>
  <c r="F3987" i="1"/>
  <c r="E3987" i="1"/>
  <c r="D3987" i="1"/>
  <c r="C3987" i="1"/>
  <c r="F3986" i="1"/>
  <c r="E3986" i="1"/>
  <c r="D3986" i="1"/>
  <c r="C3986" i="1"/>
  <c r="F3985" i="1"/>
  <c r="E3985" i="1"/>
  <c r="D3985" i="1"/>
  <c r="C3985" i="1"/>
  <c r="F3984" i="1"/>
  <c r="E3984" i="1"/>
  <c r="D3984" i="1"/>
  <c r="C3984" i="1"/>
  <c r="F3983" i="1"/>
  <c r="E3983" i="1"/>
  <c r="D3983" i="1"/>
  <c r="C3983" i="1"/>
  <c r="C3982" i="1"/>
  <c r="G3982" i="1" s="1"/>
  <c r="F3981" i="1"/>
  <c r="E3981" i="1"/>
  <c r="D3981" i="1"/>
  <c r="C3981" i="1"/>
  <c r="F3980" i="1"/>
  <c r="E3980" i="1"/>
  <c r="D3980" i="1"/>
  <c r="C3980" i="1"/>
  <c r="F3979" i="1"/>
  <c r="E3979" i="1"/>
  <c r="D3979" i="1"/>
  <c r="C3979" i="1"/>
  <c r="F3978" i="1"/>
  <c r="E3978" i="1"/>
  <c r="D3978" i="1"/>
  <c r="C3978" i="1"/>
  <c r="F3977" i="1"/>
  <c r="E3977" i="1"/>
  <c r="D3977" i="1"/>
  <c r="C3977" i="1"/>
  <c r="F3976" i="1"/>
  <c r="E3976" i="1"/>
  <c r="D3976" i="1"/>
  <c r="C3976" i="1"/>
  <c r="E3975" i="1"/>
  <c r="D3975" i="1"/>
  <c r="C3975" i="1"/>
  <c r="G3975" i="1" s="1"/>
  <c r="F3974" i="1"/>
  <c r="E3974" i="1"/>
  <c r="D3974" i="1"/>
  <c r="C3974" i="1"/>
  <c r="F3973" i="1"/>
  <c r="E3973" i="1"/>
  <c r="D3973" i="1"/>
  <c r="C3973" i="1"/>
  <c r="F3972" i="1"/>
  <c r="E3972" i="1"/>
  <c r="D3972" i="1"/>
  <c r="C3972" i="1"/>
  <c r="F3971" i="1"/>
  <c r="E3971" i="1"/>
  <c r="D3971" i="1"/>
  <c r="C3971" i="1"/>
  <c r="C3967" i="1"/>
  <c r="G3967" i="1" s="1"/>
  <c r="C3966" i="1"/>
  <c r="C3965" i="1"/>
  <c r="C3964" i="1"/>
  <c r="G3964" i="1" s="1"/>
  <c r="C3963" i="1"/>
  <c r="G3963" i="1" s="1"/>
  <c r="C3962" i="1"/>
  <c r="C3961" i="1"/>
  <c r="C3960" i="1"/>
  <c r="G3960" i="1" s="1"/>
  <c r="C3959" i="1"/>
  <c r="G3959" i="1" s="1"/>
  <c r="C3958" i="1"/>
  <c r="G3958" i="1" s="1"/>
  <c r="F3957" i="1"/>
  <c r="E3957" i="1"/>
  <c r="D3957" i="1"/>
  <c r="C3957" i="1"/>
  <c r="F3956" i="1"/>
  <c r="E3956" i="1"/>
  <c r="D3956" i="1"/>
  <c r="C3956" i="1"/>
  <c r="F3955" i="1"/>
  <c r="E3955" i="1"/>
  <c r="D3955" i="1"/>
  <c r="C3955" i="1"/>
  <c r="F3954" i="1"/>
  <c r="E3954" i="1"/>
  <c r="D3954" i="1"/>
  <c r="C3954" i="1"/>
  <c r="F3953" i="1"/>
  <c r="E3953" i="1"/>
  <c r="D3953" i="1"/>
  <c r="C3953" i="1"/>
  <c r="F3952" i="1"/>
  <c r="E3952" i="1"/>
  <c r="D3952" i="1"/>
  <c r="C3952" i="1"/>
  <c r="F3951" i="1"/>
  <c r="E3951" i="1"/>
  <c r="D3951" i="1"/>
  <c r="C3951" i="1"/>
  <c r="F3950" i="1"/>
  <c r="E3950" i="1"/>
  <c r="D3950" i="1"/>
  <c r="C3950" i="1"/>
  <c r="F3949" i="1"/>
  <c r="E3949" i="1"/>
  <c r="D3949" i="1"/>
  <c r="C3949" i="1"/>
  <c r="F3948" i="1"/>
  <c r="E3948" i="1"/>
  <c r="D3948" i="1"/>
  <c r="C3948" i="1"/>
  <c r="F3947" i="1"/>
  <c r="E3947" i="1"/>
  <c r="D3947" i="1"/>
  <c r="C3947" i="1"/>
  <c r="F3946" i="1"/>
  <c r="E3946" i="1"/>
  <c r="D3946" i="1"/>
  <c r="C3946" i="1"/>
  <c r="F3945" i="1"/>
  <c r="E3945" i="1"/>
  <c r="D3945" i="1"/>
  <c r="C3945" i="1"/>
  <c r="F3944" i="1"/>
  <c r="E3944" i="1"/>
  <c r="D3944" i="1"/>
  <c r="C3944" i="1"/>
  <c r="F3943" i="1"/>
  <c r="E3943" i="1"/>
  <c r="D3943" i="1"/>
  <c r="C3943" i="1"/>
  <c r="F3942" i="1"/>
  <c r="E3942" i="1"/>
  <c r="D3942" i="1"/>
  <c r="C3942" i="1"/>
  <c r="F3941" i="1"/>
  <c r="E3941" i="1"/>
  <c r="D3941" i="1"/>
  <c r="C3941" i="1"/>
  <c r="F3940" i="1"/>
  <c r="E3940" i="1"/>
  <c r="D3940" i="1"/>
  <c r="C3940" i="1"/>
  <c r="F3939" i="1"/>
  <c r="E3939" i="1"/>
  <c r="D3939" i="1"/>
  <c r="C3939" i="1"/>
  <c r="F3938" i="1"/>
  <c r="E3938" i="1"/>
  <c r="D3938" i="1"/>
  <c r="C3938" i="1"/>
  <c r="F3937" i="1"/>
  <c r="E3937" i="1"/>
  <c r="D3937" i="1"/>
  <c r="C3937" i="1"/>
  <c r="F3936" i="1"/>
  <c r="E3936" i="1"/>
  <c r="D3936" i="1"/>
  <c r="C3936" i="1"/>
  <c r="F3935" i="1"/>
  <c r="E3935" i="1"/>
  <c r="D3935" i="1"/>
  <c r="C3935" i="1"/>
  <c r="F3934" i="1"/>
  <c r="E3934" i="1"/>
  <c r="D3934" i="1"/>
  <c r="C3934" i="1"/>
  <c r="F3933" i="1"/>
  <c r="E3933" i="1"/>
  <c r="D3933" i="1"/>
  <c r="C3933" i="1"/>
  <c r="F3932" i="1"/>
  <c r="E3932" i="1"/>
  <c r="D3932" i="1"/>
  <c r="C3932" i="1"/>
  <c r="F3931" i="1"/>
  <c r="E3931" i="1"/>
  <c r="D3931" i="1"/>
  <c r="C3931" i="1"/>
  <c r="F3930" i="1"/>
  <c r="E3930" i="1"/>
  <c r="D3930" i="1"/>
  <c r="C3930" i="1"/>
  <c r="F3929" i="1"/>
  <c r="E3929" i="1"/>
  <c r="D3929" i="1"/>
  <c r="C3929" i="1"/>
  <c r="F3928" i="1"/>
  <c r="E3928" i="1"/>
  <c r="D3928" i="1"/>
  <c r="C3928" i="1"/>
  <c r="F3927" i="1"/>
  <c r="E3927" i="1"/>
  <c r="D3927" i="1"/>
  <c r="C3927" i="1"/>
  <c r="F3926" i="1"/>
  <c r="E3926" i="1"/>
  <c r="D3926" i="1"/>
  <c r="C3926" i="1"/>
  <c r="F3925" i="1"/>
  <c r="E3925" i="1"/>
  <c r="D3925" i="1"/>
  <c r="C3925" i="1"/>
  <c r="F3924" i="1"/>
  <c r="E3924" i="1"/>
  <c r="D3924" i="1"/>
  <c r="C3924" i="1"/>
  <c r="F3923" i="1"/>
  <c r="E3923" i="1"/>
  <c r="D3923" i="1"/>
  <c r="C3923" i="1"/>
  <c r="F3922" i="1"/>
  <c r="E3922" i="1"/>
  <c r="D3922" i="1"/>
  <c r="C3922" i="1"/>
  <c r="F3921" i="1"/>
  <c r="E3921" i="1"/>
  <c r="D3921" i="1"/>
  <c r="C3921" i="1"/>
  <c r="C3920" i="1"/>
  <c r="G3920" i="1" s="1"/>
  <c r="C3919" i="1"/>
  <c r="G3919" i="1" s="1"/>
  <c r="F3918" i="1"/>
  <c r="E3918" i="1"/>
  <c r="D3918" i="1"/>
  <c r="C3918" i="1"/>
  <c r="F3917" i="1"/>
  <c r="E3917" i="1"/>
  <c r="D3917" i="1"/>
  <c r="C3917" i="1"/>
  <c r="F3916" i="1"/>
  <c r="E3916" i="1"/>
  <c r="D3916" i="1"/>
  <c r="C3916" i="1"/>
  <c r="F3915" i="1"/>
  <c r="E3915" i="1"/>
  <c r="D3915" i="1"/>
  <c r="C3915" i="1"/>
  <c r="F3914" i="1"/>
  <c r="E3914" i="1"/>
  <c r="D3914" i="1"/>
  <c r="C3914" i="1"/>
  <c r="F3913" i="1"/>
  <c r="E3913" i="1"/>
  <c r="D3913" i="1"/>
  <c r="C3913" i="1"/>
  <c r="F3912" i="1"/>
  <c r="E3912" i="1"/>
  <c r="D3912" i="1"/>
  <c r="C3912" i="1"/>
  <c r="F3911" i="1"/>
  <c r="E3911" i="1"/>
  <c r="D3911" i="1"/>
  <c r="C3911" i="1"/>
  <c r="F3910" i="1"/>
  <c r="E3910" i="1"/>
  <c r="D3910" i="1"/>
  <c r="C3910" i="1"/>
  <c r="F3909" i="1"/>
  <c r="E3909" i="1"/>
  <c r="D3909" i="1"/>
  <c r="C3909" i="1"/>
  <c r="F3908" i="1"/>
  <c r="E3908" i="1"/>
  <c r="D3908" i="1"/>
  <c r="C3908" i="1"/>
  <c r="F3907" i="1"/>
  <c r="E3907" i="1"/>
  <c r="D3907" i="1"/>
  <c r="C3907" i="1"/>
  <c r="F3906" i="1"/>
  <c r="E3906" i="1"/>
  <c r="D3906" i="1"/>
  <c r="C3906" i="1"/>
  <c r="F3905" i="1"/>
  <c r="E3905" i="1"/>
  <c r="D3905" i="1"/>
  <c r="C3905" i="1"/>
  <c r="F3904" i="1"/>
  <c r="E3904" i="1"/>
  <c r="D3904" i="1"/>
  <c r="C3904" i="1"/>
  <c r="F3903" i="1"/>
  <c r="E3903" i="1"/>
  <c r="D3903" i="1"/>
  <c r="C3903" i="1"/>
  <c r="F3902" i="1"/>
  <c r="E3902" i="1"/>
  <c r="D3902" i="1"/>
  <c r="C3902" i="1"/>
  <c r="C3901" i="1"/>
  <c r="G3901" i="1" s="1"/>
  <c r="F3900" i="1"/>
  <c r="E3900" i="1"/>
  <c r="D3900" i="1"/>
  <c r="C3900" i="1"/>
  <c r="F3899" i="1"/>
  <c r="E3899" i="1"/>
  <c r="D3899" i="1"/>
  <c r="C3899" i="1"/>
  <c r="F3898" i="1"/>
  <c r="E3898" i="1"/>
  <c r="D3898" i="1"/>
  <c r="C3898" i="1"/>
  <c r="F3897" i="1"/>
  <c r="E3897" i="1"/>
  <c r="D3897" i="1"/>
  <c r="C3897" i="1"/>
  <c r="F3896" i="1"/>
  <c r="E3896" i="1"/>
  <c r="D3896" i="1"/>
  <c r="C3896" i="1"/>
  <c r="F3895" i="1"/>
  <c r="E3895" i="1"/>
  <c r="D3895" i="1"/>
  <c r="C3895" i="1"/>
  <c r="E3894" i="1"/>
  <c r="D3894" i="1"/>
  <c r="C3894" i="1"/>
  <c r="F3893" i="1"/>
  <c r="E3893" i="1"/>
  <c r="D3893" i="1"/>
  <c r="C3893" i="1"/>
  <c r="F3892" i="1"/>
  <c r="E3892" i="1"/>
  <c r="D3892" i="1"/>
  <c r="C3892" i="1"/>
  <c r="F3891" i="1"/>
  <c r="E3891" i="1"/>
  <c r="D3891" i="1"/>
  <c r="C3891" i="1"/>
  <c r="F3890" i="1"/>
  <c r="E3890" i="1"/>
  <c r="D3890" i="1"/>
  <c r="C3890" i="1"/>
  <c r="C3886" i="1"/>
  <c r="G3886" i="1" s="1"/>
  <c r="C3885" i="1"/>
  <c r="G3885" i="1" s="1"/>
  <c r="C3884" i="1"/>
  <c r="C3883" i="1"/>
  <c r="G3883" i="1" s="1"/>
  <c r="C3882" i="1"/>
  <c r="G3882" i="1" s="1"/>
  <c r="C3881" i="1"/>
  <c r="C3880" i="1"/>
  <c r="G3880" i="1" s="1"/>
  <c r="C3879" i="1"/>
  <c r="G3879" i="1" s="1"/>
  <c r="C3878" i="1"/>
  <c r="G3878" i="1" s="1"/>
  <c r="C3877" i="1"/>
  <c r="F3876" i="1"/>
  <c r="E3876" i="1"/>
  <c r="D3876" i="1"/>
  <c r="C3876" i="1"/>
  <c r="F3875" i="1"/>
  <c r="E3875" i="1"/>
  <c r="D3875" i="1"/>
  <c r="C3875" i="1"/>
  <c r="F3874" i="1"/>
  <c r="E3874" i="1"/>
  <c r="D3874" i="1"/>
  <c r="C3874" i="1"/>
  <c r="F3873" i="1"/>
  <c r="E3873" i="1"/>
  <c r="D3873" i="1"/>
  <c r="C3873" i="1"/>
  <c r="F3872" i="1"/>
  <c r="E3872" i="1"/>
  <c r="D3872" i="1"/>
  <c r="C3872" i="1"/>
  <c r="F3871" i="1"/>
  <c r="E3871" i="1"/>
  <c r="D3871" i="1"/>
  <c r="C3871" i="1"/>
  <c r="F3870" i="1"/>
  <c r="E3870" i="1"/>
  <c r="D3870" i="1"/>
  <c r="C3870" i="1"/>
  <c r="F3869" i="1"/>
  <c r="E3869" i="1"/>
  <c r="D3869" i="1"/>
  <c r="C3869" i="1"/>
  <c r="F3868" i="1"/>
  <c r="E3868" i="1"/>
  <c r="D3868" i="1"/>
  <c r="C3868" i="1"/>
  <c r="F3867" i="1"/>
  <c r="E3867" i="1"/>
  <c r="D3867" i="1"/>
  <c r="C3867" i="1"/>
  <c r="F3866" i="1"/>
  <c r="E3866" i="1"/>
  <c r="D3866" i="1"/>
  <c r="C3866" i="1"/>
  <c r="F3865" i="1"/>
  <c r="E3865" i="1"/>
  <c r="D3865" i="1"/>
  <c r="C3865" i="1"/>
  <c r="F3864" i="1"/>
  <c r="E3864" i="1"/>
  <c r="D3864" i="1"/>
  <c r="C3864" i="1"/>
  <c r="F3863" i="1"/>
  <c r="E3863" i="1"/>
  <c r="D3863" i="1"/>
  <c r="C3863" i="1"/>
  <c r="F3862" i="1"/>
  <c r="E3862" i="1"/>
  <c r="D3862" i="1"/>
  <c r="C3862" i="1"/>
  <c r="F3861" i="1"/>
  <c r="E3861" i="1"/>
  <c r="D3861" i="1"/>
  <c r="C3861" i="1"/>
  <c r="F3860" i="1"/>
  <c r="E3860" i="1"/>
  <c r="D3860" i="1"/>
  <c r="C3860" i="1"/>
  <c r="F3859" i="1"/>
  <c r="E3859" i="1"/>
  <c r="D3859" i="1"/>
  <c r="C3859" i="1"/>
  <c r="F3858" i="1"/>
  <c r="E3858" i="1"/>
  <c r="D3858" i="1"/>
  <c r="C3858" i="1"/>
  <c r="F3857" i="1"/>
  <c r="E3857" i="1"/>
  <c r="D3857" i="1"/>
  <c r="C3857" i="1"/>
  <c r="F3856" i="1"/>
  <c r="E3856" i="1"/>
  <c r="D3856" i="1"/>
  <c r="C3856" i="1"/>
  <c r="F3855" i="1"/>
  <c r="E3855" i="1"/>
  <c r="D3855" i="1"/>
  <c r="C3855" i="1"/>
  <c r="F3854" i="1"/>
  <c r="E3854" i="1"/>
  <c r="D3854" i="1"/>
  <c r="C3854" i="1"/>
  <c r="F3853" i="1"/>
  <c r="E3853" i="1"/>
  <c r="D3853" i="1"/>
  <c r="C3853" i="1"/>
  <c r="F3852" i="1"/>
  <c r="E3852" i="1"/>
  <c r="D3852" i="1"/>
  <c r="C3852" i="1"/>
  <c r="F3851" i="1"/>
  <c r="E3851" i="1"/>
  <c r="D3851" i="1"/>
  <c r="C3851" i="1"/>
  <c r="F3850" i="1"/>
  <c r="E3850" i="1"/>
  <c r="D3850" i="1"/>
  <c r="C3850" i="1"/>
  <c r="F3849" i="1"/>
  <c r="E3849" i="1"/>
  <c r="D3849" i="1"/>
  <c r="C3849" i="1"/>
  <c r="F3848" i="1"/>
  <c r="E3848" i="1"/>
  <c r="D3848" i="1"/>
  <c r="C3848" i="1"/>
  <c r="F3847" i="1"/>
  <c r="E3847" i="1"/>
  <c r="D3847" i="1"/>
  <c r="C3847" i="1"/>
  <c r="F3846" i="1"/>
  <c r="E3846" i="1"/>
  <c r="D3846" i="1"/>
  <c r="C3846" i="1"/>
  <c r="F3845" i="1"/>
  <c r="E3845" i="1"/>
  <c r="D3845" i="1"/>
  <c r="C3845" i="1"/>
  <c r="F3844" i="1"/>
  <c r="E3844" i="1"/>
  <c r="D3844" i="1"/>
  <c r="C3844" i="1"/>
  <c r="F3843" i="1"/>
  <c r="E3843" i="1"/>
  <c r="D3843" i="1"/>
  <c r="C3843" i="1"/>
  <c r="F3842" i="1"/>
  <c r="E3842" i="1"/>
  <c r="D3842" i="1"/>
  <c r="C3842" i="1"/>
  <c r="F3841" i="1"/>
  <c r="E3841" i="1"/>
  <c r="D3841" i="1"/>
  <c r="C3841" i="1"/>
  <c r="F3840" i="1"/>
  <c r="E3840" i="1"/>
  <c r="D3840" i="1"/>
  <c r="C3840" i="1"/>
  <c r="C3839" i="1"/>
  <c r="C3838" i="1"/>
  <c r="F3837" i="1"/>
  <c r="E3837" i="1"/>
  <c r="D3837" i="1"/>
  <c r="C3837" i="1"/>
  <c r="F3836" i="1"/>
  <c r="E3836" i="1"/>
  <c r="D3836" i="1"/>
  <c r="C3836" i="1"/>
  <c r="F3835" i="1"/>
  <c r="E3835" i="1"/>
  <c r="D3835" i="1"/>
  <c r="C3835" i="1"/>
  <c r="F3834" i="1"/>
  <c r="E3834" i="1"/>
  <c r="D3834" i="1"/>
  <c r="C3834" i="1"/>
  <c r="F3833" i="1"/>
  <c r="E3833" i="1"/>
  <c r="D3833" i="1"/>
  <c r="C3833" i="1"/>
  <c r="F3832" i="1"/>
  <c r="E3832" i="1"/>
  <c r="D3832" i="1"/>
  <c r="C3832" i="1"/>
  <c r="F3831" i="1"/>
  <c r="E3831" i="1"/>
  <c r="D3831" i="1"/>
  <c r="C3831" i="1"/>
  <c r="F3830" i="1"/>
  <c r="E3830" i="1"/>
  <c r="D3830" i="1"/>
  <c r="C3830" i="1"/>
  <c r="F3829" i="1"/>
  <c r="E3829" i="1"/>
  <c r="D3829" i="1"/>
  <c r="C3829" i="1"/>
  <c r="F3828" i="1"/>
  <c r="E3828" i="1"/>
  <c r="D3828" i="1"/>
  <c r="C3828" i="1"/>
  <c r="F3827" i="1"/>
  <c r="E3827" i="1"/>
  <c r="D3827" i="1"/>
  <c r="C3827" i="1"/>
  <c r="F3826" i="1"/>
  <c r="E3826" i="1"/>
  <c r="D3826" i="1"/>
  <c r="C3826" i="1"/>
  <c r="F3825" i="1"/>
  <c r="E3825" i="1"/>
  <c r="D3825" i="1"/>
  <c r="C3825" i="1"/>
  <c r="F3824" i="1"/>
  <c r="E3824" i="1"/>
  <c r="D3824" i="1"/>
  <c r="C3824" i="1"/>
  <c r="F3823" i="1"/>
  <c r="E3823" i="1"/>
  <c r="D3823" i="1"/>
  <c r="C3823" i="1"/>
  <c r="F3822" i="1"/>
  <c r="E3822" i="1"/>
  <c r="D3822" i="1"/>
  <c r="C3822" i="1"/>
  <c r="F3821" i="1"/>
  <c r="E3821" i="1"/>
  <c r="D3821" i="1"/>
  <c r="C3821" i="1"/>
  <c r="C3820" i="1"/>
  <c r="G3820" i="1" s="1"/>
  <c r="F3819" i="1"/>
  <c r="E3819" i="1"/>
  <c r="D3819" i="1"/>
  <c r="C3819" i="1"/>
  <c r="F3818" i="1"/>
  <c r="E3818" i="1"/>
  <c r="D3818" i="1"/>
  <c r="C3818" i="1"/>
  <c r="F3817" i="1"/>
  <c r="E3817" i="1"/>
  <c r="D3817" i="1"/>
  <c r="C3817" i="1"/>
  <c r="F3816" i="1"/>
  <c r="E3816" i="1"/>
  <c r="D3816" i="1"/>
  <c r="C3816" i="1"/>
  <c r="F3815" i="1"/>
  <c r="E3815" i="1"/>
  <c r="D3815" i="1"/>
  <c r="C3815" i="1"/>
  <c r="F3814" i="1"/>
  <c r="E3814" i="1"/>
  <c r="D3814" i="1"/>
  <c r="C3814" i="1"/>
  <c r="E3813" i="1"/>
  <c r="D3813" i="1"/>
  <c r="C3813" i="1"/>
  <c r="F3812" i="1"/>
  <c r="E3812" i="1"/>
  <c r="D3812" i="1"/>
  <c r="C3812" i="1"/>
  <c r="F3811" i="1"/>
  <c r="E3811" i="1"/>
  <c r="D3811" i="1"/>
  <c r="C3811" i="1"/>
  <c r="F3810" i="1"/>
  <c r="E3810" i="1"/>
  <c r="D3810" i="1"/>
  <c r="C3810" i="1"/>
  <c r="F3809" i="1"/>
  <c r="E3809" i="1"/>
  <c r="D3809" i="1"/>
  <c r="C3809" i="1"/>
  <c r="C3805" i="1"/>
  <c r="G3805" i="1" s="1"/>
  <c r="C3804" i="1"/>
  <c r="C3803" i="1"/>
  <c r="C3802" i="1"/>
  <c r="G3802" i="1" s="1"/>
  <c r="C3801" i="1"/>
  <c r="G3801" i="1" s="1"/>
  <c r="C3800" i="1"/>
  <c r="C3799" i="1"/>
  <c r="C3798" i="1"/>
  <c r="G3798" i="1" s="1"/>
  <c r="C3797" i="1"/>
  <c r="G3797" i="1" s="1"/>
  <c r="C3796" i="1"/>
  <c r="F3795" i="1"/>
  <c r="E3795" i="1"/>
  <c r="D3795" i="1"/>
  <c r="C3795" i="1"/>
  <c r="F3794" i="1"/>
  <c r="E3794" i="1"/>
  <c r="D3794" i="1"/>
  <c r="C3794" i="1"/>
  <c r="F3793" i="1"/>
  <c r="E3793" i="1"/>
  <c r="D3793" i="1"/>
  <c r="C3793" i="1"/>
  <c r="F3792" i="1"/>
  <c r="E3792" i="1"/>
  <c r="D3792" i="1"/>
  <c r="C3792" i="1"/>
  <c r="F3791" i="1"/>
  <c r="E3791" i="1"/>
  <c r="D3791" i="1"/>
  <c r="C3791" i="1"/>
  <c r="F3790" i="1"/>
  <c r="E3790" i="1"/>
  <c r="D3790" i="1"/>
  <c r="C3790" i="1"/>
  <c r="F3789" i="1"/>
  <c r="E3789" i="1"/>
  <c r="D3789" i="1"/>
  <c r="C3789" i="1"/>
  <c r="F3788" i="1"/>
  <c r="E3788" i="1"/>
  <c r="D3788" i="1"/>
  <c r="C3788" i="1"/>
  <c r="F3787" i="1"/>
  <c r="E3787" i="1"/>
  <c r="D3787" i="1"/>
  <c r="C3787" i="1"/>
  <c r="F3786" i="1"/>
  <c r="E3786" i="1"/>
  <c r="D3786" i="1"/>
  <c r="C3786" i="1"/>
  <c r="F3785" i="1"/>
  <c r="E3785" i="1"/>
  <c r="D3785" i="1"/>
  <c r="C3785" i="1"/>
  <c r="F3784" i="1"/>
  <c r="E3784" i="1"/>
  <c r="D3784" i="1"/>
  <c r="C3784" i="1"/>
  <c r="F3783" i="1"/>
  <c r="E3783" i="1"/>
  <c r="D3783" i="1"/>
  <c r="C3783" i="1"/>
  <c r="F3782" i="1"/>
  <c r="E3782" i="1"/>
  <c r="D3782" i="1"/>
  <c r="C3782" i="1"/>
  <c r="F3781" i="1"/>
  <c r="E3781" i="1"/>
  <c r="D3781" i="1"/>
  <c r="C3781" i="1"/>
  <c r="F3780" i="1"/>
  <c r="E3780" i="1"/>
  <c r="D3780" i="1"/>
  <c r="C3780" i="1"/>
  <c r="F3779" i="1"/>
  <c r="E3779" i="1"/>
  <c r="D3779" i="1"/>
  <c r="C3779" i="1"/>
  <c r="F3778" i="1"/>
  <c r="E3778" i="1"/>
  <c r="D3778" i="1"/>
  <c r="C3778" i="1"/>
  <c r="F3777" i="1"/>
  <c r="E3777" i="1"/>
  <c r="D3777" i="1"/>
  <c r="C3777" i="1"/>
  <c r="F3776" i="1"/>
  <c r="E3776" i="1"/>
  <c r="D3776" i="1"/>
  <c r="C3776" i="1"/>
  <c r="F3775" i="1"/>
  <c r="E3775" i="1"/>
  <c r="D3775" i="1"/>
  <c r="C3775" i="1"/>
  <c r="F3774" i="1"/>
  <c r="E3774" i="1"/>
  <c r="D3774" i="1"/>
  <c r="C3774" i="1"/>
  <c r="F3773" i="1"/>
  <c r="E3773" i="1"/>
  <c r="D3773" i="1"/>
  <c r="C3773" i="1"/>
  <c r="F3772" i="1"/>
  <c r="E3772" i="1"/>
  <c r="D3772" i="1"/>
  <c r="C3772" i="1"/>
  <c r="F3771" i="1"/>
  <c r="E3771" i="1"/>
  <c r="D3771" i="1"/>
  <c r="C3771" i="1"/>
  <c r="F3770" i="1"/>
  <c r="E3770" i="1"/>
  <c r="D3770" i="1"/>
  <c r="C3770" i="1"/>
  <c r="F3769" i="1"/>
  <c r="E3769" i="1"/>
  <c r="D3769" i="1"/>
  <c r="C3769" i="1"/>
  <c r="F3768" i="1"/>
  <c r="E3768" i="1"/>
  <c r="D3768" i="1"/>
  <c r="C3768" i="1"/>
  <c r="F3767" i="1"/>
  <c r="E3767" i="1"/>
  <c r="D3767" i="1"/>
  <c r="C3767" i="1"/>
  <c r="F3766" i="1"/>
  <c r="E3766" i="1"/>
  <c r="D3766" i="1"/>
  <c r="C3766" i="1"/>
  <c r="F3765" i="1"/>
  <c r="E3765" i="1"/>
  <c r="D3765" i="1"/>
  <c r="C3765" i="1"/>
  <c r="F3764" i="1"/>
  <c r="E3764" i="1"/>
  <c r="D3764" i="1"/>
  <c r="C3764" i="1"/>
  <c r="F3763" i="1"/>
  <c r="E3763" i="1"/>
  <c r="D3763" i="1"/>
  <c r="C3763" i="1"/>
  <c r="F3762" i="1"/>
  <c r="E3762" i="1"/>
  <c r="D3762" i="1"/>
  <c r="C3762" i="1"/>
  <c r="F3761" i="1"/>
  <c r="E3761" i="1"/>
  <c r="D3761" i="1"/>
  <c r="C3761" i="1"/>
  <c r="F3760" i="1"/>
  <c r="E3760" i="1"/>
  <c r="D3760" i="1"/>
  <c r="C3760" i="1"/>
  <c r="F3759" i="1"/>
  <c r="E3759" i="1"/>
  <c r="D3759" i="1"/>
  <c r="C3759" i="1"/>
  <c r="C3758" i="1"/>
  <c r="C3757" i="1"/>
  <c r="G3757" i="1" s="1"/>
  <c r="F3756" i="1"/>
  <c r="E3756" i="1"/>
  <c r="D3756" i="1"/>
  <c r="C3756" i="1"/>
  <c r="F3755" i="1"/>
  <c r="E3755" i="1"/>
  <c r="D3755" i="1"/>
  <c r="C3755" i="1"/>
  <c r="F3754" i="1"/>
  <c r="E3754" i="1"/>
  <c r="D3754" i="1"/>
  <c r="C3754" i="1"/>
  <c r="F3753" i="1"/>
  <c r="E3753" i="1"/>
  <c r="D3753" i="1"/>
  <c r="C3753" i="1"/>
  <c r="F3752" i="1"/>
  <c r="E3752" i="1"/>
  <c r="D3752" i="1"/>
  <c r="C3752" i="1"/>
  <c r="F3751" i="1"/>
  <c r="E3751" i="1"/>
  <c r="D3751" i="1"/>
  <c r="C3751" i="1"/>
  <c r="F3750" i="1"/>
  <c r="E3750" i="1"/>
  <c r="D3750" i="1"/>
  <c r="C3750" i="1"/>
  <c r="F3749" i="1"/>
  <c r="E3749" i="1"/>
  <c r="D3749" i="1"/>
  <c r="C3749" i="1"/>
  <c r="F3748" i="1"/>
  <c r="E3748" i="1"/>
  <c r="D3748" i="1"/>
  <c r="C3748" i="1"/>
  <c r="F3747" i="1"/>
  <c r="E3747" i="1"/>
  <c r="D3747" i="1"/>
  <c r="C3747" i="1"/>
  <c r="F3746" i="1"/>
  <c r="E3746" i="1"/>
  <c r="D3746" i="1"/>
  <c r="C3746" i="1"/>
  <c r="F3745" i="1"/>
  <c r="E3745" i="1"/>
  <c r="D3745" i="1"/>
  <c r="C3745" i="1"/>
  <c r="F3744" i="1"/>
  <c r="E3744" i="1"/>
  <c r="D3744" i="1"/>
  <c r="C3744" i="1"/>
  <c r="F3743" i="1"/>
  <c r="E3743" i="1"/>
  <c r="D3743" i="1"/>
  <c r="C3743" i="1"/>
  <c r="F3742" i="1"/>
  <c r="E3742" i="1"/>
  <c r="D3742" i="1"/>
  <c r="C3742" i="1"/>
  <c r="F3741" i="1"/>
  <c r="E3741" i="1"/>
  <c r="D3741" i="1"/>
  <c r="C3741" i="1"/>
  <c r="F3740" i="1"/>
  <c r="E3740" i="1"/>
  <c r="D3740" i="1"/>
  <c r="C3740" i="1"/>
  <c r="C3739" i="1"/>
  <c r="G3739" i="1" s="1"/>
  <c r="F3738" i="1"/>
  <c r="E3738" i="1"/>
  <c r="D3738" i="1"/>
  <c r="C3738" i="1"/>
  <c r="F3737" i="1"/>
  <c r="E3737" i="1"/>
  <c r="D3737" i="1"/>
  <c r="C3737" i="1"/>
  <c r="F3736" i="1"/>
  <c r="E3736" i="1"/>
  <c r="D3736" i="1"/>
  <c r="C3736" i="1"/>
  <c r="F3735" i="1"/>
  <c r="E3735" i="1"/>
  <c r="D3735" i="1"/>
  <c r="C3735" i="1"/>
  <c r="F3734" i="1"/>
  <c r="E3734" i="1"/>
  <c r="D3734" i="1"/>
  <c r="C3734" i="1"/>
  <c r="F3733" i="1"/>
  <c r="E3733" i="1"/>
  <c r="D3733" i="1"/>
  <c r="C3733" i="1"/>
  <c r="E3732" i="1"/>
  <c r="D3732" i="1"/>
  <c r="C3732" i="1"/>
  <c r="F3731" i="1"/>
  <c r="E3731" i="1"/>
  <c r="D3731" i="1"/>
  <c r="C3731" i="1"/>
  <c r="F3730" i="1"/>
  <c r="E3730" i="1"/>
  <c r="D3730" i="1"/>
  <c r="C3730" i="1"/>
  <c r="F3729" i="1"/>
  <c r="E3729" i="1"/>
  <c r="D3729" i="1"/>
  <c r="C3729" i="1"/>
  <c r="F3728" i="1"/>
  <c r="E3728" i="1"/>
  <c r="D3728" i="1"/>
  <c r="C3728" i="1"/>
  <c r="C3724" i="1"/>
  <c r="G3724" i="1" s="1"/>
  <c r="C3723" i="1"/>
  <c r="C3722" i="1"/>
  <c r="C3721" i="1"/>
  <c r="G3721" i="1" s="1"/>
  <c r="C3720" i="1"/>
  <c r="G3720" i="1" s="1"/>
  <c r="C3719" i="1"/>
  <c r="C3718" i="1"/>
  <c r="C3717" i="1"/>
  <c r="G3717" i="1" s="1"/>
  <c r="C3716" i="1"/>
  <c r="G3716" i="1" s="1"/>
  <c r="C3715" i="1"/>
  <c r="G3715" i="1" s="1"/>
  <c r="F3714" i="1"/>
  <c r="E3714" i="1"/>
  <c r="D3714" i="1"/>
  <c r="C3714" i="1"/>
  <c r="F3713" i="1"/>
  <c r="E3713" i="1"/>
  <c r="D3713" i="1"/>
  <c r="C3713" i="1"/>
  <c r="F3712" i="1"/>
  <c r="E3712" i="1"/>
  <c r="D3712" i="1"/>
  <c r="C3712" i="1"/>
  <c r="F3711" i="1"/>
  <c r="E3711" i="1"/>
  <c r="D3711" i="1"/>
  <c r="C3711" i="1"/>
  <c r="F3710" i="1"/>
  <c r="E3710" i="1"/>
  <c r="D3710" i="1"/>
  <c r="C3710" i="1"/>
  <c r="F3709" i="1"/>
  <c r="E3709" i="1"/>
  <c r="D3709" i="1"/>
  <c r="C3709" i="1"/>
  <c r="F3708" i="1"/>
  <c r="E3708" i="1"/>
  <c r="D3708" i="1"/>
  <c r="C3708" i="1"/>
  <c r="F3707" i="1"/>
  <c r="E3707" i="1"/>
  <c r="D3707" i="1"/>
  <c r="C3707" i="1"/>
  <c r="F3706" i="1"/>
  <c r="E3706" i="1"/>
  <c r="D3706" i="1"/>
  <c r="C3706" i="1"/>
  <c r="F3705" i="1"/>
  <c r="E3705" i="1"/>
  <c r="D3705" i="1"/>
  <c r="C3705" i="1"/>
  <c r="F3704" i="1"/>
  <c r="E3704" i="1"/>
  <c r="D3704" i="1"/>
  <c r="C3704" i="1"/>
  <c r="F3703" i="1"/>
  <c r="E3703" i="1"/>
  <c r="D3703" i="1"/>
  <c r="C3703" i="1"/>
  <c r="F3702" i="1"/>
  <c r="E3702" i="1"/>
  <c r="D3702" i="1"/>
  <c r="C3702" i="1"/>
  <c r="F3701" i="1"/>
  <c r="E3701" i="1"/>
  <c r="D3701" i="1"/>
  <c r="C3701" i="1"/>
  <c r="F3700" i="1"/>
  <c r="E3700" i="1"/>
  <c r="D3700" i="1"/>
  <c r="C3700" i="1"/>
  <c r="F3699" i="1"/>
  <c r="E3699" i="1"/>
  <c r="D3699" i="1"/>
  <c r="C3699" i="1"/>
  <c r="F3698" i="1"/>
  <c r="E3698" i="1"/>
  <c r="D3698" i="1"/>
  <c r="C3698" i="1"/>
  <c r="F3697" i="1"/>
  <c r="E3697" i="1"/>
  <c r="D3697" i="1"/>
  <c r="C3697" i="1"/>
  <c r="F3696" i="1"/>
  <c r="E3696" i="1"/>
  <c r="D3696" i="1"/>
  <c r="C3696" i="1"/>
  <c r="F3695" i="1"/>
  <c r="E3695" i="1"/>
  <c r="D3695" i="1"/>
  <c r="C3695" i="1"/>
  <c r="F3694" i="1"/>
  <c r="E3694" i="1"/>
  <c r="D3694" i="1"/>
  <c r="C3694" i="1"/>
  <c r="F3693" i="1"/>
  <c r="E3693" i="1"/>
  <c r="D3693" i="1"/>
  <c r="C3693" i="1"/>
  <c r="F3692" i="1"/>
  <c r="E3692" i="1"/>
  <c r="D3692" i="1"/>
  <c r="C3692" i="1"/>
  <c r="F3691" i="1"/>
  <c r="E3691" i="1"/>
  <c r="D3691" i="1"/>
  <c r="C3691" i="1"/>
  <c r="F3690" i="1"/>
  <c r="E3690" i="1"/>
  <c r="D3690" i="1"/>
  <c r="C3690" i="1"/>
  <c r="F3689" i="1"/>
  <c r="E3689" i="1"/>
  <c r="D3689" i="1"/>
  <c r="C3689" i="1"/>
  <c r="F3688" i="1"/>
  <c r="E3688" i="1"/>
  <c r="D3688" i="1"/>
  <c r="C3688" i="1"/>
  <c r="F3687" i="1"/>
  <c r="E3687" i="1"/>
  <c r="D3687" i="1"/>
  <c r="C3687" i="1"/>
  <c r="F3686" i="1"/>
  <c r="E3686" i="1"/>
  <c r="D3686" i="1"/>
  <c r="C3686" i="1"/>
  <c r="F3685" i="1"/>
  <c r="E3685" i="1"/>
  <c r="D3685" i="1"/>
  <c r="C3685" i="1"/>
  <c r="F3684" i="1"/>
  <c r="E3684" i="1"/>
  <c r="D3684" i="1"/>
  <c r="C3684" i="1"/>
  <c r="F3683" i="1"/>
  <c r="E3683" i="1"/>
  <c r="D3683" i="1"/>
  <c r="C3683" i="1"/>
  <c r="F3682" i="1"/>
  <c r="E3682" i="1"/>
  <c r="D3682" i="1"/>
  <c r="C3682" i="1"/>
  <c r="F3681" i="1"/>
  <c r="E3681" i="1"/>
  <c r="D3681" i="1"/>
  <c r="C3681" i="1"/>
  <c r="F3680" i="1"/>
  <c r="E3680" i="1"/>
  <c r="D3680" i="1"/>
  <c r="C3680" i="1"/>
  <c r="F3679" i="1"/>
  <c r="E3679" i="1"/>
  <c r="D3679" i="1"/>
  <c r="C3679" i="1"/>
  <c r="F3678" i="1"/>
  <c r="E3678" i="1"/>
  <c r="D3678" i="1"/>
  <c r="C3678" i="1"/>
  <c r="C3677" i="1"/>
  <c r="G3677" i="1" s="1"/>
  <c r="C3676" i="1"/>
  <c r="G3676" i="1" s="1"/>
  <c r="F3675" i="1"/>
  <c r="E3675" i="1"/>
  <c r="D3675" i="1"/>
  <c r="C3675" i="1"/>
  <c r="F3674" i="1"/>
  <c r="E3674" i="1"/>
  <c r="D3674" i="1"/>
  <c r="C3674" i="1"/>
  <c r="F3673" i="1"/>
  <c r="E3673" i="1"/>
  <c r="D3673" i="1"/>
  <c r="C3673" i="1"/>
  <c r="F3672" i="1"/>
  <c r="E3672" i="1"/>
  <c r="D3672" i="1"/>
  <c r="C3672" i="1"/>
  <c r="F3671" i="1"/>
  <c r="E3671" i="1"/>
  <c r="D3671" i="1"/>
  <c r="C3671" i="1"/>
  <c r="F3670" i="1"/>
  <c r="E3670" i="1"/>
  <c r="D3670" i="1"/>
  <c r="C3670" i="1"/>
  <c r="F3669" i="1"/>
  <c r="E3669" i="1"/>
  <c r="D3669" i="1"/>
  <c r="C3669" i="1"/>
  <c r="F3668" i="1"/>
  <c r="E3668" i="1"/>
  <c r="D3668" i="1"/>
  <c r="C3668" i="1"/>
  <c r="F3667" i="1"/>
  <c r="E3667" i="1"/>
  <c r="D3667" i="1"/>
  <c r="C3667" i="1"/>
  <c r="F3666" i="1"/>
  <c r="E3666" i="1"/>
  <c r="D3666" i="1"/>
  <c r="C3666" i="1"/>
  <c r="F3665" i="1"/>
  <c r="E3665" i="1"/>
  <c r="D3665" i="1"/>
  <c r="C3665" i="1"/>
  <c r="F3664" i="1"/>
  <c r="E3664" i="1"/>
  <c r="D3664" i="1"/>
  <c r="C3664" i="1"/>
  <c r="F3663" i="1"/>
  <c r="E3663" i="1"/>
  <c r="D3663" i="1"/>
  <c r="C3663" i="1"/>
  <c r="F3662" i="1"/>
  <c r="E3662" i="1"/>
  <c r="D3662" i="1"/>
  <c r="C3662" i="1"/>
  <c r="F3661" i="1"/>
  <c r="E3661" i="1"/>
  <c r="D3661" i="1"/>
  <c r="C3661" i="1"/>
  <c r="F3660" i="1"/>
  <c r="E3660" i="1"/>
  <c r="D3660" i="1"/>
  <c r="C3660" i="1"/>
  <c r="F3659" i="1"/>
  <c r="E3659" i="1"/>
  <c r="D3659" i="1"/>
  <c r="C3659" i="1"/>
  <c r="C3658" i="1"/>
  <c r="G3658" i="1" s="1"/>
  <c r="F3657" i="1"/>
  <c r="E3657" i="1"/>
  <c r="D3657" i="1"/>
  <c r="C3657" i="1"/>
  <c r="F3656" i="1"/>
  <c r="E3656" i="1"/>
  <c r="D3656" i="1"/>
  <c r="C3656" i="1"/>
  <c r="F3655" i="1"/>
  <c r="E3655" i="1"/>
  <c r="D3655" i="1"/>
  <c r="C3655" i="1"/>
  <c r="F3654" i="1"/>
  <c r="E3654" i="1"/>
  <c r="D3654" i="1"/>
  <c r="C3654" i="1"/>
  <c r="F3653" i="1"/>
  <c r="E3653" i="1"/>
  <c r="D3653" i="1"/>
  <c r="C3653" i="1"/>
  <c r="F3652" i="1"/>
  <c r="E3652" i="1"/>
  <c r="D3652" i="1"/>
  <c r="C3652" i="1"/>
  <c r="E3651" i="1"/>
  <c r="D3651" i="1"/>
  <c r="C3651" i="1"/>
  <c r="F3650" i="1"/>
  <c r="E3650" i="1"/>
  <c r="D3650" i="1"/>
  <c r="C3650" i="1"/>
  <c r="F3649" i="1"/>
  <c r="E3649" i="1"/>
  <c r="D3649" i="1"/>
  <c r="C3649" i="1"/>
  <c r="F3648" i="1"/>
  <c r="E3648" i="1"/>
  <c r="D3648" i="1"/>
  <c r="C3648" i="1"/>
  <c r="F3647" i="1"/>
  <c r="E3647" i="1"/>
  <c r="D3647" i="1"/>
  <c r="C3647" i="1"/>
  <c r="C3643" i="1"/>
  <c r="G3643" i="1" s="1"/>
  <c r="C3642" i="1"/>
  <c r="G3642" i="1" s="1"/>
  <c r="C3641" i="1"/>
  <c r="C3640" i="1"/>
  <c r="G3640" i="1" s="1"/>
  <c r="C3639" i="1"/>
  <c r="G3639" i="1" s="1"/>
  <c r="C3638" i="1"/>
  <c r="C3637" i="1"/>
  <c r="G3637" i="1" s="1"/>
  <c r="C3636" i="1"/>
  <c r="G3636" i="1" s="1"/>
  <c r="C3635" i="1"/>
  <c r="G3635" i="1" s="1"/>
  <c r="C3634" i="1"/>
  <c r="F3633" i="1"/>
  <c r="E3633" i="1"/>
  <c r="D3633" i="1"/>
  <c r="C3633" i="1"/>
  <c r="F3632" i="1"/>
  <c r="E3632" i="1"/>
  <c r="D3632" i="1"/>
  <c r="C3632" i="1"/>
  <c r="F3631" i="1"/>
  <c r="E3631" i="1"/>
  <c r="D3631" i="1"/>
  <c r="C3631" i="1"/>
  <c r="F3630" i="1"/>
  <c r="E3630" i="1"/>
  <c r="D3630" i="1"/>
  <c r="C3630" i="1"/>
  <c r="F3629" i="1"/>
  <c r="E3629" i="1"/>
  <c r="D3629" i="1"/>
  <c r="C3629" i="1"/>
  <c r="F3628" i="1"/>
  <c r="E3628" i="1"/>
  <c r="D3628" i="1"/>
  <c r="C3628" i="1"/>
  <c r="F3627" i="1"/>
  <c r="E3627" i="1"/>
  <c r="D3627" i="1"/>
  <c r="C3627" i="1"/>
  <c r="F3626" i="1"/>
  <c r="E3626" i="1"/>
  <c r="D3626" i="1"/>
  <c r="C3626" i="1"/>
  <c r="F3625" i="1"/>
  <c r="E3625" i="1"/>
  <c r="D3625" i="1"/>
  <c r="C3625" i="1"/>
  <c r="F3624" i="1"/>
  <c r="E3624" i="1"/>
  <c r="D3624" i="1"/>
  <c r="C3624" i="1"/>
  <c r="F3623" i="1"/>
  <c r="E3623" i="1"/>
  <c r="D3623" i="1"/>
  <c r="C3623" i="1"/>
  <c r="F3622" i="1"/>
  <c r="E3622" i="1"/>
  <c r="D3622" i="1"/>
  <c r="C3622" i="1"/>
  <c r="F3621" i="1"/>
  <c r="E3621" i="1"/>
  <c r="D3621" i="1"/>
  <c r="C3621" i="1"/>
  <c r="F3620" i="1"/>
  <c r="E3620" i="1"/>
  <c r="D3620" i="1"/>
  <c r="C3620" i="1"/>
  <c r="F3619" i="1"/>
  <c r="E3619" i="1"/>
  <c r="D3619" i="1"/>
  <c r="C3619" i="1"/>
  <c r="F3618" i="1"/>
  <c r="E3618" i="1"/>
  <c r="D3618" i="1"/>
  <c r="C3618" i="1"/>
  <c r="F3617" i="1"/>
  <c r="E3617" i="1"/>
  <c r="D3617" i="1"/>
  <c r="C3617" i="1"/>
  <c r="F3616" i="1"/>
  <c r="E3616" i="1"/>
  <c r="D3616" i="1"/>
  <c r="C3616" i="1"/>
  <c r="F3615" i="1"/>
  <c r="E3615" i="1"/>
  <c r="D3615" i="1"/>
  <c r="C3615" i="1"/>
  <c r="F3614" i="1"/>
  <c r="E3614" i="1"/>
  <c r="D3614" i="1"/>
  <c r="C3614" i="1"/>
  <c r="F3613" i="1"/>
  <c r="E3613" i="1"/>
  <c r="D3613" i="1"/>
  <c r="C3613" i="1"/>
  <c r="F3612" i="1"/>
  <c r="E3612" i="1"/>
  <c r="D3612" i="1"/>
  <c r="C3612" i="1"/>
  <c r="F3611" i="1"/>
  <c r="E3611" i="1"/>
  <c r="D3611" i="1"/>
  <c r="C3611" i="1"/>
  <c r="F3610" i="1"/>
  <c r="E3610" i="1"/>
  <c r="D3610" i="1"/>
  <c r="C3610" i="1"/>
  <c r="F3609" i="1"/>
  <c r="E3609" i="1"/>
  <c r="D3609" i="1"/>
  <c r="C3609" i="1"/>
  <c r="F3608" i="1"/>
  <c r="E3608" i="1"/>
  <c r="D3608" i="1"/>
  <c r="C3608" i="1"/>
  <c r="F3607" i="1"/>
  <c r="E3607" i="1"/>
  <c r="D3607" i="1"/>
  <c r="C3607" i="1"/>
  <c r="F3606" i="1"/>
  <c r="E3606" i="1"/>
  <c r="D3606" i="1"/>
  <c r="C3606" i="1"/>
  <c r="F3605" i="1"/>
  <c r="E3605" i="1"/>
  <c r="D3605" i="1"/>
  <c r="C3605" i="1"/>
  <c r="F3604" i="1"/>
  <c r="E3604" i="1"/>
  <c r="D3604" i="1"/>
  <c r="C3604" i="1"/>
  <c r="F3603" i="1"/>
  <c r="E3603" i="1"/>
  <c r="D3603" i="1"/>
  <c r="C3603" i="1"/>
  <c r="F3602" i="1"/>
  <c r="E3602" i="1"/>
  <c r="D3602" i="1"/>
  <c r="C3602" i="1"/>
  <c r="F3601" i="1"/>
  <c r="E3601" i="1"/>
  <c r="D3601" i="1"/>
  <c r="C3601" i="1"/>
  <c r="F3600" i="1"/>
  <c r="E3600" i="1"/>
  <c r="D3600" i="1"/>
  <c r="C3600" i="1"/>
  <c r="F3599" i="1"/>
  <c r="E3599" i="1"/>
  <c r="D3599" i="1"/>
  <c r="C3599" i="1"/>
  <c r="F3598" i="1"/>
  <c r="E3598" i="1"/>
  <c r="D3598" i="1"/>
  <c r="C3598" i="1"/>
  <c r="F3597" i="1"/>
  <c r="E3597" i="1"/>
  <c r="D3597" i="1"/>
  <c r="C3597" i="1"/>
  <c r="C3596" i="1"/>
  <c r="C3595" i="1"/>
  <c r="G3595" i="1" s="1"/>
  <c r="F3594" i="1"/>
  <c r="E3594" i="1"/>
  <c r="D3594" i="1"/>
  <c r="C3594" i="1"/>
  <c r="F3593" i="1"/>
  <c r="E3593" i="1"/>
  <c r="D3593" i="1"/>
  <c r="C3593" i="1"/>
  <c r="F3592" i="1"/>
  <c r="E3592" i="1"/>
  <c r="D3592" i="1"/>
  <c r="C3592" i="1"/>
  <c r="F3591" i="1"/>
  <c r="E3591" i="1"/>
  <c r="D3591" i="1"/>
  <c r="C3591" i="1"/>
  <c r="F3590" i="1"/>
  <c r="E3590" i="1"/>
  <c r="D3590" i="1"/>
  <c r="C3590" i="1"/>
  <c r="F3589" i="1"/>
  <c r="E3589" i="1"/>
  <c r="D3589" i="1"/>
  <c r="C3589" i="1"/>
  <c r="F3588" i="1"/>
  <c r="E3588" i="1"/>
  <c r="D3588" i="1"/>
  <c r="C3588" i="1"/>
  <c r="F3587" i="1"/>
  <c r="E3587" i="1"/>
  <c r="D3587" i="1"/>
  <c r="C3587" i="1"/>
  <c r="F3586" i="1"/>
  <c r="E3586" i="1"/>
  <c r="D3586" i="1"/>
  <c r="C3586" i="1"/>
  <c r="F3585" i="1"/>
  <c r="E3585" i="1"/>
  <c r="D3585" i="1"/>
  <c r="C3585" i="1"/>
  <c r="F3584" i="1"/>
  <c r="E3584" i="1"/>
  <c r="D3584" i="1"/>
  <c r="C3584" i="1"/>
  <c r="F3583" i="1"/>
  <c r="E3583" i="1"/>
  <c r="D3583" i="1"/>
  <c r="C3583" i="1"/>
  <c r="F3582" i="1"/>
  <c r="E3582" i="1"/>
  <c r="D3582" i="1"/>
  <c r="C3582" i="1"/>
  <c r="F3581" i="1"/>
  <c r="E3581" i="1"/>
  <c r="D3581" i="1"/>
  <c r="C3581" i="1"/>
  <c r="F3580" i="1"/>
  <c r="E3580" i="1"/>
  <c r="D3580" i="1"/>
  <c r="C3580" i="1"/>
  <c r="F3579" i="1"/>
  <c r="E3579" i="1"/>
  <c r="D3579" i="1"/>
  <c r="C3579" i="1"/>
  <c r="F3578" i="1"/>
  <c r="E3578" i="1"/>
  <c r="D3578" i="1"/>
  <c r="C3578" i="1"/>
  <c r="C3577" i="1"/>
  <c r="G3577" i="1" s="1"/>
  <c r="F3576" i="1"/>
  <c r="E3576" i="1"/>
  <c r="D3576" i="1"/>
  <c r="C3576" i="1"/>
  <c r="F3575" i="1"/>
  <c r="E3575" i="1"/>
  <c r="D3575" i="1"/>
  <c r="C3575" i="1"/>
  <c r="F3574" i="1"/>
  <c r="E3574" i="1"/>
  <c r="D3574" i="1"/>
  <c r="C3574" i="1"/>
  <c r="F3573" i="1"/>
  <c r="E3573" i="1"/>
  <c r="D3573" i="1"/>
  <c r="C3573" i="1"/>
  <c r="F3572" i="1"/>
  <c r="E3572" i="1"/>
  <c r="D3572" i="1"/>
  <c r="C3572" i="1"/>
  <c r="F3571" i="1"/>
  <c r="E3571" i="1"/>
  <c r="D3571" i="1"/>
  <c r="C3571" i="1"/>
  <c r="E3570" i="1"/>
  <c r="D3570" i="1"/>
  <c r="C3570" i="1"/>
  <c r="F3569" i="1"/>
  <c r="E3569" i="1"/>
  <c r="D3569" i="1"/>
  <c r="C3569" i="1"/>
  <c r="F3568" i="1"/>
  <c r="E3568" i="1"/>
  <c r="D3568" i="1"/>
  <c r="C3568" i="1"/>
  <c r="F3567" i="1"/>
  <c r="E3567" i="1"/>
  <c r="D3567" i="1"/>
  <c r="C3567" i="1"/>
  <c r="F3566" i="1"/>
  <c r="E3566" i="1"/>
  <c r="D3566" i="1"/>
  <c r="C3566" i="1"/>
  <c r="C3562" i="1"/>
  <c r="G3562" i="1" s="1"/>
  <c r="C3561" i="1"/>
  <c r="C3560" i="1"/>
  <c r="C3559" i="1"/>
  <c r="G3559" i="1" s="1"/>
  <c r="C3558" i="1"/>
  <c r="G3558" i="1" s="1"/>
  <c r="C3557" i="1"/>
  <c r="C3556" i="1"/>
  <c r="C3555" i="1"/>
  <c r="G3555" i="1" s="1"/>
  <c r="C3554" i="1"/>
  <c r="G3554" i="1" s="1"/>
  <c r="C3553" i="1"/>
  <c r="F3552" i="1"/>
  <c r="E3552" i="1"/>
  <c r="D3552" i="1"/>
  <c r="C3552" i="1"/>
  <c r="F3551" i="1"/>
  <c r="E3551" i="1"/>
  <c r="D3551" i="1"/>
  <c r="C3551" i="1"/>
  <c r="F3550" i="1"/>
  <c r="E3550" i="1"/>
  <c r="D3550" i="1"/>
  <c r="C3550" i="1"/>
  <c r="F3549" i="1"/>
  <c r="E3549" i="1"/>
  <c r="D3549" i="1"/>
  <c r="C3549" i="1"/>
  <c r="F3548" i="1"/>
  <c r="E3548" i="1"/>
  <c r="D3548" i="1"/>
  <c r="C3548" i="1"/>
  <c r="F3547" i="1"/>
  <c r="E3547" i="1"/>
  <c r="D3547" i="1"/>
  <c r="C3547" i="1"/>
  <c r="F3546" i="1"/>
  <c r="E3546" i="1"/>
  <c r="D3546" i="1"/>
  <c r="C3546" i="1"/>
  <c r="F3545" i="1"/>
  <c r="E3545" i="1"/>
  <c r="D3545" i="1"/>
  <c r="C3545" i="1"/>
  <c r="F3544" i="1"/>
  <c r="E3544" i="1"/>
  <c r="D3544" i="1"/>
  <c r="C3544" i="1"/>
  <c r="F3543" i="1"/>
  <c r="E3543" i="1"/>
  <c r="D3543" i="1"/>
  <c r="C3543" i="1"/>
  <c r="F3542" i="1"/>
  <c r="E3542" i="1"/>
  <c r="D3542" i="1"/>
  <c r="C3542" i="1"/>
  <c r="F3541" i="1"/>
  <c r="E3541" i="1"/>
  <c r="D3541" i="1"/>
  <c r="C3541" i="1"/>
  <c r="F3540" i="1"/>
  <c r="E3540" i="1"/>
  <c r="D3540" i="1"/>
  <c r="C3540" i="1"/>
  <c r="F3539" i="1"/>
  <c r="E3539" i="1"/>
  <c r="D3539" i="1"/>
  <c r="C3539" i="1"/>
  <c r="F3538" i="1"/>
  <c r="E3538" i="1"/>
  <c r="D3538" i="1"/>
  <c r="C3538" i="1"/>
  <c r="F3537" i="1"/>
  <c r="E3537" i="1"/>
  <c r="D3537" i="1"/>
  <c r="C3537" i="1"/>
  <c r="F3536" i="1"/>
  <c r="E3536" i="1"/>
  <c r="D3536" i="1"/>
  <c r="C3536" i="1"/>
  <c r="F3535" i="1"/>
  <c r="E3535" i="1"/>
  <c r="D3535" i="1"/>
  <c r="C3535" i="1"/>
  <c r="F3534" i="1"/>
  <c r="E3534" i="1"/>
  <c r="D3534" i="1"/>
  <c r="C3534" i="1"/>
  <c r="F3533" i="1"/>
  <c r="E3533" i="1"/>
  <c r="D3533" i="1"/>
  <c r="C3533" i="1"/>
  <c r="F3532" i="1"/>
  <c r="E3532" i="1"/>
  <c r="D3532" i="1"/>
  <c r="C3532" i="1"/>
  <c r="F3531" i="1"/>
  <c r="E3531" i="1"/>
  <c r="D3531" i="1"/>
  <c r="C3531" i="1"/>
  <c r="F3530" i="1"/>
  <c r="E3530" i="1"/>
  <c r="D3530" i="1"/>
  <c r="C3530" i="1"/>
  <c r="F3529" i="1"/>
  <c r="E3529" i="1"/>
  <c r="D3529" i="1"/>
  <c r="C3529" i="1"/>
  <c r="F3528" i="1"/>
  <c r="E3528" i="1"/>
  <c r="D3528" i="1"/>
  <c r="C3528" i="1"/>
  <c r="F3527" i="1"/>
  <c r="E3527" i="1"/>
  <c r="D3527" i="1"/>
  <c r="C3527" i="1"/>
  <c r="F3526" i="1"/>
  <c r="E3526" i="1"/>
  <c r="D3526" i="1"/>
  <c r="C3526" i="1"/>
  <c r="F3525" i="1"/>
  <c r="E3525" i="1"/>
  <c r="D3525" i="1"/>
  <c r="C3525" i="1"/>
  <c r="F3524" i="1"/>
  <c r="E3524" i="1"/>
  <c r="D3524" i="1"/>
  <c r="C3524" i="1"/>
  <c r="F3523" i="1"/>
  <c r="E3523" i="1"/>
  <c r="D3523" i="1"/>
  <c r="C3523" i="1"/>
  <c r="F3522" i="1"/>
  <c r="E3522" i="1"/>
  <c r="D3522" i="1"/>
  <c r="C3522" i="1"/>
  <c r="F3521" i="1"/>
  <c r="E3521" i="1"/>
  <c r="D3521" i="1"/>
  <c r="C3521" i="1"/>
  <c r="F3520" i="1"/>
  <c r="E3520" i="1"/>
  <c r="D3520" i="1"/>
  <c r="C3520" i="1"/>
  <c r="F3519" i="1"/>
  <c r="E3519" i="1"/>
  <c r="D3519" i="1"/>
  <c r="C3519" i="1"/>
  <c r="F3518" i="1"/>
  <c r="E3518" i="1"/>
  <c r="D3518" i="1"/>
  <c r="C3518" i="1"/>
  <c r="F3517" i="1"/>
  <c r="E3517" i="1"/>
  <c r="D3517" i="1"/>
  <c r="C3517" i="1"/>
  <c r="F3516" i="1"/>
  <c r="E3516" i="1"/>
  <c r="D3516" i="1"/>
  <c r="C3516" i="1"/>
  <c r="C3515" i="1"/>
  <c r="C3514" i="1"/>
  <c r="G3514" i="1" s="1"/>
  <c r="F3513" i="1"/>
  <c r="E3513" i="1"/>
  <c r="D3513" i="1"/>
  <c r="C3513" i="1"/>
  <c r="F3512" i="1"/>
  <c r="E3512" i="1"/>
  <c r="D3512" i="1"/>
  <c r="C3512" i="1"/>
  <c r="F3511" i="1"/>
  <c r="E3511" i="1"/>
  <c r="D3511" i="1"/>
  <c r="C3511" i="1"/>
  <c r="F3510" i="1"/>
  <c r="E3510" i="1"/>
  <c r="D3510" i="1"/>
  <c r="C3510" i="1"/>
  <c r="F3509" i="1"/>
  <c r="E3509" i="1"/>
  <c r="D3509" i="1"/>
  <c r="C3509" i="1"/>
  <c r="F3508" i="1"/>
  <c r="E3508" i="1"/>
  <c r="D3508" i="1"/>
  <c r="C3508" i="1"/>
  <c r="F3507" i="1"/>
  <c r="E3507" i="1"/>
  <c r="D3507" i="1"/>
  <c r="C3507" i="1"/>
  <c r="F3506" i="1"/>
  <c r="E3506" i="1"/>
  <c r="D3506" i="1"/>
  <c r="C3506" i="1"/>
  <c r="F3505" i="1"/>
  <c r="E3505" i="1"/>
  <c r="D3505" i="1"/>
  <c r="C3505" i="1"/>
  <c r="F3504" i="1"/>
  <c r="E3504" i="1"/>
  <c r="D3504" i="1"/>
  <c r="C3504" i="1"/>
  <c r="F3503" i="1"/>
  <c r="E3503" i="1"/>
  <c r="D3503" i="1"/>
  <c r="C3503" i="1"/>
  <c r="F3502" i="1"/>
  <c r="E3502" i="1"/>
  <c r="D3502" i="1"/>
  <c r="C3502" i="1"/>
  <c r="F3501" i="1"/>
  <c r="E3501" i="1"/>
  <c r="D3501" i="1"/>
  <c r="C3501" i="1"/>
  <c r="F3500" i="1"/>
  <c r="E3500" i="1"/>
  <c r="D3500" i="1"/>
  <c r="C3500" i="1"/>
  <c r="F3499" i="1"/>
  <c r="E3499" i="1"/>
  <c r="D3499" i="1"/>
  <c r="C3499" i="1"/>
  <c r="F3498" i="1"/>
  <c r="E3498" i="1"/>
  <c r="D3498" i="1"/>
  <c r="C3498" i="1"/>
  <c r="F3497" i="1"/>
  <c r="E3497" i="1"/>
  <c r="D3497" i="1"/>
  <c r="C3497" i="1"/>
  <c r="C3496" i="1"/>
  <c r="G3496" i="1" s="1"/>
  <c r="F3495" i="1"/>
  <c r="E3495" i="1"/>
  <c r="D3495" i="1"/>
  <c r="C3495" i="1"/>
  <c r="F3494" i="1"/>
  <c r="E3494" i="1"/>
  <c r="D3494" i="1"/>
  <c r="C3494" i="1"/>
  <c r="F3493" i="1"/>
  <c r="E3493" i="1"/>
  <c r="D3493" i="1"/>
  <c r="C3493" i="1"/>
  <c r="F3492" i="1"/>
  <c r="E3492" i="1"/>
  <c r="D3492" i="1"/>
  <c r="C3492" i="1"/>
  <c r="F3491" i="1"/>
  <c r="E3491" i="1"/>
  <c r="D3491" i="1"/>
  <c r="C3491" i="1"/>
  <c r="F3490" i="1"/>
  <c r="E3490" i="1"/>
  <c r="D3490" i="1"/>
  <c r="C3490" i="1"/>
  <c r="E3489" i="1"/>
  <c r="D3489" i="1"/>
  <c r="C3489" i="1"/>
  <c r="F3488" i="1"/>
  <c r="E3488" i="1"/>
  <c r="D3488" i="1"/>
  <c r="C3488" i="1"/>
  <c r="F3487" i="1"/>
  <c r="E3487" i="1"/>
  <c r="D3487" i="1"/>
  <c r="C3487" i="1"/>
  <c r="F3486" i="1"/>
  <c r="E3486" i="1"/>
  <c r="D3486" i="1"/>
  <c r="C3486" i="1"/>
  <c r="F3485" i="1"/>
  <c r="E3485" i="1"/>
  <c r="D3485" i="1"/>
  <c r="C3485" i="1"/>
  <c r="C3481" i="1"/>
  <c r="G3481" i="1" s="1"/>
  <c r="C3480" i="1"/>
  <c r="C3479" i="1"/>
  <c r="C3478" i="1"/>
  <c r="G3478" i="1" s="1"/>
  <c r="C3477" i="1"/>
  <c r="G3477" i="1" s="1"/>
  <c r="C3476" i="1"/>
  <c r="C3475" i="1"/>
  <c r="C3474" i="1"/>
  <c r="G3474" i="1" s="1"/>
  <c r="C3473" i="1"/>
  <c r="G3473" i="1" s="1"/>
  <c r="C3472" i="1"/>
  <c r="G3472" i="1" s="1"/>
  <c r="F3471" i="1"/>
  <c r="E3471" i="1"/>
  <c r="D3471" i="1"/>
  <c r="C3471" i="1"/>
  <c r="F3470" i="1"/>
  <c r="E3470" i="1"/>
  <c r="D3470" i="1"/>
  <c r="C3470" i="1"/>
  <c r="F3469" i="1"/>
  <c r="E3469" i="1"/>
  <c r="D3469" i="1"/>
  <c r="C3469" i="1"/>
  <c r="F3468" i="1"/>
  <c r="E3468" i="1"/>
  <c r="D3468" i="1"/>
  <c r="C3468" i="1"/>
  <c r="F3467" i="1"/>
  <c r="E3467" i="1"/>
  <c r="D3467" i="1"/>
  <c r="C3467" i="1"/>
  <c r="F3466" i="1"/>
  <c r="E3466" i="1"/>
  <c r="D3466" i="1"/>
  <c r="C3466" i="1"/>
  <c r="F3465" i="1"/>
  <c r="E3465" i="1"/>
  <c r="D3465" i="1"/>
  <c r="C3465" i="1"/>
  <c r="F3464" i="1"/>
  <c r="E3464" i="1"/>
  <c r="D3464" i="1"/>
  <c r="C3464" i="1"/>
  <c r="F3463" i="1"/>
  <c r="E3463" i="1"/>
  <c r="D3463" i="1"/>
  <c r="C3463" i="1"/>
  <c r="F3462" i="1"/>
  <c r="E3462" i="1"/>
  <c r="D3462" i="1"/>
  <c r="C3462" i="1"/>
  <c r="F3461" i="1"/>
  <c r="E3461" i="1"/>
  <c r="D3461" i="1"/>
  <c r="C3461" i="1"/>
  <c r="F3460" i="1"/>
  <c r="E3460" i="1"/>
  <c r="D3460" i="1"/>
  <c r="C3460" i="1"/>
  <c r="F3459" i="1"/>
  <c r="E3459" i="1"/>
  <c r="D3459" i="1"/>
  <c r="C3459" i="1"/>
  <c r="F3458" i="1"/>
  <c r="E3458" i="1"/>
  <c r="D3458" i="1"/>
  <c r="C3458" i="1"/>
  <c r="F3457" i="1"/>
  <c r="E3457" i="1"/>
  <c r="D3457" i="1"/>
  <c r="C3457" i="1"/>
  <c r="F3456" i="1"/>
  <c r="E3456" i="1"/>
  <c r="D3456" i="1"/>
  <c r="C3456" i="1"/>
  <c r="F3455" i="1"/>
  <c r="E3455" i="1"/>
  <c r="D3455" i="1"/>
  <c r="C3455" i="1"/>
  <c r="F3454" i="1"/>
  <c r="E3454" i="1"/>
  <c r="D3454" i="1"/>
  <c r="C3454" i="1"/>
  <c r="F3453" i="1"/>
  <c r="E3453" i="1"/>
  <c r="D3453" i="1"/>
  <c r="C3453" i="1"/>
  <c r="F3452" i="1"/>
  <c r="E3452" i="1"/>
  <c r="D3452" i="1"/>
  <c r="C3452" i="1"/>
  <c r="F3451" i="1"/>
  <c r="E3451" i="1"/>
  <c r="D3451" i="1"/>
  <c r="C3451" i="1"/>
  <c r="F3450" i="1"/>
  <c r="E3450" i="1"/>
  <c r="D3450" i="1"/>
  <c r="C3450" i="1"/>
  <c r="F3449" i="1"/>
  <c r="E3449" i="1"/>
  <c r="D3449" i="1"/>
  <c r="C3449" i="1"/>
  <c r="F3448" i="1"/>
  <c r="E3448" i="1"/>
  <c r="D3448" i="1"/>
  <c r="C3448" i="1"/>
  <c r="F3447" i="1"/>
  <c r="E3447" i="1"/>
  <c r="D3447" i="1"/>
  <c r="C3447" i="1"/>
  <c r="F3446" i="1"/>
  <c r="E3446" i="1"/>
  <c r="D3446" i="1"/>
  <c r="C3446" i="1"/>
  <c r="F3445" i="1"/>
  <c r="E3445" i="1"/>
  <c r="D3445" i="1"/>
  <c r="C3445" i="1"/>
  <c r="F3444" i="1"/>
  <c r="E3444" i="1"/>
  <c r="D3444" i="1"/>
  <c r="C3444" i="1"/>
  <c r="F3443" i="1"/>
  <c r="E3443" i="1"/>
  <c r="D3443" i="1"/>
  <c r="C3443" i="1"/>
  <c r="F3442" i="1"/>
  <c r="E3442" i="1"/>
  <c r="D3442" i="1"/>
  <c r="C3442" i="1"/>
  <c r="F3441" i="1"/>
  <c r="E3441" i="1"/>
  <c r="D3441" i="1"/>
  <c r="C3441" i="1"/>
  <c r="F3440" i="1"/>
  <c r="E3440" i="1"/>
  <c r="D3440" i="1"/>
  <c r="C3440" i="1"/>
  <c r="F3439" i="1"/>
  <c r="E3439" i="1"/>
  <c r="D3439" i="1"/>
  <c r="C3439" i="1"/>
  <c r="F3438" i="1"/>
  <c r="E3438" i="1"/>
  <c r="D3438" i="1"/>
  <c r="C3438" i="1"/>
  <c r="F3437" i="1"/>
  <c r="E3437" i="1"/>
  <c r="D3437" i="1"/>
  <c r="C3437" i="1"/>
  <c r="F3436" i="1"/>
  <c r="E3436" i="1"/>
  <c r="D3436" i="1"/>
  <c r="C3436" i="1"/>
  <c r="F3435" i="1"/>
  <c r="E3435" i="1"/>
  <c r="D3435" i="1"/>
  <c r="C3435" i="1"/>
  <c r="C3434" i="1"/>
  <c r="C3433" i="1"/>
  <c r="G3433" i="1" s="1"/>
  <c r="F3432" i="1"/>
  <c r="E3432" i="1"/>
  <c r="D3432" i="1"/>
  <c r="C3432" i="1"/>
  <c r="F3431" i="1"/>
  <c r="E3431" i="1"/>
  <c r="D3431" i="1"/>
  <c r="C3431" i="1"/>
  <c r="F3430" i="1"/>
  <c r="E3430" i="1"/>
  <c r="D3430" i="1"/>
  <c r="C3430" i="1"/>
  <c r="F3429" i="1"/>
  <c r="E3429" i="1"/>
  <c r="D3429" i="1"/>
  <c r="C3429" i="1"/>
  <c r="F3428" i="1"/>
  <c r="E3428" i="1"/>
  <c r="D3428" i="1"/>
  <c r="C3428" i="1"/>
  <c r="F3427" i="1"/>
  <c r="E3427" i="1"/>
  <c r="D3427" i="1"/>
  <c r="C3427" i="1"/>
  <c r="F3426" i="1"/>
  <c r="E3426" i="1"/>
  <c r="D3426" i="1"/>
  <c r="C3426" i="1"/>
  <c r="F3425" i="1"/>
  <c r="E3425" i="1"/>
  <c r="D3425" i="1"/>
  <c r="C3425" i="1"/>
  <c r="F3424" i="1"/>
  <c r="E3424" i="1"/>
  <c r="D3424" i="1"/>
  <c r="C3424" i="1"/>
  <c r="F3423" i="1"/>
  <c r="E3423" i="1"/>
  <c r="D3423" i="1"/>
  <c r="C3423" i="1"/>
  <c r="F3422" i="1"/>
  <c r="E3422" i="1"/>
  <c r="D3422" i="1"/>
  <c r="C3422" i="1"/>
  <c r="F3421" i="1"/>
  <c r="E3421" i="1"/>
  <c r="D3421" i="1"/>
  <c r="C3421" i="1"/>
  <c r="F3420" i="1"/>
  <c r="E3420" i="1"/>
  <c r="D3420" i="1"/>
  <c r="C3420" i="1"/>
  <c r="F3419" i="1"/>
  <c r="E3419" i="1"/>
  <c r="D3419" i="1"/>
  <c r="C3419" i="1"/>
  <c r="F3418" i="1"/>
  <c r="E3418" i="1"/>
  <c r="D3418" i="1"/>
  <c r="C3418" i="1"/>
  <c r="F3417" i="1"/>
  <c r="E3417" i="1"/>
  <c r="D3417" i="1"/>
  <c r="C3417" i="1"/>
  <c r="F3416" i="1"/>
  <c r="E3416" i="1"/>
  <c r="D3416" i="1"/>
  <c r="C3416" i="1"/>
  <c r="C3415" i="1"/>
  <c r="G3415" i="1" s="1"/>
  <c r="F3414" i="1"/>
  <c r="E3414" i="1"/>
  <c r="D3414" i="1"/>
  <c r="C3414" i="1"/>
  <c r="F3413" i="1"/>
  <c r="E3413" i="1"/>
  <c r="D3413" i="1"/>
  <c r="C3413" i="1"/>
  <c r="F3412" i="1"/>
  <c r="E3412" i="1"/>
  <c r="D3412" i="1"/>
  <c r="C3412" i="1"/>
  <c r="F3411" i="1"/>
  <c r="E3411" i="1"/>
  <c r="D3411" i="1"/>
  <c r="C3411" i="1"/>
  <c r="F3410" i="1"/>
  <c r="E3410" i="1"/>
  <c r="D3410" i="1"/>
  <c r="C3410" i="1"/>
  <c r="F3409" i="1"/>
  <c r="E3409" i="1"/>
  <c r="D3409" i="1"/>
  <c r="C3409" i="1"/>
  <c r="E3408" i="1"/>
  <c r="D3408" i="1"/>
  <c r="C3408" i="1"/>
  <c r="F3407" i="1"/>
  <c r="E3407" i="1"/>
  <c r="D3407" i="1"/>
  <c r="C3407" i="1"/>
  <c r="F3406" i="1"/>
  <c r="E3406" i="1"/>
  <c r="D3406" i="1"/>
  <c r="C3406" i="1"/>
  <c r="F3405" i="1"/>
  <c r="E3405" i="1"/>
  <c r="D3405" i="1"/>
  <c r="C3405" i="1"/>
  <c r="F3404" i="1"/>
  <c r="E3404" i="1"/>
  <c r="D3404" i="1"/>
  <c r="C3404" i="1"/>
  <c r="C3400" i="1"/>
  <c r="G3400" i="1" s="1"/>
  <c r="C3399" i="1"/>
  <c r="G3399" i="1" s="1"/>
  <c r="C3398" i="1"/>
  <c r="C3397" i="1"/>
  <c r="G3397" i="1" s="1"/>
  <c r="C3396" i="1"/>
  <c r="G3396" i="1" s="1"/>
  <c r="C3395" i="1"/>
  <c r="C3394" i="1"/>
  <c r="C3393" i="1"/>
  <c r="G3393" i="1" s="1"/>
  <c r="C3392" i="1"/>
  <c r="G3392" i="1" s="1"/>
  <c r="C3391" i="1"/>
  <c r="F3390" i="1"/>
  <c r="E3390" i="1"/>
  <c r="D3390" i="1"/>
  <c r="C3390" i="1"/>
  <c r="F3389" i="1"/>
  <c r="E3389" i="1"/>
  <c r="D3389" i="1"/>
  <c r="C3389" i="1"/>
  <c r="F3388" i="1"/>
  <c r="E3388" i="1"/>
  <c r="D3388" i="1"/>
  <c r="C3388" i="1"/>
  <c r="F3387" i="1"/>
  <c r="E3387" i="1"/>
  <c r="D3387" i="1"/>
  <c r="C3387" i="1"/>
  <c r="F3386" i="1"/>
  <c r="E3386" i="1"/>
  <c r="D3386" i="1"/>
  <c r="C3386" i="1"/>
  <c r="F3385" i="1"/>
  <c r="E3385" i="1"/>
  <c r="D3385" i="1"/>
  <c r="C3385" i="1"/>
  <c r="F3384" i="1"/>
  <c r="E3384" i="1"/>
  <c r="D3384" i="1"/>
  <c r="C3384" i="1"/>
  <c r="F3383" i="1"/>
  <c r="E3383" i="1"/>
  <c r="D3383" i="1"/>
  <c r="C3383" i="1"/>
  <c r="F3382" i="1"/>
  <c r="E3382" i="1"/>
  <c r="D3382" i="1"/>
  <c r="C3382" i="1"/>
  <c r="F3381" i="1"/>
  <c r="E3381" i="1"/>
  <c r="D3381" i="1"/>
  <c r="C3381" i="1"/>
  <c r="F3380" i="1"/>
  <c r="E3380" i="1"/>
  <c r="D3380" i="1"/>
  <c r="C3380" i="1"/>
  <c r="F3379" i="1"/>
  <c r="E3379" i="1"/>
  <c r="D3379" i="1"/>
  <c r="C3379" i="1"/>
  <c r="F3378" i="1"/>
  <c r="E3378" i="1"/>
  <c r="D3378" i="1"/>
  <c r="C3378" i="1"/>
  <c r="F3377" i="1"/>
  <c r="E3377" i="1"/>
  <c r="D3377" i="1"/>
  <c r="C3377" i="1"/>
  <c r="F3376" i="1"/>
  <c r="E3376" i="1"/>
  <c r="D3376" i="1"/>
  <c r="C3376" i="1"/>
  <c r="F3375" i="1"/>
  <c r="E3375" i="1"/>
  <c r="D3375" i="1"/>
  <c r="C3375" i="1"/>
  <c r="F3374" i="1"/>
  <c r="E3374" i="1"/>
  <c r="D3374" i="1"/>
  <c r="C3374" i="1"/>
  <c r="F3373" i="1"/>
  <c r="E3373" i="1"/>
  <c r="D3373" i="1"/>
  <c r="C3373" i="1"/>
  <c r="F3372" i="1"/>
  <c r="E3372" i="1"/>
  <c r="D3372" i="1"/>
  <c r="C3372" i="1"/>
  <c r="F3371" i="1"/>
  <c r="E3371" i="1"/>
  <c r="D3371" i="1"/>
  <c r="C3371" i="1"/>
  <c r="F3370" i="1"/>
  <c r="E3370" i="1"/>
  <c r="D3370" i="1"/>
  <c r="C3370" i="1"/>
  <c r="F3369" i="1"/>
  <c r="E3369" i="1"/>
  <c r="D3369" i="1"/>
  <c r="C3369" i="1"/>
  <c r="F3368" i="1"/>
  <c r="E3368" i="1"/>
  <c r="D3368" i="1"/>
  <c r="C3368" i="1"/>
  <c r="F3367" i="1"/>
  <c r="E3367" i="1"/>
  <c r="D3367" i="1"/>
  <c r="C3367" i="1"/>
  <c r="F3366" i="1"/>
  <c r="E3366" i="1"/>
  <c r="D3366" i="1"/>
  <c r="C3366" i="1"/>
  <c r="F3365" i="1"/>
  <c r="E3365" i="1"/>
  <c r="D3365" i="1"/>
  <c r="C3365" i="1"/>
  <c r="F3364" i="1"/>
  <c r="E3364" i="1"/>
  <c r="D3364" i="1"/>
  <c r="C3364" i="1"/>
  <c r="F3363" i="1"/>
  <c r="E3363" i="1"/>
  <c r="D3363" i="1"/>
  <c r="C3363" i="1"/>
  <c r="F3362" i="1"/>
  <c r="E3362" i="1"/>
  <c r="D3362" i="1"/>
  <c r="C3362" i="1"/>
  <c r="F3361" i="1"/>
  <c r="E3361" i="1"/>
  <c r="D3361" i="1"/>
  <c r="C3361" i="1"/>
  <c r="F3360" i="1"/>
  <c r="E3360" i="1"/>
  <c r="D3360" i="1"/>
  <c r="C3360" i="1"/>
  <c r="F3359" i="1"/>
  <c r="E3359" i="1"/>
  <c r="D3359" i="1"/>
  <c r="C3359" i="1"/>
  <c r="F3358" i="1"/>
  <c r="E3358" i="1"/>
  <c r="D3358" i="1"/>
  <c r="C3358" i="1"/>
  <c r="F3357" i="1"/>
  <c r="E3357" i="1"/>
  <c r="D3357" i="1"/>
  <c r="C3357" i="1"/>
  <c r="F3356" i="1"/>
  <c r="E3356" i="1"/>
  <c r="D3356" i="1"/>
  <c r="C3356" i="1"/>
  <c r="F3355" i="1"/>
  <c r="E3355" i="1"/>
  <c r="D3355" i="1"/>
  <c r="C3355" i="1"/>
  <c r="F3354" i="1"/>
  <c r="E3354" i="1"/>
  <c r="D3354" i="1"/>
  <c r="C3354" i="1"/>
  <c r="C3353" i="1"/>
  <c r="C3352" i="1"/>
  <c r="G3352" i="1" s="1"/>
  <c r="F3351" i="1"/>
  <c r="E3351" i="1"/>
  <c r="D3351" i="1"/>
  <c r="C3351" i="1"/>
  <c r="F3350" i="1"/>
  <c r="E3350" i="1"/>
  <c r="D3350" i="1"/>
  <c r="C3350" i="1"/>
  <c r="F3349" i="1"/>
  <c r="E3349" i="1"/>
  <c r="D3349" i="1"/>
  <c r="C3349" i="1"/>
  <c r="F3348" i="1"/>
  <c r="E3348" i="1"/>
  <c r="D3348" i="1"/>
  <c r="C3348" i="1"/>
  <c r="F3347" i="1"/>
  <c r="G3347" i="1" s="1"/>
  <c r="E3347" i="1"/>
  <c r="D3347" i="1"/>
  <c r="C3347" i="1"/>
  <c r="F3346" i="1"/>
  <c r="E3346" i="1"/>
  <c r="D3346" i="1"/>
  <c r="C3346" i="1"/>
  <c r="F3345" i="1"/>
  <c r="G3345" i="1" s="1"/>
  <c r="E3345" i="1"/>
  <c r="D3345" i="1"/>
  <c r="C3345" i="1"/>
  <c r="F3344" i="1"/>
  <c r="E3344" i="1"/>
  <c r="D3344" i="1"/>
  <c r="C3344" i="1"/>
  <c r="F3343" i="1"/>
  <c r="E3343" i="1"/>
  <c r="D3343" i="1"/>
  <c r="C3343" i="1"/>
  <c r="F3342" i="1"/>
  <c r="E3342" i="1"/>
  <c r="D3342" i="1"/>
  <c r="C3342" i="1"/>
  <c r="F3341" i="1"/>
  <c r="E3341" i="1"/>
  <c r="D3341" i="1"/>
  <c r="C3341" i="1"/>
  <c r="F3340" i="1"/>
  <c r="E3340" i="1"/>
  <c r="D3340" i="1"/>
  <c r="C3340" i="1"/>
  <c r="F3339" i="1"/>
  <c r="E3339" i="1"/>
  <c r="D3339" i="1"/>
  <c r="C3339" i="1"/>
  <c r="F3338" i="1"/>
  <c r="E3338" i="1"/>
  <c r="D3338" i="1"/>
  <c r="C3338" i="1"/>
  <c r="F3337" i="1"/>
  <c r="E3337" i="1"/>
  <c r="D3337" i="1"/>
  <c r="C3337" i="1"/>
  <c r="F3336" i="1"/>
  <c r="E3336" i="1"/>
  <c r="D3336" i="1"/>
  <c r="C3336" i="1"/>
  <c r="F3335" i="1"/>
  <c r="G3335" i="1" s="1"/>
  <c r="E3335" i="1"/>
  <c r="D3335" i="1"/>
  <c r="C3335" i="1"/>
  <c r="C3334" i="1"/>
  <c r="G3334" i="1" s="1"/>
  <c r="F3333" i="1"/>
  <c r="E3333" i="1"/>
  <c r="D3333" i="1"/>
  <c r="C3333" i="1"/>
  <c r="G3333" i="1" s="1"/>
  <c r="F3332" i="1"/>
  <c r="E3332" i="1"/>
  <c r="D3332" i="1"/>
  <c r="C3332" i="1"/>
  <c r="G3332" i="1" s="1"/>
  <c r="F3331" i="1"/>
  <c r="E3331" i="1"/>
  <c r="D3331" i="1"/>
  <c r="C3331" i="1"/>
  <c r="F3330" i="1"/>
  <c r="E3330" i="1"/>
  <c r="D3330" i="1"/>
  <c r="C3330" i="1"/>
  <c r="F3329" i="1"/>
  <c r="E3329" i="1"/>
  <c r="D3329" i="1"/>
  <c r="C3329" i="1"/>
  <c r="F3328" i="1"/>
  <c r="E3328" i="1"/>
  <c r="D3328" i="1"/>
  <c r="C3328" i="1"/>
  <c r="G3328" i="1" s="1"/>
  <c r="E3327" i="1"/>
  <c r="D3327" i="1"/>
  <c r="C3327" i="1"/>
  <c r="F3326" i="1"/>
  <c r="E3326" i="1"/>
  <c r="D3326" i="1"/>
  <c r="C3326" i="1"/>
  <c r="F3325" i="1"/>
  <c r="E3325" i="1"/>
  <c r="D3325" i="1"/>
  <c r="C3325" i="1"/>
  <c r="F3324" i="1"/>
  <c r="E3324" i="1"/>
  <c r="D3324" i="1"/>
  <c r="C3324" i="1"/>
  <c r="F3323" i="1"/>
  <c r="E3323" i="1"/>
  <c r="D3323" i="1"/>
  <c r="C3323" i="1"/>
  <c r="C3319" i="1"/>
  <c r="G3319" i="1" s="1"/>
  <c r="C3318" i="1"/>
  <c r="C3317" i="1"/>
  <c r="C3316" i="1"/>
  <c r="G3316" i="1" s="1"/>
  <c r="C3315" i="1"/>
  <c r="G3315" i="1" s="1"/>
  <c r="C3314" i="1"/>
  <c r="C3313" i="1"/>
  <c r="C3312" i="1"/>
  <c r="G3312" i="1" s="1"/>
  <c r="C3311" i="1"/>
  <c r="G3311" i="1" s="1"/>
  <c r="C3310" i="1"/>
  <c r="F3309" i="1"/>
  <c r="E3309" i="1"/>
  <c r="D3309" i="1"/>
  <c r="G3309" i="1" s="1"/>
  <c r="C3309" i="1"/>
  <c r="F3308" i="1"/>
  <c r="E3308" i="1"/>
  <c r="D3308" i="1"/>
  <c r="C3308" i="1"/>
  <c r="F3307" i="1"/>
  <c r="E3307" i="1"/>
  <c r="D3307" i="1"/>
  <c r="G3307" i="1" s="1"/>
  <c r="C3307" i="1"/>
  <c r="F3306" i="1"/>
  <c r="E3306" i="1"/>
  <c r="D3306" i="1"/>
  <c r="C3306" i="1"/>
  <c r="F3305" i="1"/>
  <c r="E3305" i="1"/>
  <c r="D3305" i="1"/>
  <c r="G3305" i="1" s="1"/>
  <c r="C3305" i="1"/>
  <c r="F3304" i="1"/>
  <c r="E3304" i="1"/>
  <c r="D3304" i="1"/>
  <c r="C3304" i="1"/>
  <c r="F3303" i="1"/>
  <c r="E3303" i="1"/>
  <c r="D3303" i="1"/>
  <c r="G3303" i="1" s="1"/>
  <c r="C3303" i="1"/>
  <c r="F3302" i="1"/>
  <c r="E3302" i="1"/>
  <c r="D3302" i="1"/>
  <c r="C3302" i="1"/>
  <c r="F3301" i="1"/>
  <c r="E3301" i="1"/>
  <c r="D3301" i="1"/>
  <c r="G3301" i="1" s="1"/>
  <c r="C3301" i="1"/>
  <c r="F3300" i="1"/>
  <c r="E3300" i="1"/>
  <c r="D3300" i="1"/>
  <c r="C3300" i="1"/>
  <c r="F3299" i="1"/>
  <c r="E3299" i="1"/>
  <c r="D3299" i="1"/>
  <c r="G3299" i="1" s="1"/>
  <c r="C3299" i="1"/>
  <c r="F3298" i="1"/>
  <c r="E3298" i="1"/>
  <c r="D3298" i="1"/>
  <c r="C3298" i="1"/>
  <c r="F3297" i="1"/>
  <c r="E3297" i="1"/>
  <c r="D3297" i="1"/>
  <c r="G3297" i="1" s="1"/>
  <c r="C3297" i="1"/>
  <c r="F3296" i="1"/>
  <c r="E3296" i="1"/>
  <c r="D3296" i="1"/>
  <c r="C3296" i="1"/>
  <c r="F3295" i="1"/>
  <c r="E3295" i="1"/>
  <c r="D3295" i="1"/>
  <c r="G3295" i="1" s="1"/>
  <c r="C3295" i="1"/>
  <c r="F3294" i="1"/>
  <c r="E3294" i="1"/>
  <c r="D3294" i="1"/>
  <c r="C3294" i="1"/>
  <c r="F3293" i="1"/>
  <c r="E3293" i="1"/>
  <c r="D3293" i="1"/>
  <c r="G3293" i="1" s="1"/>
  <c r="C3293" i="1"/>
  <c r="F3292" i="1"/>
  <c r="E3292" i="1"/>
  <c r="D3292" i="1"/>
  <c r="C3292" i="1"/>
  <c r="F3291" i="1"/>
  <c r="E3291" i="1"/>
  <c r="D3291" i="1"/>
  <c r="G3291" i="1" s="1"/>
  <c r="C3291" i="1"/>
  <c r="F3290" i="1"/>
  <c r="E3290" i="1"/>
  <c r="D3290" i="1"/>
  <c r="C3290" i="1"/>
  <c r="F3289" i="1"/>
  <c r="E3289" i="1"/>
  <c r="D3289" i="1"/>
  <c r="G3289" i="1" s="1"/>
  <c r="C3289" i="1"/>
  <c r="F3288" i="1"/>
  <c r="E3288" i="1"/>
  <c r="D3288" i="1"/>
  <c r="C3288" i="1"/>
  <c r="F3287" i="1"/>
  <c r="E3287" i="1"/>
  <c r="D3287" i="1"/>
  <c r="G3287" i="1" s="1"/>
  <c r="C3287" i="1"/>
  <c r="F3286" i="1"/>
  <c r="E3286" i="1"/>
  <c r="D3286" i="1"/>
  <c r="C3286" i="1"/>
  <c r="F3285" i="1"/>
  <c r="E3285" i="1"/>
  <c r="D3285" i="1"/>
  <c r="G3285" i="1" s="1"/>
  <c r="C3285" i="1"/>
  <c r="F3284" i="1"/>
  <c r="E3284" i="1"/>
  <c r="D3284" i="1"/>
  <c r="C3284" i="1"/>
  <c r="F3283" i="1"/>
  <c r="E3283" i="1"/>
  <c r="D3283" i="1"/>
  <c r="G3283" i="1" s="1"/>
  <c r="C3283" i="1"/>
  <c r="F3282" i="1"/>
  <c r="E3282" i="1"/>
  <c r="D3282" i="1"/>
  <c r="C3282" i="1"/>
  <c r="F3281" i="1"/>
  <c r="E3281" i="1"/>
  <c r="D3281" i="1"/>
  <c r="G3281" i="1" s="1"/>
  <c r="C3281" i="1"/>
  <c r="F3280" i="1"/>
  <c r="E3280" i="1"/>
  <c r="D3280" i="1"/>
  <c r="C3280" i="1"/>
  <c r="F3279" i="1"/>
  <c r="E3279" i="1"/>
  <c r="D3279" i="1"/>
  <c r="G3279" i="1" s="1"/>
  <c r="C3279" i="1"/>
  <c r="F3278" i="1"/>
  <c r="E3278" i="1"/>
  <c r="D3278" i="1"/>
  <c r="C3278" i="1"/>
  <c r="F3277" i="1"/>
  <c r="E3277" i="1"/>
  <c r="D3277" i="1"/>
  <c r="G3277" i="1" s="1"/>
  <c r="C3277" i="1"/>
  <c r="F3276" i="1"/>
  <c r="E3276" i="1"/>
  <c r="D3276" i="1"/>
  <c r="C3276" i="1"/>
  <c r="F3275" i="1"/>
  <c r="E3275" i="1"/>
  <c r="D3275" i="1"/>
  <c r="G3275" i="1" s="1"/>
  <c r="C3275" i="1"/>
  <c r="F3274" i="1"/>
  <c r="E3274" i="1"/>
  <c r="D3274" i="1"/>
  <c r="C3274" i="1"/>
  <c r="F3273" i="1"/>
  <c r="E3273" i="1"/>
  <c r="D3273" i="1"/>
  <c r="G3273" i="1" s="1"/>
  <c r="C3273" i="1"/>
  <c r="C3272" i="1"/>
  <c r="C3271" i="1"/>
  <c r="G3271" i="1" s="1"/>
  <c r="F3270" i="1"/>
  <c r="E3270" i="1"/>
  <c r="D3270" i="1"/>
  <c r="C3270" i="1"/>
  <c r="F3269" i="1"/>
  <c r="E3269" i="1"/>
  <c r="D3269" i="1"/>
  <c r="C3269" i="1"/>
  <c r="F3268" i="1"/>
  <c r="E3268" i="1"/>
  <c r="D3268" i="1"/>
  <c r="C3268" i="1"/>
  <c r="F3267" i="1"/>
  <c r="G3267" i="1" s="1"/>
  <c r="E3267" i="1"/>
  <c r="D3267" i="1"/>
  <c r="C3267" i="1"/>
  <c r="F3266" i="1"/>
  <c r="E3266" i="1"/>
  <c r="D3266" i="1"/>
  <c r="C3266" i="1"/>
  <c r="F3265" i="1"/>
  <c r="E3265" i="1"/>
  <c r="D3265" i="1"/>
  <c r="C3265" i="1"/>
  <c r="F3264" i="1"/>
  <c r="E3264" i="1"/>
  <c r="D3264" i="1"/>
  <c r="C3264" i="1"/>
  <c r="F3263" i="1"/>
  <c r="E3263" i="1"/>
  <c r="D3263" i="1"/>
  <c r="C3263" i="1"/>
  <c r="F3262" i="1"/>
  <c r="E3262" i="1"/>
  <c r="D3262" i="1"/>
  <c r="C3262" i="1"/>
  <c r="F3261" i="1"/>
  <c r="G3261" i="1" s="1"/>
  <c r="E3261" i="1"/>
  <c r="D3261" i="1"/>
  <c r="C3261" i="1"/>
  <c r="F3260" i="1"/>
  <c r="E3260" i="1"/>
  <c r="D3260" i="1"/>
  <c r="C3260" i="1"/>
  <c r="F3259" i="1"/>
  <c r="E3259" i="1"/>
  <c r="D3259" i="1"/>
  <c r="C3259" i="1"/>
  <c r="F3258" i="1"/>
  <c r="E3258" i="1"/>
  <c r="D3258" i="1"/>
  <c r="C3258" i="1"/>
  <c r="F3257" i="1"/>
  <c r="E3257" i="1"/>
  <c r="D3257" i="1"/>
  <c r="C3257" i="1"/>
  <c r="F3256" i="1"/>
  <c r="E3256" i="1"/>
  <c r="D3256" i="1"/>
  <c r="C3256" i="1"/>
  <c r="F3255" i="1"/>
  <c r="E3255" i="1"/>
  <c r="D3255" i="1"/>
  <c r="C3255" i="1"/>
  <c r="F3254" i="1"/>
  <c r="E3254" i="1"/>
  <c r="D3254" i="1"/>
  <c r="C3254" i="1"/>
  <c r="C3253" i="1"/>
  <c r="G3253" i="1" s="1"/>
  <c r="F3252" i="1"/>
  <c r="E3252" i="1"/>
  <c r="D3252" i="1"/>
  <c r="C3252" i="1"/>
  <c r="G3252" i="1" s="1"/>
  <c r="F3251" i="1"/>
  <c r="E3251" i="1"/>
  <c r="D3251" i="1"/>
  <c r="C3251" i="1"/>
  <c r="G3251" i="1" s="1"/>
  <c r="F3250" i="1"/>
  <c r="E3250" i="1"/>
  <c r="D3250" i="1"/>
  <c r="C3250" i="1"/>
  <c r="F3249" i="1"/>
  <c r="E3249" i="1"/>
  <c r="D3249" i="1"/>
  <c r="C3249" i="1"/>
  <c r="G3249" i="1" s="1"/>
  <c r="F3248" i="1"/>
  <c r="E3248" i="1"/>
  <c r="D3248" i="1"/>
  <c r="C3248" i="1"/>
  <c r="F3247" i="1"/>
  <c r="E3247" i="1"/>
  <c r="D3247" i="1"/>
  <c r="C3247" i="1"/>
  <c r="G3247" i="1" s="1"/>
  <c r="E3246" i="1"/>
  <c r="D3246" i="1"/>
  <c r="C3246" i="1"/>
  <c r="F3245" i="1"/>
  <c r="E3245" i="1"/>
  <c r="D3245" i="1"/>
  <c r="C3245" i="1"/>
  <c r="F3244" i="1"/>
  <c r="E3244" i="1"/>
  <c r="D3244" i="1"/>
  <c r="C3244" i="1"/>
  <c r="F3243" i="1"/>
  <c r="E3243" i="1"/>
  <c r="D3243" i="1"/>
  <c r="C3243" i="1"/>
  <c r="F3242" i="1"/>
  <c r="E3242" i="1"/>
  <c r="D3242" i="1"/>
  <c r="C3242" i="1"/>
  <c r="C3238" i="1"/>
  <c r="G3238" i="1" s="1"/>
  <c r="C3237" i="1"/>
  <c r="C3236" i="1"/>
  <c r="C3235" i="1"/>
  <c r="G3235" i="1" s="1"/>
  <c r="C3234" i="1"/>
  <c r="G3234" i="1" s="1"/>
  <c r="C3233" i="1"/>
  <c r="C3232" i="1"/>
  <c r="C3231" i="1"/>
  <c r="G3231" i="1" s="1"/>
  <c r="C3230" i="1"/>
  <c r="G3230" i="1" s="1"/>
  <c r="C3229" i="1"/>
  <c r="G3229" i="1" s="1"/>
  <c r="F3228" i="1"/>
  <c r="E3228" i="1"/>
  <c r="D3228" i="1"/>
  <c r="G3228" i="1" s="1"/>
  <c r="C3228" i="1"/>
  <c r="F3227" i="1"/>
  <c r="E3227" i="1"/>
  <c r="D3227" i="1"/>
  <c r="C3227" i="1"/>
  <c r="F3226" i="1"/>
  <c r="E3226" i="1"/>
  <c r="D3226" i="1"/>
  <c r="G3226" i="1" s="1"/>
  <c r="C3226" i="1"/>
  <c r="F3225" i="1"/>
  <c r="E3225" i="1"/>
  <c r="D3225" i="1"/>
  <c r="G3225" i="1" s="1"/>
  <c r="C3225" i="1"/>
  <c r="F3224" i="1"/>
  <c r="E3224" i="1"/>
  <c r="D3224" i="1"/>
  <c r="G3224" i="1" s="1"/>
  <c r="C3224" i="1"/>
  <c r="F3223" i="1"/>
  <c r="E3223" i="1"/>
  <c r="D3223" i="1"/>
  <c r="C3223" i="1"/>
  <c r="F3222" i="1"/>
  <c r="E3222" i="1"/>
  <c r="D3222" i="1"/>
  <c r="G3222" i="1" s="1"/>
  <c r="C3222" i="1"/>
  <c r="F3221" i="1"/>
  <c r="E3221" i="1"/>
  <c r="D3221" i="1"/>
  <c r="G3221" i="1" s="1"/>
  <c r="C3221" i="1"/>
  <c r="F3220" i="1"/>
  <c r="E3220" i="1"/>
  <c r="D3220" i="1"/>
  <c r="G3220" i="1" s="1"/>
  <c r="C3220" i="1"/>
  <c r="F3219" i="1"/>
  <c r="E3219" i="1"/>
  <c r="D3219" i="1"/>
  <c r="G3219" i="1" s="1"/>
  <c r="C3219" i="1"/>
  <c r="F3218" i="1"/>
  <c r="E3218" i="1"/>
  <c r="D3218" i="1"/>
  <c r="G3218" i="1" s="1"/>
  <c r="C3218" i="1"/>
  <c r="F3217" i="1"/>
  <c r="E3217" i="1"/>
  <c r="D3217" i="1"/>
  <c r="C3217" i="1"/>
  <c r="F3216" i="1"/>
  <c r="E3216" i="1"/>
  <c r="D3216" i="1"/>
  <c r="G3216" i="1" s="1"/>
  <c r="C3216" i="1"/>
  <c r="F3215" i="1"/>
  <c r="E3215" i="1"/>
  <c r="D3215" i="1"/>
  <c r="C3215" i="1"/>
  <c r="F3214" i="1"/>
  <c r="E3214" i="1"/>
  <c r="D3214" i="1"/>
  <c r="G3214" i="1" s="1"/>
  <c r="C3214" i="1"/>
  <c r="F3213" i="1"/>
  <c r="E3213" i="1"/>
  <c r="D3213" i="1"/>
  <c r="G3213" i="1" s="1"/>
  <c r="C3213" i="1"/>
  <c r="F3212" i="1"/>
  <c r="E3212" i="1"/>
  <c r="D3212" i="1"/>
  <c r="G3212" i="1" s="1"/>
  <c r="C3212" i="1"/>
  <c r="F3211" i="1"/>
  <c r="E3211" i="1"/>
  <c r="D3211" i="1"/>
  <c r="C3211" i="1"/>
  <c r="F3210" i="1"/>
  <c r="E3210" i="1"/>
  <c r="D3210" i="1"/>
  <c r="G3210" i="1" s="1"/>
  <c r="C3210" i="1"/>
  <c r="F3209" i="1"/>
  <c r="E3209" i="1"/>
  <c r="D3209" i="1"/>
  <c r="C3209" i="1"/>
  <c r="F3208" i="1"/>
  <c r="E3208" i="1"/>
  <c r="D3208" i="1"/>
  <c r="G3208" i="1" s="1"/>
  <c r="C3208" i="1"/>
  <c r="F3207" i="1"/>
  <c r="E3207" i="1"/>
  <c r="D3207" i="1"/>
  <c r="G3207" i="1" s="1"/>
  <c r="C3207" i="1"/>
  <c r="F3206" i="1"/>
  <c r="E3206" i="1"/>
  <c r="D3206" i="1"/>
  <c r="G3206" i="1" s="1"/>
  <c r="C3206" i="1"/>
  <c r="F3205" i="1"/>
  <c r="E3205" i="1"/>
  <c r="D3205" i="1"/>
  <c r="C3205" i="1"/>
  <c r="F3204" i="1"/>
  <c r="E3204" i="1"/>
  <c r="D3204" i="1"/>
  <c r="G3204" i="1" s="1"/>
  <c r="C3204" i="1"/>
  <c r="F3203" i="1"/>
  <c r="E3203" i="1"/>
  <c r="D3203" i="1"/>
  <c r="C3203" i="1"/>
  <c r="F3202" i="1"/>
  <c r="E3202" i="1"/>
  <c r="D3202" i="1"/>
  <c r="G3202" i="1" s="1"/>
  <c r="C3202" i="1"/>
  <c r="F3201" i="1"/>
  <c r="E3201" i="1"/>
  <c r="D3201" i="1"/>
  <c r="G3201" i="1" s="1"/>
  <c r="C3201" i="1"/>
  <c r="F3200" i="1"/>
  <c r="E3200" i="1"/>
  <c r="D3200" i="1"/>
  <c r="G3200" i="1" s="1"/>
  <c r="C3200" i="1"/>
  <c r="F3199" i="1"/>
  <c r="E3199" i="1"/>
  <c r="D3199" i="1"/>
  <c r="C3199" i="1"/>
  <c r="F3198" i="1"/>
  <c r="E3198" i="1"/>
  <c r="D3198" i="1"/>
  <c r="G3198" i="1" s="1"/>
  <c r="C3198" i="1"/>
  <c r="F3197" i="1"/>
  <c r="E3197" i="1"/>
  <c r="D3197" i="1"/>
  <c r="C3197" i="1"/>
  <c r="F3196" i="1"/>
  <c r="E3196" i="1"/>
  <c r="D3196" i="1"/>
  <c r="G3196" i="1" s="1"/>
  <c r="C3196" i="1"/>
  <c r="F3195" i="1"/>
  <c r="E3195" i="1"/>
  <c r="D3195" i="1"/>
  <c r="G3195" i="1" s="1"/>
  <c r="C3195" i="1"/>
  <c r="F3194" i="1"/>
  <c r="E3194" i="1"/>
  <c r="D3194" i="1"/>
  <c r="G3194" i="1" s="1"/>
  <c r="C3194" i="1"/>
  <c r="F3193" i="1"/>
  <c r="E3193" i="1"/>
  <c r="D3193" i="1"/>
  <c r="C3193" i="1"/>
  <c r="F3192" i="1"/>
  <c r="E3192" i="1"/>
  <c r="D3192" i="1"/>
  <c r="G3192" i="1" s="1"/>
  <c r="C3192" i="1"/>
  <c r="C3191" i="1"/>
  <c r="G3191" i="1" s="1"/>
  <c r="C3190" i="1"/>
  <c r="G3190" i="1" s="1"/>
  <c r="F3189" i="1"/>
  <c r="G3189" i="1" s="1"/>
  <c r="E3189" i="1"/>
  <c r="D3189" i="1"/>
  <c r="C3189" i="1"/>
  <c r="F3188" i="1"/>
  <c r="E3188" i="1"/>
  <c r="D3188" i="1"/>
  <c r="C3188" i="1"/>
  <c r="F3187" i="1"/>
  <c r="E3187" i="1"/>
  <c r="D3187" i="1"/>
  <c r="C3187" i="1"/>
  <c r="F3186" i="1"/>
  <c r="E3186" i="1"/>
  <c r="D3186" i="1"/>
  <c r="C3186" i="1"/>
  <c r="F3185" i="1"/>
  <c r="E3185" i="1"/>
  <c r="D3185" i="1"/>
  <c r="C3185" i="1"/>
  <c r="F3184" i="1"/>
  <c r="E3184" i="1"/>
  <c r="D3184" i="1"/>
  <c r="C3184" i="1"/>
  <c r="F3183" i="1"/>
  <c r="E3183" i="1"/>
  <c r="D3183" i="1"/>
  <c r="C3183" i="1"/>
  <c r="F3182" i="1"/>
  <c r="E3182" i="1"/>
  <c r="D3182" i="1"/>
  <c r="C3182" i="1"/>
  <c r="F3181" i="1"/>
  <c r="G3181" i="1" s="1"/>
  <c r="E3181" i="1"/>
  <c r="D3181" i="1"/>
  <c r="C3181" i="1"/>
  <c r="F3180" i="1"/>
  <c r="E3180" i="1"/>
  <c r="D3180" i="1"/>
  <c r="C3180" i="1"/>
  <c r="F3179" i="1"/>
  <c r="E3179" i="1"/>
  <c r="D3179" i="1"/>
  <c r="C3179" i="1"/>
  <c r="F3178" i="1"/>
  <c r="E3178" i="1"/>
  <c r="D3178" i="1"/>
  <c r="C3178" i="1"/>
  <c r="F3177" i="1"/>
  <c r="E3177" i="1"/>
  <c r="D3177" i="1"/>
  <c r="C3177" i="1"/>
  <c r="F3176" i="1"/>
  <c r="E3176" i="1"/>
  <c r="D3176" i="1"/>
  <c r="C3176" i="1"/>
  <c r="F3175" i="1"/>
  <c r="E3175" i="1"/>
  <c r="D3175" i="1"/>
  <c r="C3175" i="1"/>
  <c r="F3174" i="1"/>
  <c r="E3174" i="1"/>
  <c r="D3174" i="1"/>
  <c r="C3174" i="1"/>
  <c r="F3173" i="1"/>
  <c r="E3173" i="1"/>
  <c r="D3173" i="1"/>
  <c r="C3173" i="1"/>
  <c r="C3172" i="1"/>
  <c r="G3172" i="1" s="1"/>
  <c r="F3171" i="1"/>
  <c r="E3171" i="1"/>
  <c r="D3171" i="1"/>
  <c r="C3171" i="1"/>
  <c r="F3170" i="1"/>
  <c r="E3170" i="1"/>
  <c r="D3170" i="1"/>
  <c r="C3170" i="1"/>
  <c r="G3170" i="1" s="1"/>
  <c r="F3169" i="1"/>
  <c r="E3169" i="1"/>
  <c r="D3169" i="1"/>
  <c r="C3169" i="1"/>
  <c r="G3169" i="1" s="1"/>
  <c r="F3168" i="1"/>
  <c r="E3168" i="1"/>
  <c r="D3168" i="1"/>
  <c r="C3168" i="1"/>
  <c r="G3168" i="1" s="1"/>
  <c r="F3167" i="1"/>
  <c r="E3167" i="1"/>
  <c r="D3167" i="1"/>
  <c r="C3167" i="1"/>
  <c r="F3166" i="1"/>
  <c r="E3166" i="1"/>
  <c r="D3166" i="1"/>
  <c r="C3166" i="1"/>
  <c r="E3165" i="1"/>
  <c r="D3165" i="1"/>
  <c r="C3165" i="1"/>
  <c r="F3164" i="1"/>
  <c r="E3164" i="1"/>
  <c r="D3164" i="1"/>
  <c r="C3164" i="1"/>
  <c r="F3163" i="1"/>
  <c r="E3163" i="1"/>
  <c r="D3163" i="1"/>
  <c r="C3163" i="1"/>
  <c r="F3162" i="1"/>
  <c r="E3162" i="1"/>
  <c r="D3162" i="1"/>
  <c r="C3162" i="1"/>
  <c r="F3161" i="1"/>
  <c r="E3161" i="1"/>
  <c r="D3161" i="1"/>
  <c r="C3161" i="1"/>
  <c r="C3157" i="1"/>
  <c r="G3157" i="1" s="1"/>
  <c r="C3156" i="1"/>
  <c r="G3156" i="1" s="1"/>
  <c r="C3155" i="1"/>
  <c r="C3154" i="1"/>
  <c r="G3154" i="1" s="1"/>
  <c r="C3153" i="1"/>
  <c r="G3153" i="1" s="1"/>
  <c r="C3152" i="1"/>
  <c r="C3151" i="1"/>
  <c r="C3150" i="1"/>
  <c r="G3150" i="1" s="1"/>
  <c r="C3149" i="1"/>
  <c r="G3149" i="1" s="1"/>
  <c r="C3148" i="1"/>
  <c r="F3147" i="1"/>
  <c r="E3147" i="1"/>
  <c r="D3147" i="1"/>
  <c r="G3147" i="1" s="1"/>
  <c r="C3147" i="1"/>
  <c r="F3146" i="1"/>
  <c r="E3146" i="1"/>
  <c r="D3146" i="1"/>
  <c r="G3146" i="1" s="1"/>
  <c r="C3146" i="1"/>
  <c r="F3145" i="1"/>
  <c r="E3145" i="1"/>
  <c r="D3145" i="1"/>
  <c r="G3145" i="1" s="1"/>
  <c r="C3145" i="1"/>
  <c r="F3144" i="1"/>
  <c r="E3144" i="1"/>
  <c r="D3144" i="1"/>
  <c r="C3144" i="1"/>
  <c r="F3143" i="1"/>
  <c r="E3143" i="1"/>
  <c r="D3143" i="1"/>
  <c r="G3143" i="1" s="1"/>
  <c r="C3143" i="1"/>
  <c r="F3142" i="1"/>
  <c r="E3142" i="1"/>
  <c r="D3142" i="1"/>
  <c r="C3142" i="1"/>
  <c r="F3141" i="1"/>
  <c r="E3141" i="1"/>
  <c r="D3141" i="1"/>
  <c r="G3141" i="1" s="1"/>
  <c r="C3141" i="1"/>
  <c r="F3140" i="1"/>
  <c r="E3140" i="1"/>
  <c r="D3140" i="1"/>
  <c r="G3140" i="1" s="1"/>
  <c r="C3140" i="1"/>
  <c r="F3139" i="1"/>
  <c r="E3139" i="1"/>
  <c r="D3139" i="1"/>
  <c r="G3139" i="1" s="1"/>
  <c r="C3139" i="1"/>
  <c r="F3138" i="1"/>
  <c r="E3138" i="1"/>
  <c r="D3138" i="1"/>
  <c r="C3138" i="1"/>
  <c r="F3137" i="1"/>
  <c r="E3137" i="1"/>
  <c r="D3137" i="1"/>
  <c r="G3137" i="1" s="1"/>
  <c r="C3137" i="1"/>
  <c r="F3136" i="1"/>
  <c r="E3136" i="1"/>
  <c r="D3136" i="1"/>
  <c r="C3136" i="1"/>
  <c r="F3135" i="1"/>
  <c r="E3135" i="1"/>
  <c r="D3135" i="1"/>
  <c r="G3135" i="1" s="1"/>
  <c r="C3135" i="1"/>
  <c r="F3134" i="1"/>
  <c r="E3134" i="1"/>
  <c r="D3134" i="1"/>
  <c r="G3134" i="1" s="1"/>
  <c r="C3134" i="1"/>
  <c r="F3133" i="1"/>
  <c r="E3133" i="1"/>
  <c r="D3133" i="1"/>
  <c r="G3133" i="1" s="1"/>
  <c r="C3133" i="1"/>
  <c r="F3132" i="1"/>
  <c r="E3132" i="1"/>
  <c r="D3132" i="1"/>
  <c r="C3132" i="1"/>
  <c r="F3131" i="1"/>
  <c r="E3131" i="1"/>
  <c r="D3131" i="1"/>
  <c r="G3131" i="1" s="1"/>
  <c r="C3131" i="1"/>
  <c r="F3130" i="1"/>
  <c r="E3130" i="1"/>
  <c r="D3130" i="1"/>
  <c r="C3130" i="1"/>
  <c r="F3129" i="1"/>
  <c r="E3129" i="1"/>
  <c r="D3129" i="1"/>
  <c r="G3129" i="1" s="1"/>
  <c r="C3129" i="1"/>
  <c r="F3128" i="1"/>
  <c r="E3128" i="1"/>
  <c r="D3128" i="1"/>
  <c r="G3128" i="1" s="1"/>
  <c r="C3128" i="1"/>
  <c r="F3127" i="1"/>
  <c r="E3127" i="1"/>
  <c r="D3127" i="1"/>
  <c r="G3127" i="1" s="1"/>
  <c r="C3127" i="1"/>
  <c r="F3126" i="1"/>
  <c r="E3126" i="1"/>
  <c r="D3126" i="1"/>
  <c r="C3126" i="1"/>
  <c r="F3125" i="1"/>
  <c r="E3125" i="1"/>
  <c r="D3125" i="1"/>
  <c r="G3125" i="1" s="1"/>
  <c r="C3125" i="1"/>
  <c r="F3124" i="1"/>
  <c r="E3124" i="1"/>
  <c r="D3124" i="1"/>
  <c r="C3124" i="1"/>
  <c r="F3123" i="1"/>
  <c r="E3123" i="1"/>
  <c r="D3123" i="1"/>
  <c r="G3123" i="1" s="1"/>
  <c r="C3123" i="1"/>
  <c r="F3122" i="1"/>
  <c r="E3122" i="1"/>
  <c r="D3122" i="1"/>
  <c r="G3122" i="1" s="1"/>
  <c r="C3122" i="1"/>
  <c r="F3121" i="1"/>
  <c r="E3121" i="1"/>
  <c r="D3121" i="1"/>
  <c r="G3121" i="1" s="1"/>
  <c r="C3121" i="1"/>
  <c r="F3120" i="1"/>
  <c r="E3120" i="1"/>
  <c r="D3120" i="1"/>
  <c r="C3120" i="1"/>
  <c r="F3119" i="1"/>
  <c r="E3119" i="1"/>
  <c r="D3119" i="1"/>
  <c r="G3119" i="1" s="1"/>
  <c r="C3119" i="1"/>
  <c r="F3118" i="1"/>
  <c r="E3118" i="1"/>
  <c r="D3118" i="1"/>
  <c r="C3118" i="1"/>
  <c r="F3117" i="1"/>
  <c r="E3117" i="1"/>
  <c r="D3117" i="1"/>
  <c r="G3117" i="1" s="1"/>
  <c r="C3117" i="1"/>
  <c r="F3116" i="1"/>
  <c r="E3116" i="1"/>
  <c r="D3116" i="1"/>
  <c r="G3116" i="1" s="1"/>
  <c r="C3116" i="1"/>
  <c r="F3115" i="1"/>
  <c r="E3115" i="1"/>
  <c r="D3115" i="1"/>
  <c r="G3115" i="1" s="1"/>
  <c r="C3115" i="1"/>
  <c r="F3114" i="1"/>
  <c r="E3114" i="1"/>
  <c r="D3114" i="1"/>
  <c r="C3114" i="1"/>
  <c r="F3113" i="1"/>
  <c r="E3113" i="1"/>
  <c r="D3113" i="1"/>
  <c r="G3113" i="1" s="1"/>
  <c r="C3113" i="1"/>
  <c r="F3112" i="1"/>
  <c r="E3112" i="1"/>
  <c r="D3112" i="1"/>
  <c r="C3112" i="1"/>
  <c r="F3111" i="1"/>
  <c r="E3111" i="1"/>
  <c r="D3111" i="1"/>
  <c r="G3111" i="1" s="1"/>
  <c r="C3111" i="1"/>
  <c r="C3110" i="1"/>
  <c r="C3109" i="1"/>
  <c r="G3109" i="1" s="1"/>
  <c r="F3108" i="1"/>
  <c r="G3108" i="1" s="1"/>
  <c r="E3108" i="1"/>
  <c r="D3108" i="1"/>
  <c r="C3108" i="1"/>
  <c r="F3107" i="1"/>
  <c r="E3107" i="1"/>
  <c r="D3107" i="1"/>
  <c r="C3107" i="1"/>
  <c r="F3106" i="1"/>
  <c r="E3106" i="1"/>
  <c r="D3106" i="1"/>
  <c r="C3106" i="1"/>
  <c r="F3105" i="1"/>
  <c r="E3105" i="1"/>
  <c r="D3105" i="1"/>
  <c r="C3105" i="1"/>
  <c r="F3104" i="1"/>
  <c r="E3104" i="1"/>
  <c r="D3104" i="1"/>
  <c r="C3104" i="1"/>
  <c r="F3103" i="1"/>
  <c r="E3103" i="1"/>
  <c r="D3103" i="1"/>
  <c r="C3103" i="1"/>
  <c r="F3102" i="1"/>
  <c r="E3102" i="1"/>
  <c r="D3102" i="1"/>
  <c r="C3102" i="1"/>
  <c r="F3101" i="1"/>
  <c r="E3101" i="1"/>
  <c r="D3101" i="1"/>
  <c r="C3101" i="1"/>
  <c r="F3100" i="1"/>
  <c r="E3100" i="1"/>
  <c r="D3100" i="1"/>
  <c r="C3100" i="1"/>
  <c r="F3099" i="1"/>
  <c r="E3099" i="1"/>
  <c r="D3099" i="1"/>
  <c r="C3099" i="1"/>
  <c r="F3098" i="1"/>
  <c r="G3098" i="1" s="1"/>
  <c r="E3098" i="1"/>
  <c r="D3098" i="1"/>
  <c r="C3098" i="1"/>
  <c r="F3097" i="1"/>
  <c r="G3097" i="1" s="1"/>
  <c r="E3097" i="1"/>
  <c r="D3097" i="1"/>
  <c r="C3097" i="1"/>
  <c r="F3096" i="1"/>
  <c r="E3096" i="1"/>
  <c r="D3096" i="1"/>
  <c r="C3096" i="1"/>
  <c r="F3095" i="1"/>
  <c r="G3095" i="1" s="1"/>
  <c r="E3095" i="1"/>
  <c r="D3095" i="1"/>
  <c r="C3095" i="1"/>
  <c r="F3094" i="1"/>
  <c r="E3094" i="1"/>
  <c r="D3094" i="1"/>
  <c r="C3094" i="1"/>
  <c r="F3093" i="1"/>
  <c r="E3093" i="1"/>
  <c r="D3093" i="1"/>
  <c r="C3093" i="1"/>
  <c r="F3092" i="1"/>
  <c r="G3092" i="1" s="1"/>
  <c r="E3092" i="1"/>
  <c r="D3092" i="1"/>
  <c r="C3092" i="1"/>
  <c r="C3091" i="1"/>
  <c r="G3091" i="1" s="1"/>
  <c r="F3090" i="1"/>
  <c r="E3090" i="1"/>
  <c r="D3090" i="1"/>
  <c r="C3090" i="1"/>
  <c r="G3090" i="1" s="1"/>
  <c r="F3089" i="1"/>
  <c r="E3089" i="1"/>
  <c r="D3089" i="1"/>
  <c r="C3089" i="1"/>
  <c r="G3089" i="1" s="1"/>
  <c r="F3088" i="1"/>
  <c r="E3088" i="1"/>
  <c r="D3088" i="1"/>
  <c r="C3088" i="1"/>
  <c r="F3087" i="1"/>
  <c r="E3087" i="1"/>
  <c r="D3087" i="1"/>
  <c r="C3087" i="1"/>
  <c r="F3086" i="1"/>
  <c r="E3086" i="1"/>
  <c r="D3086" i="1"/>
  <c r="C3086" i="1"/>
  <c r="F3085" i="1"/>
  <c r="E3085" i="1"/>
  <c r="D3085" i="1"/>
  <c r="C3085" i="1"/>
  <c r="G3085" i="1" s="1"/>
  <c r="E3084" i="1"/>
  <c r="D3084" i="1"/>
  <c r="C3084" i="1"/>
  <c r="F3083" i="1"/>
  <c r="E3083" i="1"/>
  <c r="D3083" i="1"/>
  <c r="C3083" i="1"/>
  <c r="F3082" i="1"/>
  <c r="G3082" i="1" s="1"/>
  <c r="E3082" i="1"/>
  <c r="D3082" i="1"/>
  <c r="C3082" i="1"/>
  <c r="F3081" i="1"/>
  <c r="E3081" i="1"/>
  <c r="D3081" i="1"/>
  <c r="C3081" i="1"/>
  <c r="F3080" i="1"/>
  <c r="E3080" i="1"/>
  <c r="D3080" i="1"/>
  <c r="C3080" i="1"/>
  <c r="C3076" i="1"/>
  <c r="G3076" i="1" s="1"/>
  <c r="C3075" i="1"/>
  <c r="C3074" i="1"/>
  <c r="C3073" i="1"/>
  <c r="G3073" i="1" s="1"/>
  <c r="C3072" i="1"/>
  <c r="G3072" i="1" s="1"/>
  <c r="C3071" i="1"/>
  <c r="C3070" i="1"/>
  <c r="C3069" i="1"/>
  <c r="G3069" i="1" s="1"/>
  <c r="C3068" i="1"/>
  <c r="G3068" i="1" s="1"/>
  <c r="C3067" i="1"/>
  <c r="F3066" i="1"/>
  <c r="E3066" i="1"/>
  <c r="D3066" i="1"/>
  <c r="G3066" i="1" s="1"/>
  <c r="C3066" i="1"/>
  <c r="F3065" i="1"/>
  <c r="E3065" i="1"/>
  <c r="D3065" i="1"/>
  <c r="C3065" i="1"/>
  <c r="F3064" i="1"/>
  <c r="E3064" i="1"/>
  <c r="D3064" i="1"/>
  <c r="G3064" i="1" s="1"/>
  <c r="C3064" i="1"/>
  <c r="F3063" i="1"/>
  <c r="E3063" i="1"/>
  <c r="D3063" i="1"/>
  <c r="G3063" i="1" s="1"/>
  <c r="C3063" i="1"/>
  <c r="F3062" i="1"/>
  <c r="E3062" i="1"/>
  <c r="D3062" i="1"/>
  <c r="G3062" i="1" s="1"/>
  <c r="C3062" i="1"/>
  <c r="F3061" i="1"/>
  <c r="E3061" i="1"/>
  <c r="D3061" i="1"/>
  <c r="G3061" i="1" s="1"/>
  <c r="C3061" i="1"/>
  <c r="F3060" i="1"/>
  <c r="E3060" i="1"/>
  <c r="D3060" i="1"/>
  <c r="G3060" i="1" s="1"/>
  <c r="C3060" i="1"/>
  <c r="F3059" i="1"/>
  <c r="E3059" i="1"/>
  <c r="D3059" i="1"/>
  <c r="C3059" i="1"/>
  <c r="F3058" i="1"/>
  <c r="E3058" i="1"/>
  <c r="D3058" i="1"/>
  <c r="G3058" i="1" s="1"/>
  <c r="C3058" i="1"/>
  <c r="F3057" i="1"/>
  <c r="E3057" i="1"/>
  <c r="D3057" i="1"/>
  <c r="C3057" i="1"/>
  <c r="F3056" i="1"/>
  <c r="E3056" i="1"/>
  <c r="D3056" i="1"/>
  <c r="G3056" i="1" s="1"/>
  <c r="C3056" i="1"/>
  <c r="F3055" i="1"/>
  <c r="E3055" i="1"/>
  <c r="D3055" i="1"/>
  <c r="G3055" i="1" s="1"/>
  <c r="C3055" i="1"/>
  <c r="F3054" i="1"/>
  <c r="E3054" i="1"/>
  <c r="D3054" i="1"/>
  <c r="G3054" i="1" s="1"/>
  <c r="C3054" i="1"/>
  <c r="F3053" i="1"/>
  <c r="E3053" i="1"/>
  <c r="D3053" i="1"/>
  <c r="C3053" i="1"/>
  <c r="F3052" i="1"/>
  <c r="E3052" i="1"/>
  <c r="D3052" i="1"/>
  <c r="G3052" i="1" s="1"/>
  <c r="C3052" i="1"/>
  <c r="F3051" i="1"/>
  <c r="E3051" i="1"/>
  <c r="D3051" i="1"/>
  <c r="C3051" i="1"/>
  <c r="F3050" i="1"/>
  <c r="E3050" i="1"/>
  <c r="D3050" i="1"/>
  <c r="G3050" i="1" s="1"/>
  <c r="C3050" i="1"/>
  <c r="F3049" i="1"/>
  <c r="E3049" i="1"/>
  <c r="D3049" i="1"/>
  <c r="G3049" i="1" s="1"/>
  <c r="C3049" i="1"/>
  <c r="F3048" i="1"/>
  <c r="E3048" i="1"/>
  <c r="D3048" i="1"/>
  <c r="G3048" i="1" s="1"/>
  <c r="C3048" i="1"/>
  <c r="F3047" i="1"/>
  <c r="E3047" i="1"/>
  <c r="D3047" i="1"/>
  <c r="C3047" i="1"/>
  <c r="F3046" i="1"/>
  <c r="E3046" i="1"/>
  <c r="D3046" i="1"/>
  <c r="G3046" i="1" s="1"/>
  <c r="C3046" i="1"/>
  <c r="F3045" i="1"/>
  <c r="E3045" i="1"/>
  <c r="D3045" i="1"/>
  <c r="C3045" i="1"/>
  <c r="F3044" i="1"/>
  <c r="E3044" i="1"/>
  <c r="D3044" i="1"/>
  <c r="G3044" i="1" s="1"/>
  <c r="C3044" i="1"/>
  <c r="F3043" i="1"/>
  <c r="E3043" i="1"/>
  <c r="D3043" i="1"/>
  <c r="G3043" i="1" s="1"/>
  <c r="C3043" i="1"/>
  <c r="F3042" i="1"/>
  <c r="E3042" i="1"/>
  <c r="D3042" i="1"/>
  <c r="G3042" i="1" s="1"/>
  <c r="C3042" i="1"/>
  <c r="F3041" i="1"/>
  <c r="E3041" i="1"/>
  <c r="D3041" i="1"/>
  <c r="C3041" i="1"/>
  <c r="F3040" i="1"/>
  <c r="E3040" i="1"/>
  <c r="D3040" i="1"/>
  <c r="G3040" i="1" s="1"/>
  <c r="C3040" i="1"/>
  <c r="F3039" i="1"/>
  <c r="E3039" i="1"/>
  <c r="D3039" i="1"/>
  <c r="C3039" i="1"/>
  <c r="F3038" i="1"/>
  <c r="E3038" i="1"/>
  <c r="D3038" i="1"/>
  <c r="G3038" i="1" s="1"/>
  <c r="C3038" i="1"/>
  <c r="F3037" i="1"/>
  <c r="E3037" i="1"/>
  <c r="D3037" i="1"/>
  <c r="G3037" i="1" s="1"/>
  <c r="C3037" i="1"/>
  <c r="F3036" i="1"/>
  <c r="E3036" i="1"/>
  <c r="D3036" i="1"/>
  <c r="G3036" i="1" s="1"/>
  <c r="C3036" i="1"/>
  <c r="F3035" i="1"/>
  <c r="E3035" i="1"/>
  <c r="D3035" i="1"/>
  <c r="C3035" i="1"/>
  <c r="F3034" i="1"/>
  <c r="E3034" i="1"/>
  <c r="D3034" i="1"/>
  <c r="G3034" i="1" s="1"/>
  <c r="C3034" i="1"/>
  <c r="F3033" i="1"/>
  <c r="E3033" i="1"/>
  <c r="D3033" i="1"/>
  <c r="C3033" i="1"/>
  <c r="F3032" i="1"/>
  <c r="E3032" i="1"/>
  <c r="D3032" i="1"/>
  <c r="G3032" i="1" s="1"/>
  <c r="C3032" i="1"/>
  <c r="F3031" i="1"/>
  <c r="E3031" i="1"/>
  <c r="D3031" i="1"/>
  <c r="G3031" i="1" s="1"/>
  <c r="C3031" i="1"/>
  <c r="F3030" i="1"/>
  <c r="E3030" i="1"/>
  <c r="D3030" i="1"/>
  <c r="G3030" i="1" s="1"/>
  <c r="C3030" i="1"/>
  <c r="C3029" i="1"/>
  <c r="C3028" i="1"/>
  <c r="G3028" i="1" s="1"/>
  <c r="F3027" i="1"/>
  <c r="E3027" i="1"/>
  <c r="D3027" i="1"/>
  <c r="C3027" i="1"/>
  <c r="F3026" i="1"/>
  <c r="E3026" i="1"/>
  <c r="D3026" i="1"/>
  <c r="C3026" i="1"/>
  <c r="F3025" i="1"/>
  <c r="G3025" i="1" s="1"/>
  <c r="E3025" i="1"/>
  <c r="D3025" i="1"/>
  <c r="C3025" i="1"/>
  <c r="F3024" i="1"/>
  <c r="E3024" i="1"/>
  <c r="D3024" i="1"/>
  <c r="C3024" i="1"/>
  <c r="F3023" i="1"/>
  <c r="E3023" i="1"/>
  <c r="D3023" i="1"/>
  <c r="C3023" i="1"/>
  <c r="F3022" i="1"/>
  <c r="E3022" i="1"/>
  <c r="D3022" i="1"/>
  <c r="C3022" i="1"/>
  <c r="F3021" i="1"/>
  <c r="E3021" i="1"/>
  <c r="D3021" i="1"/>
  <c r="C3021" i="1"/>
  <c r="F3020" i="1"/>
  <c r="E3020" i="1"/>
  <c r="D3020" i="1"/>
  <c r="C3020" i="1"/>
  <c r="F3019" i="1"/>
  <c r="E3019" i="1"/>
  <c r="D3019" i="1"/>
  <c r="C3019" i="1"/>
  <c r="F3018" i="1"/>
  <c r="G3018" i="1" s="1"/>
  <c r="E3018" i="1"/>
  <c r="D3018" i="1"/>
  <c r="C3018" i="1"/>
  <c r="F3017" i="1"/>
  <c r="G3017" i="1" s="1"/>
  <c r="E3017" i="1"/>
  <c r="D3017" i="1"/>
  <c r="C3017" i="1"/>
  <c r="F3016" i="1"/>
  <c r="E3016" i="1"/>
  <c r="D3016" i="1"/>
  <c r="C3016" i="1"/>
  <c r="F3015" i="1"/>
  <c r="E3015" i="1"/>
  <c r="D3015" i="1"/>
  <c r="C3015" i="1"/>
  <c r="F3014" i="1"/>
  <c r="E3014" i="1"/>
  <c r="D3014" i="1"/>
  <c r="C3014" i="1"/>
  <c r="F3013" i="1"/>
  <c r="E3013" i="1"/>
  <c r="D3013" i="1"/>
  <c r="C3013" i="1"/>
  <c r="F3012" i="1"/>
  <c r="E3012" i="1"/>
  <c r="D3012" i="1"/>
  <c r="C3012" i="1"/>
  <c r="F3011" i="1"/>
  <c r="E3011" i="1"/>
  <c r="D3011" i="1"/>
  <c r="C3011" i="1"/>
  <c r="C3010" i="1"/>
  <c r="G3010" i="1" s="1"/>
  <c r="F3009" i="1"/>
  <c r="E3009" i="1"/>
  <c r="D3009" i="1"/>
  <c r="C3009" i="1"/>
  <c r="F3008" i="1"/>
  <c r="E3008" i="1"/>
  <c r="D3008" i="1"/>
  <c r="C3008" i="1"/>
  <c r="F3007" i="1"/>
  <c r="E3007" i="1"/>
  <c r="D3007" i="1"/>
  <c r="C3007" i="1"/>
  <c r="G3007" i="1" s="1"/>
  <c r="F3006" i="1"/>
  <c r="E3006" i="1"/>
  <c r="D3006" i="1"/>
  <c r="C3006" i="1"/>
  <c r="G3006" i="1" s="1"/>
  <c r="F3005" i="1"/>
  <c r="E3005" i="1"/>
  <c r="D3005" i="1"/>
  <c r="C3005" i="1"/>
  <c r="G3005" i="1" s="1"/>
  <c r="F3004" i="1"/>
  <c r="E3004" i="1"/>
  <c r="D3004" i="1"/>
  <c r="C3004" i="1"/>
  <c r="G3004" i="1" s="1"/>
  <c r="E3003" i="1"/>
  <c r="D3003" i="1"/>
  <c r="C3003" i="1"/>
  <c r="F3002" i="1"/>
  <c r="E3002" i="1"/>
  <c r="D3002" i="1"/>
  <c r="C3002" i="1"/>
  <c r="F3001" i="1"/>
  <c r="E3001" i="1"/>
  <c r="D3001" i="1"/>
  <c r="C3001" i="1"/>
  <c r="F3000" i="1"/>
  <c r="E3000" i="1"/>
  <c r="D3000" i="1"/>
  <c r="C3000" i="1"/>
  <c r="F2999" i="1"/>
  <c r="G2999" i="1" s="1"/>
  <c r="E2999" i="1"/>
  <c r="D2999" i="1"/>
  <c r="C2999" i="1"/>
  <c r="C2995" i="1"/>
  <c r="G2995" i="1" s="1"/>
  <c r="C2994" i="1"/>
  <c r="C2993" i="1"/>
  <c r="C2992" i="1"/>
  <c r="G2992" i="1" s="1"/>
  <c r="C2991" i="1"/>
  <c r="G2991" i="1" s="1"/>
  <c r="C2990" i="1"/>
  <c r="C2989" i="1"/>
  <c r="C2988" i="1"/>
  <c r="G2988" i="1" s="1"/>
  <c r="C2987" i="1"/>
  <c r="G2987" i="1" s="1"/>
  <c r="C2986" i="1"/>
  <c r="G2986" i="1" s="1"/>
  <c r="F2985" i="1"/>
  <c r="E2985" i="1"/>
  <c r="D2985" i="1"/>
  <c r="G2985" i="1" s="1"/>
  <c r="C2985" i="1"/>
  <c r="F2984" i="1"/>
  <c r="E2984" i="1"/>
  <c r="D2984" i="1"/>
  <c r="C2984" i="1"/>
  <c r="F2983" i="1"/>
  <c r="E2983" i="1"/>
  <c r="D2983" i="1"/>
  <c r="G2983" i="1" s="1"/>
  <c r="C2983" i="1"/>
  <c r="F2982" i="1"/>
  <c r="E2982" i="1"/>
  <c r="D2982" i="1"/>
  <c r="G2982" i="1" s="1"/>
  <c r="C2982" i="1"/>
  <c r="F2981" i="1"/>
  <c r="E2981" i="1"/>
  <c r="D2981" i="1"/>
  <c r="G2981" i="1" s="1"/>
  <c r="C2981" i="1"/>
  <c r="F2980" i="1"/>
  <c r="E2980" i="1"/>
  <c r="D2980" i="1"/>
  <c r="C2980" i="1"/>
  <c r="F2979" i="1"/>
  <c r="E2979" i="1"/>
  <c r="D2979" i="1"/>
  <c r="G2979" i="1" s="1"/>
  <c r="C2979" i="1"/>
  <c r="F2978" i="1"/>
  <c r="E2978" i="1"/>
  <c r="D2978" i="1"/>
  <c r="C2978" i="1"/>
  <c r="F2977" i="1"/>
  <c r="E2977" i="1"/>
  <c r="D2977" i="1"/>
  <c r="G2977" i="1" s="1"/>
  <c r="C2977" i="1"/>
  <c r="F2976" i="1"/>
  <c r="E2976" i="1"/>
  <c r="D2976" i="1"/>
  <c r="G2976" i="1" s="1"/>
  <c r="C2976" i="1"/>
  <c r="F2975" i="1"/>
  <c r="E2975" i="1"/>
  <c r="D2975" i="1"/>
  <c r="G2975" i="1" s="1"/>
  <c r="C2975" i="1"/>
  <c r="F2974" i="1"/>
  <c r="E2974" i="1"/>
  <c r="D2974" i="1"/>
  <c r="C2974" i="1"/>
  <c r="F2973" i="1"/>
  <c r="E2973" i="1"/>
  <c r="D2973" i="1"/>
  <c r="G2973" i="1" s="1"/>
  <c r="C2973" i="1"/>
  <c r="F2972" i="1"/>
  <c r="E2972" i="1"/>
  <c r="D2972" i="1"/>
  <c r="C2972" i="1"/>
  <c r="F2971" i="1"/>
  <c r="E2971" i="1"/>
  <c r="D2971" i="1"/>
  <c r="G2971" i="1" s="1"/>
  <c r="C2971" i="1"/>
  <c r="F2970" i="1"/>
  <c r="E2970" i="1"/>
  <c r="D2970" i="1"/>
  <c r="G2970" i="1" s="1"/>
  <c r="C2970" i="1"/>
  <c r="F2969" i="1"/>
  <c r="E2969" i="1"/>
  <c r="D2969" i="1"/>
  <c r="G2969" i="1" s="1"/>
  <c r="C2969" i="1"/>
  <c r="F2968" i="1"/>
  <c r="E2968" i="1"/>
  <c r="D2968" i="1"/>
  <c r="C2968" i="1"/>
  <c r="F2967" i="1"/>
  <c r="E2967" i="1"/>
  <c r="D2967" i="1"/>
  <c r="G2967" i="1" s="1"/>
  <c r="C2967" i="1"/>
  <c r="F2966" i="1"/>
  <c r="E2966" i="1"/>
  <c r="D2966" i="1"/>
  <c r="C2966" i="1"/>
  <c r="F2965" i="1"/>
  <c r="E2965" i="1"/>
  <c r="D2965" i="1"/>
  <c r="G2965" i="1" s="1"/>
  <c r="C2965" i="1"/>
  <c r="F2964" i="1"/>
  <c r="E2964" i="1"/>
  <c r="D2964" i="1"/>
  <c r="G2964" i="1" s="1"/>
  <c r="C2964" i="1"/>
  <c r="F2963" i="1"/>
  <c r="E2963" i="1"/>
  <c r="D2963" i="1"/>
  <c r="G2963" i="1" s="1"/>
  <c r="C2963" i="1"/>
  <c r="F2962" i="1"/>
  <c r="E2962" i="1"/>
  <c r="D2962" i="1"/>
  <c r="C2962" i="1"/>
  <c r="F2961" i="1"/>
  <c r="E2961" i="1"/>
  <c r="D2961" i="1"/>
  <c r="G2961" i="1" s="1"/>
  <c r="C2961" i="1"/>
  <c r="F2960" i="1"/>
  <c r="E2960" i="1"/>
  <c r="D2960" i="1"/>
  <c r="C2960" i="1"/>
  <c r="F2959" i="1"/>
  <c r="E2959" i="1"/>
  <c r="D2959" i="1"/>
  <c r="G2959" i="1" s="1"/>
  <c r="C2959" i="1"/>
  <c r="F2958" i="1"/>
  <c r="E2958" i="1"/>
  <c r="D2958" i="1"/>
  <c r="G2958" i="1" s="1"/>
  <c r="C2958" i="1"/>
  <c r="F2957" i="1"/>
  <c r="E2957" i="1"/>
  <c r="D2957" i="1"/>
  <c r="G2957" i="1" s="1"/>
  <c r="C2957" i="1"/>
  <c r="F2956" i="1"/>
  <c r="E2956" i="1"/>
  <c r="D2956" i="1"/>
  <c r="C2956" i="1"/>
  <c r="F2955" i="1"/>
  <c r="E2955" i="1"/>
  <c r="D2955" i="1"/>
  <c r="G2955" i="1" s="1"/>
  <c r="C2955" i="1"/>
  <c r="F2954" i="1"/>
  <c r="E2954" i="1"/>
  <c r="D2954" i="1"/>
  <c r="C2954" i="1"/>
  <c r="F2953" i="1"/>
  <c r="E2953" i="1"/>
  <c r="D2953" i="1"/>
  <c r="G2953" i="1" s="1"/>
  <c r="C2953" i="1"/>
  <c r="F2952" i="1"/>
  <c r="E2952" i="1"/>
  <c r="D2952" i="1"/>
  <c r="G2952" i="1" s="1"/>
  <c r="C2952" i="1"/>
  <c r="F2951" i="1"/>
  <c r="E2951" i="1"/>
  <c r="D2951" i="1"/>
  <c r="G2951" i="1" s="1"/>
  <c r="C2951" i="1"/>
  <c r="F2950" i="1"/>
  <c r="E2950" i="1"/>
  <c r="D2950" i="1"/>
  <c r="C2950" i="1"/>
  <c r="F2949" i="1"/>
  <c r="E2949" i="1"/>
  <c r="D2949" i="1"/>
  <c r="G2949" i="1" s="1"/>
  <c r="C2949" i="1"/>
  <c r="C2948" i="1"/>
  <c r="C2947" i="1"/>
  <c r="G2947" i="1" s="1"/>
  <c r="F2946" i="1"/>
  <c r="E2946" i="1"/>
  <c r="D2946" i="1"/>
  <c r="C2946" i="1"/>
  <c r="F2945" i="1"/>
  <c r="E2945" i="1"/>
  <c r="D2945" i="1"/>
  <c r="C2945" i="1"/>
  <c r="F2944" i="1"/>
  <c r="E2944" i="1"/>
  <c r="D2944" i="1"/>
  <c r="C2944" i="1"/>
  <c r="F2943" i="1"/>
  <c r="G2943" i="1" s="1"/>
  <c r="E2943" i="1"/>
  <c r="D2943" i="1"/>
  <c r="C2943" i="1"/>
  <c r="F2942" i="1"/>
  <c r="E2942" i="1"/>
  <c r="D2942" i="1"/>
  <c r="C2942" i="1"/>
  <c r="F2941" i="1"/>
  <c r="E2941" i="1"/>
  <c r="D2941" i="1"/>
  <c r="C2941" i="1"/>
  <c r="F2940" i="1"/>
  <c r="E2940" i="1"/>
  <c r="D2940" i="1"/>
  <c r="C2940" i="1"/>
  <c r="F2939" i="1"/>
  <c r="E2939" i="1"/>
  <c r="D2939" i="1"/>
  <c r="C2939" i="1"/>
  <c r="F2938" i="1"/>
  <c r="G2938" i="1" s="1"/>
  <c r="E2938" i="1"/>
  <c r="D2938" i="1"/>
  <c r="C2938" i="1"/>
  <c r="F2937" i="1"/>
  <c r="E2937" i="1"/>
  <c r="D2937" i="1"/>
  <c r="C2937" i="1"/>
  <c r="F2936" i="1"/>
  <c r="E2936" i="1"/>
  <c r="D2936" i="1"/>
  <c r="C2936" i="1"/>
  <c r="F2935" i="1"/>
  <c r="E2935" i="1"/>
  <c r="D2935" i="1"/>
  <c r="C2935" i="1"/>
  <c r="F2934" i="1"/>
  <c r="E2934" i="1"/>
  <c r="D2934" i="1"/>
  <c r="C2934" i="1"/>
  <c r="F2933" i="1"/>
  <c r="E2933" i="1"/>
  <c r="D2933" i="1"/>
  <c r="C2933" i="1"/>
  <c r="F2932" i="1"/>
  <c r="G2932" i="1" s="1"/>
  <c r="E2932" i="1"/>
  <c r="D2932" i="1"/>
  <c r="C2932" i="1"/>
  <c r="F2931" i="1"/>
  <c r="E2931" i="1"/>
  <c r="D2931" i="1"/>
  <c r="C2931" i="1"/>
  <c r="F2930" i="1"/>
  <c r="E2930" i="1"/>
  <c r="D2930" i="1"/>
  <c r="C2930" i="1"/>
  <c r="C2929" i="1"/>
  <c r="G2929" i="1" s="1"/>
  <c r="F2928" i="1"/>
  <c r="E2928" i="1"/>
  <c r="D2928" i="1"/>
  <c r="C2928" i="1"/>
  <c r="F2927" i="1"/>
  <c r="E2927" i="1"/>
  <c r="D2927" i="1"/>
  <c r="C2927" i="1"/>
  <c r="G2927" i="1" s="1"/>
  <c r="F2926" i="1"/>
  <c r="E2926" i="1"/>
  <c r="D2926" i="1"/>
  <c r="C2926" i="1"/>
  <c r="G2926" i="1" s="1"/>
  <c r="F2925" i="1"/>
  <c r="E2925" i="1"/>
  <c r="D2925" i="1"/>
  <c r="C2925" i="1"/>
  <c r="G2925" i="1" s="1"/>
  <c r="F2924" i="1"/>
  <c r="E2924" i="1"/>
  <c r="D2924" i="1"/>
  <c r="C2924" i="1"/>
  <c r="F2923" i="1"/>
  <c r="E2923" i="1"/>
  <c r="D2923" i="1"/>
  <c r="C2923" i="1"/>
  <c r="E2922" i="1"/>
  <c r="D2922" i="1"/>
  <c r="C2922" i="1"/>
  <c r="F2921" i="1"/>
  <c r="G2921" i="1" s="1"/>
  <c r="E2921" i="1"/>
  <c r="D2921" i="1"/>
  <c r="C2921" i="1"/>
  <c r="F2920" i="1"/>
  <c r="E2920" i="1"/>
  <c r="D2920" i="1"/>
  <c r="C2920" i="1"/>
  <c r="F2919" i="1"/>
  <c r="E2919" i="1"/>
  <c r="D2919" i="1"/>
  <c r="C2919" i="1"/>
  <c r="F2918" i="1"/>
  <c r="E2918" i="1"/>
  <c r="D2918" i="1"/>
  <c r="C2918" i="1"/>
  <c r="C2914" i="1"/>
  <c r="G2914" i="1" s="1"/>
  <c r="C2913" i="1"/>
  <c r="G2913" i="1" s="1"/>
  <c r="C2912" i="1"/>
  <c r="C2911" i="1"/>
  <c r="G2911" i="1" s="1"/>
  <c r="C2910" i="1"/>
  <c r="G2910" i="1" s="1"/>
  <c r="C2909" i="1"/>
  <c r="C2908" i="1"/>
  <c r="G2908" i="1" s="1"/>
  <c r="C2907" i="1"/>
  <c r="G2907" i="1" s="1"/>
  <c r="C2906" i="1"/>
  <c r="G2906" i="1" s="1"/>
  <c r="C2905" i="1"/>
  <c r="F2904" i="1"/>
  <c r="E2904" i="1"/>
  <c r="D2904" i="1"/>
  <c r="G2904" i="1" s="1"/>
  <c r="C2904" i="1"/>
  <c r="F2903" i="1"/>
  <c r="E2903" i="1"/>
  <c r="D2903" i="1"/>
  <c r="G2903" i="1" s="1"/>
  <c r="C2903" i="1"/>
  <c r="F2902" i="1"/>
  <c r="E2902" i="1"/>
  <c r="D2902" i="1"/>
  <c r="G2902" i="1" s="1"/>
  <c r="C2902" i="1"/>
  <c r="F2901" i="1"/>
  <c r="E2901" i="1"/>
  <c r="D2901" i="1"/>
  <c r="C2901" i="1"/>
  <c r="F2900" i="1"/>
  <c r="E2900" i="1"/>
  <c r="D2900" i="1"/>
  <c r="G2900" i="1" s="1"/>
  <c r="C2900" i="1"/>
  <c r="F2899" i="1"/>
  <c r="E2899" i="1"/>
  <c r="D2899" i="1"/>
  <c r="C2899" i="1"/>
  <c r="F2898" i="1"/>
  <c r="E2898" i="1"/>
  <c r="D2898" i="1"/>
  <c r="G2898" i="1" s="1"/>
  <c r="C2898" i="1"/>
  <c r="F2897" i="1"/>
  <c r="E2897" i="1"/>
  <c r="D2897" i="1"/>
  <c r="G2897" i="1" s="1"/>
  <c r="C2897" i="1"/>
  <c r="F2896" i="1"/>
  <c r="E2896" i="1"/>
  <c r="D2896" i="1"/>
  <c r="G2896" i="1" s="1"/>
  <c r="C2896" i="1"/>
  <c r="F2895" i="1"/>
  <c r="E2895" i="1"/>
  <c r="D2895" i="1"/>
  <c r="C2895" i="1"/>
  <c r="F2894" i="1"/>
  <c r="E2894" i="1"/>
  <c r="D2894" i="1"/>
  <c r="G2894" i="1" s="1"/>
  <c r="C2894" i="1"/>
  <c r="F2893" i="1"/>
  <c r="E2893" i="1"/>
  <c r="D2893" i="1"/>
  <c r="C2893" i="1"/>
  <c r="F2892" i="1"/>
  <c r="E2892" i="1"/>
  <c r="D2892" i="1"/>
  <c r="G2892" i="1" s="1"/>
  <c r="C2892" i="1"/>
  <c r="F2891" i="1"/>
  <c r="E2891" i="1"/>
  <c r="D2891" i="1"/>
  <c r="G2891" i="1" s="1"/>
  <c r="C2891" i="1"/>
  <c r="F2890" i="1"/>
  <c r="E2890" i="1"/>
  <c r="D2890" i="1"/>
  <c r="G2890" i="1" s="1"/>
  <c r="C2890" i="1"/>
  <c r="F2889" i="1"/>
  <c r="E2889" i="1"/>
  <c r="D2889" i="1"/>
  <c r="C2889" i="1"/>
  <c r="F2888" i="1"/>
  <c r="E2888" i="1"/>
  <c r="D2888" i="1"/>
  <c r="G2888" i="1" s="1"/>
  <c r="C2888" i="1"/>
  <c r="F2887" i="1"/>
  <c r="E2887" i="1"/>
  <c r="D2887" i="1"/>
  <c r="C2887" i="1"/>
  <c r="F2886" i="1"/>
  <c r="E2886" i="1"/>
  <c r="D2886" i="1"/>
  <c r="G2886" i="1" s="1"/>
  <c r="C2886" i="1"/>
  <c r="F2885" i="1"/>
  <c r="E2885" i="1"/>
  <c r="D2885" i="1"/>
  <c r="G2885" i="1" s="1"/>
  <c r="C2885" i="1"/>
  <c r="F2884" i="1"/>
  <c r="E2884" i="1"/>
  <c r="D2884" i="1"/>
  <c r="G2884" i="1" s="1"/>
  <c r="C2884" i="1"/>
  <c r="F2883" i="1"/>
  <c r="E2883" i="1"/>
  <c r="D2883" i="1"/>
  <c r="C2883" i="1"/>
  <c r="F2882" i="1"/>
  <c r="E2882" i="1"/>
  <c r="D2882" i="1"/>
  <c r="G2882" i="1" s="1"/>
  <c r="C2882" i="1"/>
  <c r="F2881" i="1"/>
  <c r="E2881" i="1"/>
  <c r="D2881" i="1"/>
  <c r="C2881" i="1"/>
  <c r="F2880" i="1"/>
  <c r="E2880" i="1"/>
  <c r="D2880" i="1"/>
  <c r="G2880" i="1" s="1"/>
  <c r="C2880" i="1"/>
  <c r="F2879" i="1"/>
  <c r="E2879" i="1"/>
  <c r="D2879" i="1"/>
  <c r="G2879" i="1" s="1"/>
  <c r="C2879" i="1"/>
  <c r="F2878" i="1"/>
  <c r="E2878" i="1"/>
  <c r="D2878" i="1"/>
  <c r="G2878" i="1" s="1"/>
  <c r="C2878" i="1"/>
  <c r="F2877" i="1"/>
  <c r="E2877" i="1"/>
  <c r="D2877" i="1"/>
  <c r="C2877" i="1"/>
  <c r="F2876" i="1"/>
  <c r="E2876" i="1"/>
  <c r="D2876" i="1"/>
  <c r="G2876" i="1" s="1"/>
  <c r="C2876" i="1"/>
  <c r="F2875" i="1"/>
  <c r="E2875" i="1"/>
  <c r="D2875" i="1"/>
  <c r="C2875" i="1"/>
  <c r="F2874" i="1"/>
  <c r="E2874" i="1"/>
  <c r="D2874" i="1"/>
  <c r="G2874" i="1" s="1"/>
  <c r="C2874" i="1"/>
  <c r="F2873" i="1"/>
  <c r="E2873" i="1"/>
  <c r="D2873" i="1"/>
  <c r="G2873" i="1" s="1"/>
  <c r="C2873" i="1"/>
  <c r="F2872" i="1"/>
  <c r="E2872" i="1"/>
  <c r="D2872" i="1"/>
  <c r="G2872" i="1" s="1"/>
  <c r="C2872" i="1"/>
  <c r="F2871" i="1"/>
  <c r="E2871" i="1"/>
  <c r="D2871" i="1"/>
  <c r="C2871" i="1"/>
  <c r="F2870" i="1"/>
  <c r="E2870" i="1"/>
  <c r="D2870" i="1"/>
  <c r="G2870" i="1" s="1"/>
  <c r="C2870" i="1"/>
  <c r="F2869" i="1"/>
  <c r="E2869" i="1"/>
  <c r="D2869" i="1"/>
  <c r="C2869" i="1"/>
  <c r="F2868" i="1"/>
  <c r="E2868" i="1"/>
  <c r="D2868" i="1"/>
  <c r="G2868" i="1" s="1"/>
  <c r="C2868" i="1"/>
  <c r="C2867" i="1"/>
  <c r="C2866" i="1"/>
  <c r="G2866" i="1" s="1"/>
  <c r="F2865" i="1"/>
  <c r="G2865" i="1" s="1"/>
  <c r="E2865" i="1"/>
  <c r="D2865" i="1"/>
  <c r="C2865" i="1"/>
  <c r="F2864" i="1"/>
  <c r="G2864" i="1" s="1"/>
  <c r="E2864" i="1"/>
  <c r="D2864" i="1"/>
  <c r="C2864" i="1"/>
  <c r="F2863" i="1"/>
  <c r="E2863" i="1"/>
  <c r="D2863" i="1"/>
  <c r="C2863" i="1"/>
  <c r="F2862" i="1"/>
  <c r="E2862" i="1"/>
  <c r="D2862" i="1"/>
  <c r="C2862" i="1"/>
  <c r="F2861" i="1"/>
  <c r="E2861" i="1"/>
  <c r="D2861" i="1"/>
  <c r="C2861" i="1"/>
  <c r="F2860" i="1"/>
  <c r="E2860" i="1"/>
  <c r="D2860" i="1"/>
  <c r="C2860" i="1"/>
  <c r="F2859" i="1"/>
  <c r="E2859" i="1"/>
  <c r="D2859" i="1"/>
  <c r="C2859" i="1"/>
  <c r="F2858" i="1"/>
  <c r="E2858" i="1"/>
  <c r="D2858" i="1"/>
  <c r="C2858" i="1"/>
  <c r="F2857" i="1"/>
  <c r="E2857" i="1"/>
  <c r="D2857" i="1"/>
  <c r="C2857" i="1"/>
  <c r="F2856" i="1"/>
  <c r="E2856" i="1"/>
  <c r="D2856" i="1"/>
  <c r="C2856" i="1"/>
  <c r="F2855" i="1"/>
  <c r="G2855" i="1" s="1"/>
  <c r="E2855" i="1"/>
  <c r="D2855" i="1"/>
  <c r="C2855" i="1"/>
  <c r="F2854" i="1"/>
  <c r="E2854" i="1"/>
  <c r="D2854" i="1"/>
  <c r="C2854" i="1"/>
  <c r="F2853" i="1"/>
  <c r="E2853" i="1"/>
  <c r="D2853" i="1"/>
  <c r="C2853" i="1"/>
  <c r="F2852" i="1"/>
  <c r="G2852" i="1" s="1"/>
  <c r="E2852" i="1"/>
  <c r="D2852" i="1"/>
  <c r="C2852" i="1"/>
  <c r="F2851" i="1"/>
  <c r="E2851" i="1"/>
  <c r="D2851" i="1"/>
  <c r="C2851" i="1"/>
  <c r="F2850" i="1"/>
  <c r="E2850" i="1"/>
  <c r="D2850" i="1"/>
  <c r="C2850" i="1"/>
  <c r="F2849" i="1"/>
  <c r="G2849" i="1" s="1"/>
  <c r="E2849" i="1"/>
  <c r="D2849" i="1"/>
  <c r="C2849" i="1"/>
  <c r="C2848" i="1"/>
  <c r="G2848" i="1" s="1"/>
  <c r="F2847" i="1"/>
  <c r="E2847" i="1"/>
  <c r="D2847" i="1"/>
  <c r="C2847" i="1"/>
  <c r="G2847" i="1" s="1"/>
  <c r="F2846" i="1"/>
  <c r="E2846" i="1"/>
  <c r="D2846" i="1"/>
  <c r="C2846" i="1"/>
  <c r="G2846" i="1" s="1"/>
  <c r="F2845" i="1"/>
  <c r="E2845" i="1"/>
  <c r="D2845" i="1"/>
  <c r="C2845" i="1"/>
  <c r="F2844" i="1"/>
  <c r="E2844" i="1"/>
  <c r="D2844" i="1"/>
  <c r="C2844" i="1"/>
  <c r="F2843" i="1"/>
  <c r="E2843" i="1"/>
  <c r="D2843" i="1"/>
  <c r="C2843" i="1"/>
  <c r="F2842" i="1"/>
  <c r="E2842" i="1"/>
  <c r="D2842" i="1"/>
  <c r="C2842" i="1"/>
  <c r="G2842" i="1" s="1"/>
  <c r="E2841" i="1"/>
  <c r="D2841" i="1"/>
  <c r="C2841" i="1"/>
  <c r="F2840" i="1"/>
  <c r="E2840" i="1"/>
  <c r="D2840" i="1"/>
  <c r="C2840" i="1"/>
  <c r="F2839" i="1"/>
  <c r="G2839" i="1" s="1"/>
  <c r="E2839" i="1"/>
  <c r="D2839" i="1"/>
  <c r="C2839" i="1"/>
  <c r="F2838" i="1"/>
  <c r="E2838" i="1"/>
  <c r="D2838" i="1"/>
  <c r="C2838" i="1"/>
  <c r="F2837" i="1"/>
  <c r="E2837" i="1"/>
  <c r="D2837" i="1"/>
  <c r="C2837" i="1"/>
  <c r="C2833" i="1"/>
  <c r="G2833" i="1" s="1"/>
  <c r="C2832" i="1"/>
  <c r="C2831" i="1"/>
  <c r="C2830" i="1"/>
  <c r="G2830" i="1" s="1"/>
  <c r="C2829" i="1"/>
  <c r="G2829" i="1" s="1"/>
  <c r="C2828" i="1"/>
  <c r="C2827" i="1"/>
  <c r="C2826" i="1"/>
  <c r="G2826" i="1" s="1"/>
  <c r="C2825" i="1"/>
  <c r="G2825" i="1" s="1"/>
  <c r="C2824" i="1"/>
  <c r="F2823" i="1"/>
  <c r="E2823" i="1"/>
  <c r="D2823" i="1"/>
  <c r="G2823" i="1" s="1"/>
  <c r="C2823" i="1"/>
  <c r="F2822" i="1"/>
  <c r="E2822" i="1"/>
  <c r="D2822" i="1"/>
  <c r="C2822" i="1"/>
  <c r="F2821" i="1"/>
  <c r="E2821" i="1"/>
  <c r="D2821" i="1"/>
  <c r="G2821" i="1" s="1"/>
  <c r="C2821" i="1"/>
  <c r="F2820" i="1"/>
  <c r="E2820" i="1"/>
  <c r="D2820" i="1"/>
  <c r="C2820" i="1"/>
  <c r="F2819" i="1"/>
  <c r="E2819" i="1"/>
  <c r="D2819" i="1"/>
  <c r="G2819" i="1" s="1"/>
  <c r="C2819" i="1"/>
  <c r="F2818" i="1"/>
  <c r="E2818" i="1"/>
  <c r="D2818" i="1"/>
  <c r="G2818" i="1" s="1"/>
  <c r="C2818" i="1"/>
  <c r="F2817" i="1"/>
  <c r="E2817" i="1"/>
  <c r="D2817" i="1"/>
  <c r="G2817" i="1" s="1"/>
  <c r="C2817" i="1"/>
  <c r="F2816" i="1"/>
  <c r="E2816" i="1"/>
  <c r="D2816" i="1"/>
  <c r="C2816" i="1"/>
  <c r="F2815" i="1"/>
  <c r="E2815" i="1"/>
  <c r="D2815" i="1"/>
  <c r="G2815" i="1" s="1"/>
  <c r="C2815" i="1"/>
  <c r="F2814" i="1"/>
  <c r="E2814" i="1"/>
  <c r="D2814" i="1"/>
  <c r="C2814" i="1"/>
  <c r="F2813" i="1"/>
  <c r="E2813" i="1"/>
  <c r="D2813" i="1"/>
  <c r="G2813" i="1" s="1"/>
  <c r="C2813" i="1"/>
  <c r="F2812" i="1"/>
  <c r="E2812" i="1"/>
  <c r="D2812" i="1"/>
  <c r="G2812" i="1" s="1"/>
  <c r="C2812" i="1"/>
  <c r="F2811" i="1"/>
  <c r="E2811" i="1"/>
  <c r="D2811" i="1"/>
  <c r="G2811" i="1" s="1"/>
  <c r="C2811" i="1"/>
  <c r="F2810" i="1"/>
  <c r="E2810" i="1"/>
  <c r="D2810" i="1"/>
  <c r="C2810" i="1"/>
  <c r="F2809" i="1"/>
  <c r="E2809" i="1"/>
  <c r="D2809" i="1"/>
  <c r="G2809" i="1" s="1"/>
  <c r="C2809" i="1"/>
  <c r="F2808" i="1"/>
  <c r="E2808" i="1"/>
  <c r="D2808" i="1"/>
  <c r="C2808" i="1"/>
  <c r="F2807" i="1"/>
  <c r="E2807" i="1"/>
  <c r="D2807" i="1"/>
  <c r="G2807" i="1" s="1"/>
  <c r="C2807" i="1"/>
  <c r="F2806" i="1"/>
  <c r="E2806" i="1"/>
  <c r="D2806" i="1"/>
  <c r="G2806" i="1" s="1"/>
  <c r="C2806" i="1"/>
  <c r="F2805" i="1"/>
  <c r="E2805" i="1"/>
  <c r="D2805" i="1"/>
  <c r="G2805" i="1" s="1"/>
  <c r="C2805" i="1"/>
  <c r="F2804" i="1"/>
  <c r="E2804" i="1"/>
  <c r="D2804" i="1"/>
  <c r="C2804" i="1"/>
  <c r="F2803" i="1"/>
  <c r="E2803" i="1"/>
  <c r="D2803" i="1"/>
  <c r="G2803" i="1" s="1"/>
  <c r="C2803" i="1"/>
  <c r="F2802" i="1"/>
  <c r="E2802" i="1"/>
  <c r="D2802" i="1"/>
  <c r="C2802" i="1"/>
  <c r="F2801" i="1"/>
  <c r="E2801" i="1"/>
  <c r="D2801" i="1"/>
  <c r="G2801" i="1" s="1"/>
  <c r="C2801" i="1"/>
  <c r="F2800" i="1"/>
  <c r="E2800" i="1"/>
  <c r="D2800" i="1"/>
  <c r="G2800" i="1" s="1"/>
  <c r="C2800" i="1"/>
  <c r="F2799" i="1"/>
  <c r="E2799" i="1"/>
  <c r="D2799" i="1"/>
  <c r="G2799" i="1" s="1"/>
  <c r="C2799" i="1"/>
  <c r="F2798" i="1"/>
  <c r="E2798" i="1"/>
  <c r="D2798" i="1"/>
  <c r="C2798" i="1"/>
  <c r="F2797" i="1"/>
  <c r="E2797" i="1"/>
  <c r="D2797" i="1"/>
  <c r="G2797" i="1" s="1"/>
  <c r="C2797" i="1"/>
  <c r="F2796" i="1"/>
  <c r="E2796" i="1"/>
  <c r="D2796" i="1"/>
  <c r="C2796" i="1"/>
  <c r="F2795" i="1"/>
  <c r="E2795" i="1"/>
  <c r="D2795" i="1"/>
  <c r="G2795" i="1" s="1"/>
  <c r="C2795" i="1"/>
  <c r="F2794" i="1"/>
  <c r="E2794" i="1"/>
  <c r="D2794" i="1"/>
  <c r="G2794" i="1" s="1"/>
  <c r="C2794" i="1"/>
  <c r="F2793" i="1"/>
  <c r="E2793" i="1"/>
  <c r="D2793" i="1"/>
  <c r="G2793" i="1" s="1"/>
  <c r="C2793" i="1"/>
  <c r="F2792" i="1"/>
  <c r="E2792" i="1"/>
  <c r="D2792" i="1"/>
  <c r="C2792" i="1"/>
  <c r="F2791" i="1"/>
  <c r="E2791" i="1"/>
  <c r="D2791" i="1"/>
  <c r="G2791" i="1" s="1"/>
  <c r="C2791" i="1"/>
  <c r="F2790" i="1"/>
  <c r="E2790" i="1"/>
  <c r="D2790" i="1"/>
  <c r="C2790" i="1"/>
  <c r="F2789" i="1"/>
  <c r="E2789" i="1"/>
  <c r="D2789" i="1"/>
  <c r="G2789" i="1" s="1"/>
  <c r="C2789" i="1"/>
  <c r="F2788" i="1"/>
  <c r="E2788" i="1"/>
  <c r="D2788" i="1"/>
  <c r="G2788" i="1" s="1"/>
  <c r="C2788" i="1"/>
  <c r="F2787" i="1"/>
  <c r="E2787" i="1"/>
  <c r="D2787" i="1"/>
  <c r="G2787" i="1" s="1"/>
  <c r="C2787" i="1"/>
  <c r="C2786" i="1"/>
  <c r="C2785" i="1"/>
  <c r="G2785" i="1" s="1"/>
  <c r="F2784" i="1"/>
  <c r="E2784" i="1"/>
  <c r="D2784" i="1"/>
  <c r="C2784" i="1"/>
  <c r="F2783" i="1"/>
  <c r="E2783" i="1"/>
  <c r="D2783" i="1"/>
  <c r="C2783" i="1"/>
  <c r="F2782" i="1"/>
  <c r="G2782" i="1" s="1"/>
  <c r="E2782" i="1"/>
  <c r="D2782" i="1"/>
  <c r="C2782" i="1"/>
  <c r="F2781" i="1"/>
  <c r="G2781" i="1" s="1"/>
  <c r="E2781" i="1"/>
  <c r="D2781" i="1"/>
  <c r="C2781" i="1"/>
  <c r="F2780" i="1"/>
  <c r="E2780" i="1"/>
  <c r="D2780" i="1"/>
  <c r="C2780" i="1"/>
  <c r="F2779" i="1"/>
  <c r="E2779" i="1"/>
  <c r="D2779" i="1"/>
  <c r="C2779" i="1"/>
  <c r="F2778" i="1"/>
  <c r="E2778" i="1"/>
  <c r="D2778" i="1"/>
  <c r="C2778" i="1"/>
  <c r="F2777" i="1"/>
  <c r="E2777" i="1"/>
  <c r="D2777" i="1"/>
  <c r="C2777" i="1"/>
  <c r="F2776" i="1"/>
  <c r="E2776" i="1"/>
  <c r="D2776" i="1"/>
  <c r="C2776" i="1"/>
  <c r="F2775" i="1"/>
  <c r="E2775" i="1"/>
  <c r="D2775" i="1"/>
  <c r="C2775" i="1"/>
  <c r="F2774" i="1"/>
  <c r="E2774" i="1"/>
  <c r="D2774" i="1"/>
  <c r="C2774" i="1"/>
  <c r="F2773" i="1"/>
  <c r="E2773" i="1"/>
  <c r="D2773" i="1"/>
  <c r="C2773" i="1"/>
  <c r="F2772" i="1"/>
  <c r="E2772" i="1"/>
  <c r="D2772" i="1"/>
  <c r="C2772" i="1"/>
  <c r="F2771" i="1"/>
  <c r="E2771" i="1"/>
  <c r="D2771" i="1"/>
  <c r="C2771" i="1"/>
  <c r="F2770" i="1"/>
  <c r="G2770" i="1" s="1"/>
  <c r="E2770" i="1"/>
  <c r="D2770" i="1"/>
  <c r="C2770" i="1"/>
  <c r="F2769" i="1"/>
  <c r="E2769" i="1"/>
  <c r="D2769" i="1"/>
  <c r="C2769" i="1"/>
  <c r="F2768" i="1"/>
  <c r="G2768" i="1" s="1"/>
  <c r="E2768" i="1"/>
  <c r="D2768" i="1"/>
  <c r="C2768" i="1"/>
  <c r="C2767" i="1"/>
  <c r="G2767" i="1" s="1"/>
  <c r="F2766" i="1"/>
  <c r="E2766" i="1"/>
  <c r="D2766" i="1"/>
  <c r="C2766" i="1"/>
  <c r="F2765" i="1"/>
  <c r="E2765" i="1"/>
  <c r="D2765" i="1"/>
  <c r="C2765" i="1"/>
  <c r="F2764" i="1"/>
  <c r="E2764" i="1"/>
  <c r="D2764" i="1"/>
  <c r="C2764" i="1"/>
  <c r="F2763" i="1"/>
  <c r="E2763" i="1"/>
  <c r="D2763" i="1"/>
  <c r="C2763" i="1"/>
  <c r="G2763" i="1" s="1"/>
  <c r="F2762" i="1"/>
  <c r="E2762" i="1"/>
  <c r="D2762" i="1"/>
  <c r="C2762" i="1"/>
  <c r="G2762" i="1" s="1"/>
  <c r="F2761" i="1"/>
  <c r="E2761" i="1"/>
  <c r="D2761" i="1"/>
  <c r="C2761" i="1"/>
  <c r="G2761" i="1" s="1"/>
  <c r="E2760" i="1"/>
  <c r="D2760" i="1"/>
  <c r="C2760" i="1"/>
  <c r="F2759" i="1"/>
  <c r="E2759" i="1"/>
  <c r="D2759" i="1"/>
  <c r="C2759" i="1"/>
  <c r="F2758" i="1"/>
  <c r="E2758" i="1"/>
  <c r="D2758" i="1"/>
  <c r="C2758" i="1"/>
  <c r="F2757" i="1"/>
  <c r="G2757" i="1" s="1"/>
  <c r="E2757" i="1"/>
  <c r="D2757" i="1"/>
  <c r="C2757" i="1"/>
  <c r="F2756" i="1"/>
  <c r="G2756" i="1" s="1"/>
  <c r="E2756" i="1"/>
  <c r="D2756" i="1"/>
  <c r="C2756" i="1"/>
  <c r="C2752" i="1"/>
  <c r="G2752" i="1" s="1"/>
  <c r="C2751" i="1"/>
  <c r="C2750" i="1"/>
  <c r="C2749" i="1"/>
  <c r="G2749" i="1" s="1"/>
  <c r="C2748" i="1"/>
  <c r="G2748" i="1" s="1"/>
  <c r="C2747" i="1"/>
  <c r="C2746" i="1"/>
  <c r="C2745" i="1"/>
  <c r="G2745" i="1" s="1"/>
  <c r="C2744" i="1"/>
  <c r="G2744" i="1" s="1"/>
  <c r="C2743" i="1"/>
  <c r="G2743" i="1" s="1"/>
  <c r="F2742" i="1"/>
  <c r="E2742" i="1"/>
  <c r="D2742" i="1"/>
  <c r="G2742" i="1" s="1"/>
  <c r="C2742" i="1"/>
  <c r="F2741" i="1"/>
  <c r="E2741" i="1"/>
  <c r="D2741" i="1"/>
  <c r="C2741" i="1"/>
  <c r="F2740" i="1"/>
  <c r="E2740" i="1"/>
  <c r="D2740" i="1"/>
  <c r="G2740" i="1" s="1"/>
  <c r="C2740" i="1"/>
  <c r="F2739" i="1"/>
  <c r="E2739" i="1"/>
  <c r="D2739" i="1"/>
  <c r="G2739" i="1" s="1"/>
  <c r="C2739" i="1"/>
  <c r="F2738" i="1"/>
  <c r="E2738" i="1"/>
  <c r="D2738" i="1"/>
  <c r="G2738" i="1" s="1"/>
  <c r="C2738" i="1"/>
  <c r="F2737" i="1"/>
  <c r="E2737" i="1"/>
  <c r="D2737" i="1"/>
  <c r="C2737" i="1"/>
  <c r="F2736" i="1"/>
  <c r="E2736" i="1"/>
  <c r="D2736" i="1"/>
  <c r="G2736" i="1" s="1"/>
  <c r="C2736" i="1"/>
  <c r="F2735" i="1"/>
  <c r="E2735" i="1"/>
  <c r="D2735" i="1"/>
  <c r="C2735" i="1"/>
  <c r="F2734" i="1"/>
  <c r="E2734" i="1"/>
  <c r="D2734" i="1"/>
  <c r="G2734" i="1" s="1"/>
  <c r="C2734" i="1"/>
  <c r="F2733" i="1"/>
  <c r="E2733" i="1"/>
  <c r="D2733" i="1"/>
  <c r="G2733" i="1" s="1"/>
  <c r="C2733" i="1"/>
  <c r="F2732" i="1"/>
  <c r="E2732" i="1"/>
  <c r="D2732" i="1"/>
  <c r="G2732" i="1" s="1"/>
  <c r="C2732" i="1"/>
  <c r="F2731" i="1"/>
  <c r="E2731" i="1"/>
  <c r="D2731" i="1"/>
  <c r="C2731" i="1"/>
  <c r="F2730" i="1"/>
  <c r="E2730" i="1"/>
  <c r="D2730" i="1"/>
  <c r="G2730" i="1" s="1"/>
  <c r="C2730" i="1"/>
  <c r="F2729" i="1"/>
  <c r="E2729" i="1"/>
  <c r="D2729" i="1"/>
  <c r="C2729" i="1"/>
  <c r="F2728" i="1"/>
  <c r="E2728" i="1"/>
  <c r="D2728" i="1"/>
  <c r="G2728" i="1" s="1"/>
  <c r="C2728" i="1"/>
  <c r="F2727" i="1"/>
  <c r="E2727" i="1"/>
  <c r="D2727" i="1"/>
  <c r="G2727" i="1" s="1"/>
  <c r="C2727" i="1"/>
  <c r="F2726" i="1"/>
  <c r="E2726" i="1"/>
  <c r="D2726" i="1"/>
  <c r="G2726" i="1" s="1"/>
  <c r="C2726" i="1"/>
  <c r="F2725" i="1"/>
  <c r="E2725" i="1"/>
  <c r="D2725" i="1"/>
  <c r="C2725" i="1"/>
  <c r="F2724" i="1"/>
  <c r="E2724" i="1"/>
  <c r="D2724" i="1"/>
  <c r="G2724" i="1" s="1"/>
  <c r="C2724" i="1"/>
  <c r="F2723" i="1"/>
  <c r="E2723" i="1"/>
  <c r="D2723" i="1"/>
  <c r="C2723" i="1"/>
  <c r="F2722" i="1"/>
  <c r="E2722" i="1"/>
  <c r="D2722" i="1"/>
  <c r="G2722" i="1" s="1"/>
  <c r="C2722" i="1"/>
  <c r="F2721" i="1"/>
  <c r="E2721" i="1"/>
  <c r="D2721" i="1"/>
  <c r="G2721" i="1" s="1"/>
  <c r="C2721" i="1"/>
  <c r="F2720" i="1"/>
  <c r="E2720" i="1"/>
  <c r="D2720" i="1"/>
  <c r="G2720" i="1" s="1"/>
  <c r="C2720" i="1"/>
  <c r="F2719" i="1"/>
  <c r="E2719" i="1"/>
  <c r="D2719" i="1"/>
  <c r="C2719" i="1"/>
  <c r="F2718" i="1"/>
  <c r="E2718" i="1"/>
  <c r="D2718" i="1"/>
  <c r="G2718" i="1" s="1"/>
  <c r="C2718" i="1"/>
  <c r="F2717" i="1"/>
  <c r="E2717" i="1"/>
  <c r="D2717" i="1"/>
  <c r="C2717" i="1"/>
  <c r="F2716" i="1"/>
  <c r="E2716" i="1"/>
  <c r="D2716" i="1"/>
  <c r="G2716" i="1" s="1"/>
  <c r="C2716" i="1"/>
  <c r="F2715" i="1"/>
  <c r="E2715" i="1"/>
  <c r="D2715" i="1"/>
  <c r="G2715" i="1" s="1"/>
  <c r="C2715" i="1"/>
  <c r="F2714" i="1"/>
  <c r="E2714" i="1"/>
  <c r="D2714" i="1"/>
  <c r="G2714" i="1" s="1"/>
  <c r="C2714" i="1"/>
  <c r="F2713" i="1"/>
  <c r="E2713" i="1"/>
  <c r="D2713" i="1"/>
  <c r="G2713" i="1" s="1"/>
  <c r="C2713" i="1"/>
  <c r="F2712" i="1"/>
  <c r="E2712" i="1"/>
  <c r="D2712" i="1"/>
  <c r="G2712" i="1" s="1"/>
  <c r="C2712" i="1"/>
  <c r="F2711" i="1"/>
  <c r="E2711" i="1"/>
  <c r="D2711" i="1"/>
  <c r="C2711" i="1"/>
  <c r="F2710" i="1"/>
  <c r="E2710" i="1"/>
  <c r="D2710" i="1"/>
  <c r="G2710" i="1" s="1"/>
  <c r="C2710" i="1"/>
  <c r="F2709" i="1"/>
  <c r="E2709" i="1"/>
  <c r="D2709" i="1"/>
  <c r="G2709" i="1" s="1"/>
  <c r="C2709" i="1"/>
  <c r="F2708" i="1"/>
  <c r="E2708" i="1"/>
  <c r="D2708" i="1"/>
  <c r="G2708" i="1" s="1"/>
  <c r="C2708" i="1"/>
  <c r="F2707" i="1"/>
  <c r="E2707" i="1"/>
  <c r="D2707" i="1"/>
  <c r="G2707" i="1" s="1"/>
  <c r="C2707" i="1"/>
  <c r="F2706" i="1"/>
  <c r="E2706" i="1"/>
  <c r="D2706" i="1"/>
  <c r="G2706" i="1" s="1"/>
  <c r="C2706" i="1"/>
  <c r="C2705" i="1"/>
  <c r="G2705" i="1" s="1"/>
  <c r="C2704" i="1"/>
  <c r="G2704" i="1" s="1"/>
  <c r="F2703" i="1"/>
  <c r="G2703" i="1" s="1"/>
  <c r="E2703" i="1"/>
  <c r="D2703" i="1"/>
  <c r="C2703" i="1"/>
  <c r="F2702" i="1"/>
  <c r="G2702" i="1" s="1"/>
  <c r="E2702" i="1"/>
  <c r="D2702" i="1"/>
  <c r="C2702" i="1"/>
  <c r="F2701" i="1"/>
  <c r="E2701" i="1"/>
  <c r="D2701" i="1"/>
  <c r="C2701" i="1"/>
  <c r="F2700" i="1"/>
  <c r="G2700" i="1" s="1"/>
  <c r="E2700" i="1"/>
  <c r="D2700" i="1"/>
  <c r="C2700" i="1"/>
  <c r="F2699" i="1"/>
  <c r="E2699" i="1"/>
  <c r="D2699" i="1"/>
  <c r="C2699" i="1"/>
  <c r="F2698" i="1"/>
  <c r="E2698" i="1"/>
  <c r="D2698" i="1"/>
  <c r="C2698" i="1"/>
  <c r="F2697" i="1"/>
  <c r="G2697" i="1" s="1"/>
  <c r="E2697" i="1"/>
  <c r="D2697" i="1"/>
  <c r="C2697" i="1"/>
  <c r="F2696" i="1"/>
  <c r="G2696" i="1" s="1"/>
  <c r="E2696" i="1"/>
  <c r="D2696" i="1"/>
  <c r="C2696" i="1"/>
  <c r="F2695" i="1"/>
  <c r="E2695" i="1"/>
  <c r="D2695" i="1"/>
  <c r="C2695" i="1"/>
  <c r="F2694" i="1"/>
  <c r="G2694" i="1" s="1"/>
  <c r="E2694" i="1"/>
  <c r="D2694" i="1"/>
  <c r="C2694" i="1"/>
  <c r="F2693" i="1"/>
  <c r="E2693" i="1"/>
  <c r="D2693" i="1"/>
  <c r="C2693" i="1"/>
  <c r="F2692" i="1"/>
  <c r="E2692" i="1"/>
  <c r="D2692" i="1"/>
  <c r="C2692" i="1"/>
  <c r="F2691" i="1"/>
  <c r="E2691" i="1"/>
  <c r="D2691" i="1"/>
  <c r="C2691" i="1"/>
  <c r="F2690" i="1"/>
  <c r="G2690" i="1" s="1"/>
  <c r="E2690" i="1"/>
  <c r="D2690" i="1"/>
  <c r="C2690" i="1"/>
  <c r="F2689" i="1"/>
  <c r="E2689" i="1"/>
  <c r="D2689" i="1"/>
  <c r="C2689" i="1"/>
  <c r="F2688" i="1"/>
  <c r="E2688" i="1"/>
  <c r="D2688" i="1"/>
  <c r="C2688" i="1"/>
  <c r="F2687" i="1"/>
  <c r="E2687" i="1"/>
  <c r="D2687" i="1"/>
  <c r="C2687" i="1"/>
  <c r="C2686" i="1"/>
  <c r="G2686" i="1" s="1"/>
  <c r="F2685" i="1"/>
  <c r="E2685" i="1"/>
  <c r="D2685" i="1"/>
  <c r="C2685" i="1"/>
  <c r="F2684" i="1"/>
  <c r="E2684" i="1"/>
  <c r="D2684" i="1"/>
  <c r="C2684" i="1"/>
  <c r="G2684" i="1" s="1"/>
  <c r="F2683" i="1"/>
  <c r="E2683" i="1"/>
  <c r="D2683" i="1"/>
  <c r="C2683" i="1"/>
  <c r="G2683" i="1" s="1"/>
  <c r="F2682" i="1"/>
  <c r="E2682" i="1"/>
  <c r="D2682" i="1"/>
  <c r="C2682" i="1"/>
  <c r="G2682" i="1" s="1"/>
  <c r="F2681" i="1"/>
  <c r="E2681" i="1"/>
  <c r="D2681" i="1"/>
  <c r="C2681" i="1"/>
  <c r="F2680" i="1"/>
  <c r="E2680" i="1"/>
  <c r="D2680" i="1"/>
  <c r="C2680" i="1"/>
  <c r="E2679" i="1"/>
  <c r="D2679" i="1"/>
  <c r="C2679" i="1"/>
  <c r="F2678" i="1"/>
  <c r="G2678" i="1" s="1"/>
  <c r="E2678" i="1"/>
  <c r="D2678" i="1"/>
  <c r="C2678" i="1"/>
  <c r="F2677" i="1"/>
  <c r="G2677" i="1" s="1"/>
  <c r="E2677" i="1"/>
  <c r="D2677" i="1"/>
  <c r="C2677" i="1"/>
  <c r="F2676" i="1"/>
  <c r="E2676" i="1"/>
  <c r="D2676" i="1"/>
  <c r="C2676" i="1"/>
  <c r="F2675" i="1"/>
  <c r="G2675" i="1" s="1"/>
  <c r="E2675" i="1"/>
  <c r="D2675" i="1"/>
  <c r="C2675" i="1"/>
  <c r="C2671" i="1"/>
  <c r="G2671" i="1" s="1"/>
  <c r="C2670" i="1"/>
  <c r="G2670" i="1" s="1"/>
  <c r="C2669" i="1"/>
  <c r="C2668" i="1"/>
  <c r="G2668" i="1" s="1"/>
  <c r="C2667" i="1"/>
  <c r="G2667" i="1" s="1"/>
  <c r="C2666" i="1"/>
  <c r="C2665" i="1"/>
  <c r="C2664" i="1"/>
  <c r="G2664" i="1" s="1"/>
  <c r="C2663" i="1"/>
  <c r="G2663" i="1" s="1"/>
  <c r="C2662" i="1"/>
  <c r="F2661" i="1"/>
  <c r="E2661" i="1"/>
  <c r="D2661" i="1"/>
  <c r="G2661" i="1" s="1"/>
  <c r="C2661" i="1"/>
  <c r="F2660" i="1"/>
  <c r="E2660" i="1"/>
  <c r="D2660" i="1"/>
  <c r="G2660" i="1" s="1"/>
  <c r="C2660" i="1"/>
  <c r="F2659" i="1"/>
  <c r="E2659" i="1"/>
  <c r="D2659" i="1"/>
  <c r="G2659" i="1" s="1"/>
  <c r="C2659" i="1"/>
  <c r="F2658" i="1"/>
  <c r="E2658" i="1"/>
  <c r="D2658" i="1"/>
  <c r="C2658" i="1"/>
  <c r="F2657" i="1"/>
  <c r="E2657" i="1"/>
  <c r="D2657" i="1"/>
  <c r="G2657" i="1" s="1"/>
  <c r="C2657" i="1"/>
  <c r="F2656" i="1"/>
  <c r="E2656" i="1"/>
  <c r="D2656" i="1"/>
  <c r="C2656" i="1"/>
  <c r="F2655" i="1"/>
  <c r="E2655" i="1"/>
  <c r="D2655" i="1"/>
  <c r="G2655" i="1" s="1"/>
  <c r="C2655" i="1"/>
  <c r="F2654" i="1"/>
  <c r="E2654" i="1"/>
  <c r="D2654" i="1"/>
  <c r="G2654" i="1" s="1"/>
  <c r="C2654" i="1"/>
  <c r="F2653" i="1"/>
  <c r="E2653" i="1"/>
  <c r="D2653" i="1"/>
  <c r="G2653" i="1" s="1"/>
  <c r="C2653" i="1"/>
  <c r="F2652" i="1"/>
  <c r="E2652" i="1"/>
  <c r="D2652" i="1"/>
  <c r="C2652" i="1"/>
  <c r="F2651" i="1"/>
  <c r="E2651" i="1"/>
  <c r="D2651" i="1"/>
  <c r="G2651" i="1" s="1"/>
  <c r="C2651" i="1"/>
  <c r="F2650" i="1"/>
  <c r="E2650" i="1"/>
  <c r="D2650" i="1"/>
  <c r="C2650" i="1"/>
  <c r="F2649" i="1"/>
  <c r="E2649" i="1"/>
  <c r="D2649" i="1"/>
  <c r="G2649" i="1" s="1"/>
  <c r="C2649" i="1"/>
  <c r="F2648" i="1"/>
  <c r="E2648" i="1"/>
  <c r="D2648" i="1"/>
  <c r="G2648" i="1" s="1"/>
  <c r="C2648" i="1"/>
  <c r="F2647" i="1"/>
  <c r="E2647" i="1"/>
  <c r="D2647" i="1"/>
  <c r="G2647" i="1" s="1"/>
  <c r="C2647" i="1"/>
  <c r="F2646" i="1"/>
  <c r="E2646" i="1"/>
  <c r="D2646" i="1"/>
  <c r="C2646" i="1"/>
  <c r="F2645" i="1"/>
  <c r="E2645" i="1"/>
  <c r="D2645" i="1"/>
  <c r="G2645" i="1" s="1"/>
  <c r="C2645" i="1"/>
  <c r="F2644" i="1"/>
  <c r="E2644" i="1"/>
  <c r="D2644" i="1"/>
  <c r="C2644" i="1"/>
  <c r="F2643" i="1"/>
  <c r="E2643" i="1"/>
  <c r="D2643" i="1"/>
  <c r="G2643" i="1" s="1"/>
  <c r="C2643" i="1"/>
  <c r="F2642" i="1"/>
  <c r="E2642" i="1"/>
  <c r="D2642" i="1"/>
  <c r="G2642" i="1" s="1"/>
  <c r="C2642" i="1"/>
  <c r="F2641" i="1"/>
  <c r="E2641" i="1"/>
  <c r="D2641" i="1"/>
  <c r="G2641" i="1" s="1"/>
  <c r="C2641" i="1"/>
  <c r="F2640" i="1"/>
  <c r="E2640" i="1"/>
  <c r="D2640" i="1"/>
  <c r="C2640" i="1"/>
  <c r="F2639" i="1"/>
  <c r="E2639" i="1"/>
  <c r="D2639" i="1"/>
  <c r="G2639" i="1" s="1"/>
  <c r="C2639" i="1"/>
  <c r="F2638" i="1"/>
  <c r="E2638" i="1"/>
  <c r="D2638" i="1"/>
  <c r="C2638" i="1"/>
  <c r="F2637" i="1"/>
  <c r="E2637" i="1"/>
  <c r="D2637" i="1"/>
  <c r="G2637" i="1" s="1"/>
  <c r="C2637" i="1"/>
  <c r="F2636" i="1"/>
  <c r="E2636" i="1"/>
  <c r="D2636" i="1"/>
  <c r="G2636" i="1" s="1"/>
  <c r="C2636" i="1"/>
  <c r="F2635" i="1"/>
  <c r="E2635" i="1"/>
  <c r="D2635" i="1"/>
  <c r="G2635" i="1" s="1"/>
  <c r="C2635" i="1"/>
  <c r="F2634" i="1"/>
  <c r="E2634" i="1"/>
  <c r="D2634" i="1"/>
  <c r="C2634" i="1"/>
  <c r="F2633" i="1"/>
  <c r="E2633" i="1"/>
  <c r="D2633" i="1"/>
  <c r="G2633" i="1" s="1"/>
  <c r="C2633" i="1"/>
  <c r="F2632" i="1"/>
  <c r="E2632" i="1"/>
  <c r="D2632" i="1"/>
  <c r="C2632" i="1"/>
  <c r="F2631" i="1"/>
  <c r="E2631" i="1"/>
  <c r="D2631" i="1"/>
  <c r="G2631" i="1" s="1"/>
  <c r="C2631" i="1"/>
  <c r="F2630" i="1"/>
  <c r="E2630" i="1"/>
  <c r="D2630" i="1"/>
  <c r="G2630" i="1" s="1"/>
  <c r="C2630" i="1"/>
  <c r="F2629" i="1"/>
  <c r="E2629" i="1"/>
  <c r="D2629" i="1"/>
  <c r="G2629" i="1" s="1"/>
  <c r="C2629" i="1"/>
  <c r="F2628" i="1"/>
  <c r="E2628" i="1"/>
  <c r="D2628" i="1"/>
  <c r="C2628" i="1"/>
  <c r="F2627" i="1"/>
  <c r="E2627" i="1"/>
  <c r="D2627" i="1"/>
  <c r="G2627" i="1" s="1"/>
  <c r="C2627" i="1"/>
  <c r="F2626" i="1"/>
  <c r="E2626" i="1"/>
  <c r="D2626" i="1"/>
  <c r="C2626" i="1"/>
  <c r="F2625" i="1"/>
  <c r="E2625" i="1"/>
  <c r="D2625" i="1"/>
  <c r="G2625" i="1" s="1"/>
  <c r="C2625" i="1"/>
  <c r="C2624" i="1"/>
  <c r="C2623" i="1"/>
  <c r="G2623" i="1" s="1"/>
  <c r="F2622" i="1"/>
  <c r="G2622" i="1" s="1"/>
  <c r="E2622" i="1"/>
  <c r="D2622" i="1"/>
  <c r="C2622" i="1"/>
  <c r="F2621" i="1"/>
  <c r="G2621" i="1" s="1"/>
  <c r="E2621" i="1"/>
  <c r="D2621" i="1"/>
  <c r="C2621" i="1"/>
  <c r="F2620" i="1"/>
  <c r="E2620" i="1"/>
  <c r="D2620" i="1"/>
  <c r="C2620" i="1"/>
  <c r="F2619" i="1"/>
  <c r="E2619" i="1"/>
  <c r="D2619" i="1"/>
  <c r="C2619" i="1"/>
  <c r="F2618" i="1"/>
  <c r="G2618" i="1" s="1"/>
  <c r="E2618" i="1"/>
  <c r="D2618" i="1"/>
  <c r="C2618" i="1"/>
  <c r="F2617" i="1"/>
  <c r="G2617" i="1" s="1"/>
  <c r="E2617" i="1"/>
  <c r="D2617" i="1"/>
  <c r="C2617" i="1"/>
  <c r="F2616" i="1"/>
  <c r="G2616" i="1" s="1"/>
  <c r="E2616" i="1"/>
  <c r="D2616" i="1"/>
  <c r="C2616" i="1"/>
  <c r="F2615" i="1"/>
  <c r="G2615" i="1" s="1"/>
  <c r="E2615" i="1"/>
  <c r="D2615" i="1"/>
  <c r="C2615" i="1"/>
  <c r="F2614" i="1"/>
  <c r="E2614" i="1"/>
  <c r="D2614" i="1"/>
  <c r="C2614" i="1"/>
  <c r="F2613" i="1"/>
  <c r="E2613" i="1"/>
  <c r="D2613" i="1"/>
  <c r="C2613" i="1"/>
  <c r="F2612" i="1"/>
  <c r="G2612" i="1" s="1"/>
  <c r="E2612" i="1"/>
  <c r="D2612" i="1"/>
  <c r="C2612" i="1"/>
  <c r="F2611" i="1"/>
  <c r="G2611" i="1" s="1"/>
  <c r="E2611" i="1"/>
  <c r="D2611" i="1"/>
  <c r="C2611" i="1"/>
  <c r="F2610" i="1"/>
  <c r="G2610" i="1" s="1"/>
  <c r="E2610" i="1"/>
  <c r="D2610" i="1"/>
  <c r="C2610" i="1"/>
  <c r="F2609" i="1"/>
  <c r="G2609" i="1" s="1"/>
  <c r="E2609" i="1"/>
  <c r="D2609" i="1"/>
  <c r="C2609" i="1"/>
  <c r="F2608" i="1"/>
  <c r="E2608" i="1"/>
  <c r="D2608" i="1"/>
  <c r="C2608" i="1"/>
  <c r="F2607" i="1"/>
  <c r="E2607" i="1"/>
  <c r="D2607" i="1"/>
  <c r="C2607" i="1"/>
  <c r="F2606" i="1"/>
  <c r="G2606" i="1" s="1"/>
  <c r="E2606" i="1"/>
  <c r="D2606" i="1"/>
  <c r="C2606" i="1"/>
  <c r="C2605" i="1"/>
  <c r="G2605" i="1" s="1"/>
  <c r="F2604" i="1"/>
  <c r="E2604" i="1"/>
  <c r="D2604" i="1"/>
  <c r="C2604" i="1"/>
  <c r="G2604" i="1" s="1"/>
  <c r="F2603" i="1"/>
  <c r="E2603" i="1"/>
  <c r="D2603" i="1"/>
  <c r="C2603" i="1"/>
  <c r="G2603" i="1" s="1"/>
  <c r="F2602" i="1"/>
  <c r="E2602" i="1"/>
  <c r="D2602" i="1"/>
  <c r="C2602" i="1"/>
  <c r="F2601" i="1"/>
  <c r="E2601" i="1"/>
  <c r="D2601" i="1"/>
  <c r="C2601" i="1"/>
  <c r="F2600" i="1"/>
  <c r="E2600" i="1"/>
  <c r="D2600" i="1"/>
  <c r="C2600" i="1"/>
  <c r="F2599" i="1"/>
  <c r="E2599" i="1"/>
  <c r="D2599" i="1"/>
  <c r="C2599" i="1"/>
  <c r="G2599" i="1" s="1"/>
  <c r="E2598" i="1"/>
  <c r="D2598" i="1"/>
  <c r="C2598" i="1"/>
  <c r="F2597" i="1"/>
  <c r="G2597" i="1" s="1"/>
  <c r="E2597" i="1"/>
  <c r="D2597" i="1"/>
  <c r="C2597" i="1"/>
  <c r="F2596" i="1"/>
  <c r="G2596" i="1" s="1"/>
  <c r="E2596" i="1"/>
  <c r="D2596" i="1"/>
  <c r="C2596" i="1"/>
  <c r="F2595" i="1"/>
  <c r="E2595" i="1"/>
  <c r="D2595" i="1"/>
  <c r="C2595" i="1"/>
  <c r="F2594" i="1"/>
  <c r="E2594" i="1"/>
  <c r="D2594" i="1"/>
  <c r="C2594" i="1"/>
  <c r="C2590" i="1"/>
  <c r="G2590" i="1" s="1"/>
  <c r="C2589" i="1"/>
  <c r="C2588" i="1"/>
  <c r="C2587" i="1"/>
  <c r="G2587" i="1" s="1"/>
  <c r="C2586" i="1"/>
  <c r="G2586" i="1" s="1"/>
  <c r="C2585" i="1"/>
  <c r="C2584" i="1"/>
  <c r="C2583" i="1"/>
  <c r="G2583" i="1" s="1"/>
  <c r="C2582" i="1"/>
  <c r="G2582" i="1" s="1"/>
  <c r="C2581" i="1"/>
  <c r="F2580" i="1"/>
  <c r="E2580" i="1"/>
  <c r="D2580" i="1"/>
  <c r="G2580" i="1" s="1"/>
  <c r="C2580" i="1"/>
  <c r="F2579" i="1"/>
  <c r="E2579" i="1"/>
  <c r="D2579" i="1"/>
  <c r="C2579" i="1"/>
  <c r="F2578" i="1"/>
  <c r="E2578" i="1"/>
  <c r="D2578" i="1"/>
  <c r="G2578" i="1" s="1"/>
  <c r="C2578" i="1"/>
  <c r="F2577" i="1"/>
  <c r="E2577" i="1"/>
  <c r="D2577" i="1"/>
  <c r="C2577" i="1"/>
  <c r="F2576" i="1"/>
  <c r="E2576" i="1"/>
  <c r="D2576" i="1"/>
  <c r="G2576" i="1" s="1"/>
  <c r="C2576" i="1"/>
  <c r="F2575" i="1"/>
  <c r="E2575" i="1"/>
  <c r="D2575" i="1"/>
  <c r="G2575" i="1" s="1"/>
  <c r="C2575" i="1"/>
  <c r="F2574" i="1"/>
  <c r="E2574" i="1"/>
  <c r="D2574" i="1"/>
  <c r="G2574" i="1" s="1"/>
  <c r="C2574" i="1"/>
  <c r="F2573" i="1"/>
  <c r="E2573" i="1"/>
  <c r="D2573" i="1"/>
  <c r="C2573" i="1"/>
  <c r="F2572" i="1"/>
  <c r="E2572" i="1"/>
  <c r="D2572" i="1"/>
  <c r="G2572" i="1" s="1"/>
  <c r="C2572" i="1"/>
  <c r="F2571" i="1"/>
  <c r="E2571" i="1"/>
  <c r="D2571" i="1"/>
  <c r="C2571" i="1"/>
  <c r="F2570" i="1"/>
  <c r="E2570" i="1"/>
  <c r="D2570" i="1"/>
  <c r="G2570" i="1" s="1"/>
  <c r="C2570" i="1"/>
  <c r="F2569" i="1"/>
  <c r="E2569" i="1"/>
  <c r="D2569" i="1"/>
  <c r="G2569" i="1" s="1"/>
  <c r="C2569" i="1"/>
  <c r="F2568" i="1"/>
  <c r="E2568" i="1"/>
  <c r="D2568" i="1"/>
  <c r="G2568" i="1" s="1"/>
  <c r="C2568" i="1"/>
  <c r="F2567" i="1"/>
  <c r="E2567" i="1"/>
  <c r="D2567" i="1"/>
  <c r="C2567" i="1"/>
  <c r="F2566" i="1"/>
  <c r="E2566" i="1"/>
  <c r="D2566" i="1"/>
  <c r="G2566" i="1" s="1"/>
  <c r="C2566" i="1"/>
  <c r="F2565" i="1"/>
  <c r="E2565" i="1"/>
  <c r="D2565" i="1"/>
  <c r="C2565" i="1"/>
  <c r="F2564" i="1"/>
  <c r="E2564" i="1"/>
  <c r="D2564" i="1"/>
  <c r="G2564" i="1" s="1"/>
  <c r="C2564" i="1"/>
  <c r="F2563" i="1"/>
  <c r="E2563" i="1"/>
  <c r="D2563" i="1"/>
  <c r="G2563" i="1" s="1"/>
  <c r="C2563" i="1"/>
  <c r="F2562" i="1"/>
  <c r="E2562" i="1"/>
  <c r="D2562" i="1"/>
  <c r="G2562" i="1" s="1"/>
  <c r="C2562" i="1"/>
  <c r="F2561" i="1"/>
  <c r="E2561" i="1"/>
  <c r="D2561" i="1"/>
  <c r="C2561" i="1"/>
  <c r="F2560" i="1"/>
  <c r="E2560" i="1"/>
  <c r="D2560" i="1"/>
  <c r="G2560" i="1" s="1"/>
  <c r="C2560" i="1"/>
  <c r="F2559" i="1"/>
  <c r="E2559" i="1"/>
  <c r="D2559" i="1"/>
  <c r="C2559" i="1"/>
  <c r="F2558" i="1"/>
  <c r="E2558" i="1"/>
  <c r="D2558" i="1"/>
  <c r="G2558" i="1" s="1"/>
  <c r="C2558" i="1"/>
  <c r="F2557" i="1"/>
  <c r="E2557" i="1"/>
  <c r="D2557" i="1"/>
  <c r="G2557" i="1" s="1"/>
  <c r="C2557" i="1"/>
  <c r="F2556" i="1"/>
  <c r="E2556" i="1"/>
  <c r="D2556" i="1"/>
  <c r="G2556" i="1" s="1"/>
  <c r="C2556" i="1"/>
  <c r="F2555" i="1"/>
  <c r="E2555" i="1"/>
  <c r="D2555" i="1"/>
  <c r="C2555" i="1"/>
  <c r="F2554" i="1"/>
  <c r="E2554" i="1"/>
  <c r="D2554" i="1"/>
  <c r="G2554" i="1" s="1"/>
  <c r="C2554" i="1"/>
  <c r="F2553" i="1"/>
  <c r="E2553" i="1"/>
  <c r="D2553" i="1"/>
  <c r="C2553" i="1"/>
  <c r="F2552" i="1"/>
  <c r="E2552" i="1"/>
  <c r="D2552" i="1"/>
  <c r="G2552" i="1" s="1"/>
  <c r="C2552" i="1"/>
  <c r="F2551" i="1"/>
  <c r="E2551" i="1"/>
  <c r="D2551" i="1"/>
  <c r="G2551" i="1" s="1"/>
  <c r="C2551" i="1"/>
  <c r="F2550" i="1"/>
  <c r="E2550" i="1"/>
  <c r="D2550" i="1"/>
  <c r="G2550" i="1" s="1"/>
  <c r="C2550" i="1"/>
  <c r="F2549" i="1"/>
  <c r="E2549" i="1"/>
  <c r="D2549" i="1"/>
  <c r="C2549" i="1"/>
  <c r="F2548" i="1"/>
  <c r="E2548" i="1"/>
  <c r="D2548" i="1"/>
  <c r="G2548" i="1" s="1"/>
  <c r="C2548" i="1"/>
  <c r="F2547" i="1"/>
  <c r="E2547" i="1"/>
  <c r="D2547" i="1"/>
  <c r="C2547" i="1"/>
  <c r="F2546" i="1"/>
  <c r="E2546" i="1"/>
  <c r="D2546" i="1"/>
  <c r="G2546" i="1" s="1"/>
  <c r="C2546" i="1"/>
  <c r="F2545" i="1"/>
  <c r="E2545" i="1"/>
  <c r="D2545" i="1"/>
  <c r="G2545" i="1" s="1"/>
  <c r="C2545" i="1"/>
  <c r="F2544" i="1"/>
  <c r="E2544" i="1"/>
  <c r="D2544" i="1"/>
  <c r="G2544" i="1" s="1"/>
  <c r="C2544" i="1"/>
  <c r="C2543" i="1"/>
  <c r="C2542" i="1"/>
  <c r="G2542" i="1" s="1"/>
  <c r="F2541" i="1"/>
  <c r="E2541" i="1"/>
  <c r="D2541" i="1"/>
  <c r="C2541" i="1"/>
  <c r="F2540" i="1"/>
  <c r="E2540" i="1"/>
  <c r="D2540" i="1"/>
  <c r="C2540" i="1"/>
  <c r="F2539" i="1"/>
  <c r="G2539" i="1" s="1"/>
  <c r="E2539" i="1"/>
  <c r="D2539" i="1"/>
  <c r="C2539" i="1"/>
  <c r="F2538" i="1"/>
  <c r="G2538" i="1" s="1"/>
  <c r="E2538" i="1"/>
  <c r="D2538" i="1"/>
  <c r="C2538" i="1"/>
  <c r="F2537" i="1"/>
  <c r="G2537" i="1" s="1"/>
  <c r="E2537" i="1"/>
  <c r="D2537" i="1"/>
  <c r="C2537" i="1"/>
  <c r="F2536" i="1"/>
  <c r="G2536" i="1" s="1"/>
  <c r="E2536" i="1"/>
  <c r="D2536" i="1"/>
  <c r="C2536" i="1"/>
  <c r="F2535" i="1"/>
  <c r="E2535" i="1"/>
  <c r="D2535" i="1"/>
  <c r="C2535" i="1"/>
  <c r="F2534" i="1"/>
  <c r="E2534" i="1"/>
  <c r="D2534" i="1"/>
  <c r="C2534" i="1"/>
  <c r="F2533" i="1"/>
  <c r="G2533" i="1" s="1"/>
  <c r="E2533" i="1"/>
  <c r="D2533" i="1"/>
  <c r="C2533" i="1"/>
  <c r="F2532" i="1"/>
  <c r="G2532" i="1" s="1"/>
  <c r="E2532" i="1"/>
  <c r="D2532" i="1"/>
  <c r="C2532" i="1"/>
  <c r="F2531" i="1"/>
  <c r="E2531" i="1"/>
  <c r="D2531" i="1"/>
  <c r="C2531" i="1"/>
  <c r="F2530" i="1"/>
  <c r="G2530" i="1" s="1"/>
  <c r="E2530" i="1"/>
  <c r="D2530" i="1"/>
  <c r="C2530" i="1"/>
  <c r="F2529" i="1"/>
  <c r="E2529" i="1"/>
  <c r="D2529" i="1"/>
  <c r="C2529" i="1"/>
  <c r="F2528" i="1"/>
  <c r="E2528" i="1"/>
  <c r="D2528" i="1"/>
  <c r="C2528" i="1"/>
  <c r="F2527" i="1"/>
  <c r="G2527" i="1" s="1"/>
  <c r="E2527" i="1"/>
  <c r="D2527" i="1"/>
  <c r="C2527" i="1"/>
  <c r="F2526" i="1"/>
  <c r="G2526" i="1" s="1"/>
  <c r="E2526" i="1"/>
  <c r="D2526" i="1"/>
  <c r="C2526" i="1"/>
  <c r="F2525" i="1"/>
  <c r="G2525" i="1" s="1"/>
  <c r="E2525" i="1"/>
  <c r="D2525" i="1"/>
  <c r="C2525" i="1"/>
  <c r="C2524" i="1"/>
  <c r="G2524" i="1" s="1"/>
  <c r="F2523" i="1"/>
  <c r="E2523" i="1"/>
  <c r="D2523" i="1"/>
  <c r="C2523" i="1"/>
  <c r="F2522" i="1"/>
  <c r="E2522" i="1"/>
  <c r="D2522" i="1"/>
  <c r="C2522" i="1"/>
  <c r="F2521" i="1"/>
  <c r="E2521" i="1"/>
  <c r="D2521" i="1"/>
  <c r="C2521" i="1"/>
  <c r="F2520" i="1"/>
  <c r="E2520" i="1"/>
  <c r="D2520" i="1"/>
  <c r="C2520" i="1"/>
  <c r="G2520" i="1" s="1"/>
  <c r="F2519" i="1"/>
  <c r="E2519" i="1"/>
  <c r="D2519" i="1"/>
  <c r="C2519" i="1"/>
  <c r="G2519" i="1" s="1"/>
  <c r="F2518" i="1"/>
  <c r="E2518" i="1"/>
  <c r="D2518" i="1"/>
  <c r="C2518" i="1"/>
  <c r="G2518" i="1" s="1"/>
  <c r="E2517" i="1"/>
  <c r="D2517" i="1"/>
  <c r="C2517" i="1"/>
  <c r="F2516" i="1"/>
  <c r="E2516" i="1"/>
  <c r="D2516" i="1"/>
  <c r="C2516" i="1"/>
  <c r="F2515" i="1"/>
  <c r="E2515" i="1"/>
  <c r="D2515" i="1"/>
  <c r="C2515" i="1"/>
  <c r="F2514" i="1"/>
  <c r="E2514" i="1"/>
  <c r="D2514" i="1"/>
  <c r="C2514" i="1"/>
  <c r="F2513" i="1"/>
  <c r="G2513" i="1" s="1"/>
  <c r="E2513" i="1"/>
  <c r="D2513" i="1"/>
  <c r="C2513" i="1"/>
  <c r="C2509" i="1"/>
  <c r="G2509" i="1" s="1"/>
  <c r="C2508" i="1"/>
  <c r="C2507" i="1"/>
  <c r="C2506" i="1"/>
  <c r="G2506" i="1" s="1"/>
  <c r="C2505" i="1"/>
  <c r="G2505" i="1" s="1"/>
  <c r="C2504" i="1"/>
  <c r="C2503" i="1"/>
  <c r="C2502" i="1"/>
  <c r="G2502" i="1" s="1"/>
  <c r="C2501" i="1"/>
  <c r="G2501" i="1" s="1"/>
  <c r="C2500" i="1"/>
  <c r="G2500" i="1" s="1"/>
  <c r="F2499" i="1"/>
  <c r="E2499" i="1"/>
  <c r="D2499" i="1"/>
  <c r="G2499" i="1" s="1"/>
  <c r="C2499" i="1"/>
  <c r="F2498" i="1"/>
  <c r="E2498" i="1"/>
  <c r="D2498" i="1"/>
  <c r="C2498" i="1"/>
  <c r="F2497" i="1"/>
  <c r="E2497" i="1"/>
  <c r="D2497" i="1"/>
  <c r="G2497" i="1" s="1"/>
  <c r="C2497" i="1"/>
  <c r="F2496" i="1"/>
  <c r="E2496" i="1"/>
  <c r="D2496" i="1"/>
  <c r="G2496" i="1" s="1"/>
  <c r="C2496" i="1"/>
  <c r="F2495" i="1"/>
  <c r="E2495" i="1"/>
  <c r="D2495" i="1"/>
  <c r="G2495" i="1" s="1"/>
  <c r="C2495" i="1"/>
  <c r="F2494" i="1"/>
  <c r="E2494" i="1"/>
  <c r="D2494" i="1"/>
  <c r="C2494" i="1"/>
  <c r="F2493" i="1"/>
  <c r="E2493" i="1"/>
  <c r="D2493" i="1"/>
  <c r="G2493" i="1" s="1"/>
  <c r="C2493" i="1"/>
  <c r="F2492" i="1"/>
  <c r="E2492" i="1"/>
  <c r="D2492" i="1"/>
  <c r="C2492" i="1"/>
  <c r="F2491" i="1"/>
  <c r="E2491" i="1"/>
  <c r="D2491" i="1"/>
  <c r="G2491" i="1" s="1"/>
  <c r="C2491" i="1"/>
  <c r="F2490" i="1"/>
  <c r="E2490" i="1"/>
  <c r="D2490" i="1"/>
  <c r="G2490" i="1" s="1"/>
  <c r="C2490" i="1"/>
  <c r="F2489" i="1"/>
  <c r="E2489" i="1"/>
  <c r="D2489" i="1"/>
  <c r="G2489" i="1" s="1"/>
  <c r="C2489" i="1"/>
  <c r="F2488" i="1"/>
  <c r="E2488" i="1"/>
  <c r="D2488" i="1"/>
  <c r="C2488" i="1"/>
  <c r="F2487" i="1"/>
  <c r="E2487" i="1"/>
  <c r="D2487" i="1"/>
  <c r="G2487" i="1" s="1"/>
  <c r="C2487" i="1"/>
  <c r="F2486" i="1"/>
  <c r="E2486" i="1"/>
  <c r="D2486" i="1"/>
  <c r="C2486" i="1"/>
  <c r="F2485" i="1"/>
  <c r="E2485" i="1"/>
  <c r="D2485" i="1"/>
  <c r="G2485" i="1" s="1"/>
  <c r="C2485" i="1"/>
  <c r="F2484" i="1"/>
  <c r="E2484" i="1"/>
  <c r="D2484" i="1"/>
  <c r="G2484" i="1" s="1"/>
  <c r="C2484" i="1"/>
  <c r="F2483" i="1"/>
  <c r="E2483" i="1"/>
  <c r="D2483" i="1"/>
  <c r="G2483" i="1" s="1"/>
  <c r="C2483" i="1"/>
  <c r="F2482" i="1"/>
  <c r="E2482" i="1"/>
  <c r="D2482" i="1"/>
  <c r="C2482" i="1"/>
  <c r="F2481" i="1"/>
  <c r="E2481" i="1"/>
  <c r="D2481" i="1"/>
  <c r="G2481" i="1" s="1"/>
  <c r="C2481" i="1"/>
  <c r="F2480" i="1"/>
  <c r="E2480" i="1"/>
  <c r="D2480" i="1"/>
  <c r="C2480" i="1"/>
  <c r="F2479" i="1"/>
  <c r="E2479" i="1"/>
  <c r="D2479" i="1"/>
  <c r="G2479" i="1" s="1"/>
  <c r="C2479" i="1"/>
  <c r="F2478" i="1"/>
  <c r="E2478" i="1"/>
  <c r="D2478" i="1"/>
  <c r="G2478" i="1" s="1"/>
  <c r="C2478" i="1"/>
  <c r="F2477" i="1"/>
  <c r="E2477" i="1"/>
  <c r="D2477" i="1"/>
  <c r="G2477" i="1" s="1"/>
  <c r="C2477" i="1"/>
  <c r="F2476" i="1"/>
  <c r="E2476" i="1"/>
  <c r="D2476" i="1"/>
  <c r="C2476" i="1"/>
  <c r="F2475" i="1"/>
  <c r="E2475" i="1"/>
  <c r="D2475" i="1"/>
  <c r="G2475" i="1" s="1"/>
  <c r="C2475" i="1"/>
  <c r="F2474" i="1"/>
  <c r="E2474" i="1"/>
  <c r="D2474" i="1"/>
  <c r="C2474" i="1"/>
  <c r="F2473" i="1"/>
  <c r="E2473" i="1"/>
  <c r="D2473" i="1"/>
  <c r="G2473" i="1" s="1"/>
  <c r="C2473" i="1"/>
  <c r="F2472" i="1"/>
  <c r="E2472" i="1"/>
  <c r="D2472" i="1"/>
  <c r="G2472" i="1" s="1"/>
  <c r="C2472" i="1"/>
  <c r="F2471" i="1"/>
  <c r="E2471" i="1"/>
  <c r="D2471" i="1"/>
  <c r="G2471" i="1" s="1"/>
  <c r="C2471" i="1"/>
  <c r="F2470" i="1"/>
  <c r="E2470" i="1"/>
  <c r="D2470" i="1"/>
  <c r="C2470" i="1"/>
  <c r="F2469" i="1"/>
  <c r="E2469" i="1"/>
  <c r="D2469" i="1"/>
  <c r="G2469" i="1" s="1"/>
  <c r="C2469" i="1"/>
  <c r="F2468" i="1"/>
  <c r="E2468" i="1"/>
  <c r="D2468" i="1"/>
  <c r="C2468" i="1"/>
  <c r="F2467" i="1"/>
  <c r="E2467" i="1"/>
  <c r="D2467" i="1"/>
  <c r="G2467" i="1" s="1"/>
  <c r="C2467" i="1"/>
  <c r="F2466" i="1"/>
  <c r="E2466" i="1"/>
  <c r="D2466" i="1"/>
  <c r="G2466" i="1" s="1"/>
  <c r="C2466" i="1"/>
  <c r="F2465" i="1"/>
  <c r="E2465" i="1"/>
  <c r="D2465" i="1"/>
  <c r="G2465" i="1" s="1"/>
  <c r="C2465" i="1"/>
  <c r="F2464" i="1"/>
  <c r="E2464" i="1"/>
  <c r="D2464" i="1"/>
  <c r="C2464" i="1"/>
  <c r="F2463" i="1"/>
  <c r="E2463" i="1"/>
  <c r="D2463" i="1"/>
  <c r="G2463" i="1" s="1"/>
  <c r="C2463" i="1"/>
  <c r="C2462" i="1"/>
  <c r="G2462" i="1" s="1"/>
  <c r="C2461" i="1"/>
  <c r="G2461" i="1" s="1"/>
  <c r="F2460" i="1"/>
  <c r="G2460" i="1" s="1"/>
  <c r="E2460" i="1"/>
  <c r="D2460" i="1"/>
  <c r="C2460" i="1"/>
  <c r="F2459" i="1"/>
  <c r="E2459" i="1"/>
  <c r="D2459" i="1"/>
  <c r="C2459" i="1"/>
  <c r="F2458" i="1"/>
  <c r="E2458" i="1"/>
  <c r="D2458" i="1"/>
  <c r="C2458" i="1"/>
  <c r="F2457" i="1"/>
  <c r="G2457" i="1" s="1"/>
  <c r="E2457" i="1"/>
  <c r="D2457" i="1"/>
  <c r="C2457" i="1"/>
  <c r="F2456" i="1"/>
  <c r="E2456" i="1"/>
  <c r="D2456" i="1"/>
  <c r="C2456" i="1"/>
  <c r="F2455" i="1"/>
  <c r="E2455" i="1"/>
  <c r="D2455" i="1"/>
  <c r="C2455" i="1"/>
  <c r="F2454" i="1"/>
  <c r="G2454" i="1" s="1"/>
  <c r="E2454" i="1"/>
  <c r="D2454" i="1"/>
  <c r="C2454" i="1"/>
  <c r="F2453" i="1"/>
  <c r="G2453" i="1" s="1"/>
  <c r="E2453" i="1"/>
  <c r="D2453" i="1"/>
  <c r="C2453" i="1"/>
  <c r="F2452" i="1"/>
  <c r="G2452" i="1" s="1"/>
  <c r="E2452" i="1"/>
  <c r="D2452" i="1"/>
  <c r="C2452" i="1"/>
  <c r="F2451" i="1"/>
  <c r="G2451" i="1" s="1"/>
  <c r="E2451" i="1"/>
  <c r="D2451" i="1"/>
  <c r="C2451" i="1"/>
  <c r="F2450" i="1"/>
  <c r="E2450" i="1"/>
  <c r="D2450" i="1"/>
  <c r="C2450" i="1"/>
  <c r="F2449" i="1"/>
  <c r="E2449" i="1"/>
  <c r="D2449" i="1"/>
  <c r="C2449" i="1"/>
  <c r="F2448" i="1"/>
  <c r="G2448" i="1" s="1"/>
  <c r="E2448" i="1"/>
  <c r="D2448" i="1"/>
  <c r="C2448" i="1"/>
  <c r="F2447" i="1"/>
  <c r="G2447" i="1" s="1"/>
  <c r="E2447" i="1"/>
  <c r="D2447" i="1"/>
  <c r="C2447" i="1"/>
  <c r="F2446" i="1"/>
  <c r="G2446" i="1" s="1"/>
  <c r="E2446" i="1"/>
  <c r="D2446" i="1"/>
  <c r="C2446" i="1"/>
  <c r="F2445" i="1"/>
  <c r="G2445" i="1" s="1"/>
  <c r="E2445" i="1"/>
  <c r="D2445" i="1"/>
  <c r="C2445" i="1"/>
  <c r="F2444" i="1"/>
  <c r="E2444" i="1"/>
  <c r="D2444" i="1"/>
  <c r="C2444" i="1"/>
  <c r="C2443" i="1"/>
  <c r="G2443" i="1" s="1"/>
  <c r="F2442" i="1"/>
  <c r="E2442" i="1"/>
  <c r="D2442" i="1"/>
  <c r="C2442" i="1"/>
  <c r="F2441" i="1"/>
  <c r="E2441" i="1"/>
  <c r="D2441" i="1"/>
  <c r="C2441" i="1"/>
  <c r="G2441" i="1" s="1"/>
  <c r="F2440" i="1"/>
  <c r="E2440" i="1"/>
  <c r="D2440" i="1"/>
  <c r="C2440" i="1"/>
  <c r="G2440" i="1" s="1"/>
  <c r="F2439" i="1"/>
  <c r="E2439" i="1"/>
  <c r="D2439" i="1"/>
  <c r="C2439" i="1"/>
  <c r="G2439" i="1" s="1"/>
  <c r="F2438" i="1"/>
  <c r="E2438" i="1"/>
  <c r="D2438" i="1"/>
  <c r="C2438" i="1"/>
  <c r="F2437" i="1"/>
  <c r="E2437" i="1"/>
  <c r="D2437" i="1"/>
  <c r="C2437" i="1"/>
  <c r="E2436" i="1"/>
  <c r="D2436" i="1"/>
  <c r="C2436" i="1"/>
  <c r="F2435" i="1"/>
  <c r="E2435" i="1"/>
  <c r="D2435" i="1"/>
  <c r="C2435" i="1"/>
  <c r="F2434" i="1"/>
  <c r="G2434" i="1" s="1"/>
  <c r="E2434" i="1"/>
  <c r="D2434" i="1"/>
  <c r="C2434" i="1"/>
  <c r="F2433" i="1"/>
  <c r="G2433" i="1" s="1"/>
  <c r="E2433" i="1"/>
  <c r="D2433" i="1"/>
  <c r="C2433" i="1"/>
  <c r="F2432" i="1"/>
  <c r="E2432" i="1"/>
  <c r="D2432" i="1"/>
  <c r="C2432" i="1"/>
  <c r="C2428" i="1"/>
  <c r="G2428" i="1" s="1"/>
  <c r="C2427" i="1"/>
  <c r="G2427" i="1" s="1"/>
  <c r="C2426" i="1"/>
  <c r="G2426" i="1" s="1"/>
  <c r="C2425" i="1"/>
  <c r="G2425" i="1" s="1"/>
  <c r="C2424" i="1"/>
  <c r="G2424" i="1" s="1"/>
  <c r="C2423" i="1"/>
  <c r="C2422" i="1"/>
  <c r="G2422" i="1" s="1"/>
  <c r="C2421" i="1"/>
  <c r="G2421" i="1" s="1"/>
  <c r="C2420" i="1"/>
  <c r="G2420" i="1" s="1"/>
  <c r="C2419" i="1"/>
  <c r="F2418" i="1"/>
  <c r="E2418" i="1"/>
  <c r="D2418" i="1"/>
  <c r="G2418" i="1" s="1"/>
  <c r="C2418" i="1"/>
  <c r="F2417" i="1"/>
  <c r="E2417" i="1"/>
  <c r="D2417" i="1"/>
  <c r="G2417" i="1" s="1"/>
  <c r="C2417" i="1"/>
  <c r="F2416" i="1"/>
  <c r="E2416" i="1"/>
  <c r="D2416" i="1"/>
  <c r="G2416" i="1" s="1"/>
  <c r="C2416" i="1"/>
  <c r="F2415" i="1"/>
  <c r="E2415" i="1"/>
  <c r="D2415" i="1"/>
  <c r="C2415" i="1"/>
  <c r="F2414" i="1"/>
  <c r="E2414" i="1"/>
  <c r="D2414" i="1"/>
  <c r="G2414" i="1" s="1"/>
  <c r="C2414" i="1"/>
  <c r="F2413" i="1"/>
  <c r="E2413" i="1"/>
  <c r="D2413" i="1"/>
  <c r="C2413" i="1"/>
  <c r="F2412" i="1"/>
  <c r="E2412" i="1"/>
  <c r="D2412" i="1"/>
  <c r="G2412" i="1" s="1"/>
  <c r="C2412" i="1"/>
  <c r="F2411" i="1"/>
  <c r="E2411" i="1"/>
  <c r="D2411" i="1"/>
  <c r="G2411" i="1" s="1"/>
  <c r="C2411" i="1"/>
  <c r="F2410" i="1"/>
  <c r="E2410" i="1"/>
  <c r="D2410" i="1"/>
  <c r="G2410" i="1" s="1"/>
  <c r="C2410" i="1"/>
  <c r="F2409" i="1"/>
  <c r="E2409" i="1"/>
  <c r="D2409" i="1"/>
  <c r="C2409" i="1"/>
  <c r="F2408" i="1"/>
  <c r="E2408" i="1"/>
  <c r="D2408" i="1"/>
  <c r="G2408" i="1" s="1"/>
  <c r="C2408" i="1"/>
  <c r="F2407" i="1"/>
  <c r="E2407" i="1"/>
  <c r="D2407" i="1"/>
  <c r="C2407" i="1"/>
  <c r="F2406" i="1"/>
  <c r="E2406" i="1"/>
  <c r="D2406" i="1"/>
  <c r="G2406" i="1" s="1"/>
  <c r="C2406" i="1"/>
  <c r="F2405" i="1"/>
  <c r="E2405" i="1"/>
  <c r="D2405" i="1"/>
  <c r="G2405" i="1" s="1"/>
  <c r="C2405" i="1"/>
  <c r="F2404" i="1"/>
  <c r="E2404" i="1"/>
  <c r="D2404" i="1"/>
  <c r="G2404" i="1" s="1"/>
  <c r="C2404" i="1"/>
  <c r="F2403" i="1"/>
  <c r="E2403" i="1"/>
  <c r="D2403" i="1"/>
  <c r="C2403" i="1"/>
  <c r="F2402" i="1"/>
  <c r="E2402" i="1"/>
  <c r="D2402" i="1"/>
  <c r="G2402" i="1" s="1"/>
  <c r="C2402" i="1"/>
  <c r="F2401" i="1"/>
  <c r="E2401" i="1"/>
  <c r="D2401" i="1"/>
  <c r="C2401" i="1"/>
  <c r="F2400" i="1"/>
  <c r="E2400" i="1"/>
  <c r="D2400" i="1"/>
  <c r="G2400" i="1" s="1"/>
  <c r="C2400" i="1"/>
  <c r="F2399" i="1"/>
  <c r="E2399" i="1"/>
  <c r="D2399" i="1"/>
  <c r="G2399" i="1" s="1"/>
  <c r="C2399" i="1"/>
  <c r="F2398" i="1"/>
  <c r="E2398" i="1"/>
  <c r="D2398" i="1"/>
  <c r="G2398" i="1" s="1"/>
  <c r="C2398" i="1"/>
  <c r="F2397" i="1"/>
  <c r="E2397" i="1"/>
  <c r="D2397" i="1"/>
  <c r="C2397" i="1"/>
  <c r="F2396" i="1"/>
  <c r="E2396" i="1"/>
  <c r="D2396" i="1"/>
  <c r="G2396" i="1" s="1"/>
  <c r="C2396" i="1"/>
  <c r="F2395" i="1"/>
  <c r="E2395" i="1"/>
  <c r="D2395" i="1"/>
  <c r="C2395" i="1"/>
  <c r="F2394" i="1"/>
  <c r="E2394" i="1"/>
  <c r="D2394" i="1"/>
  <c r="G2394" i="1" s="1"/>
  <c r="C2394" i="1"/>
  <c r="F2393" i="1"/>
  <c r="E2393" i="1"/>
  <c r="D2393" i="1"/>
  <c r="G2393" i="1" s="1"/>
  <c r="C2393" i="1"/>
  <c r="F2392" i="1"/>
  <c r="E2392" i="1"/>
  <c r="D2392" i="1"/>
  <c r="G2392" i="1" s="1"/>
  <c r="C2392" i="1"/>
  <c r="F2391" i="1"/>
  <c r="E2391" i="1"/>
  <c r="D2391" i="1"/>
  <c r="C2391" i="1"/>
  <c r="F2390" i="1"/>
  <c r="E2390" i="1"/>
  <c r="D2390" i="1"/>
  <c r="G2390" i="1" s="1"/>
  <c r="C2390" i="1"/>
  <c r="F2389" i="1"/>
  <c r="E2389" i="1"/>
  <c r="D2389" i="1"/>
  <c r="C2389" i="1"/>
  <c r="F2388" i="1"/>
  <c r="E2388" i="1"/>
  <c r="D2388" i="1"/>
  <c r="G2388" i="1" s="1"/>
  <c r="C2388" i="1"/>
  <c r="F2387" i="1"/>
  <c r="E2387" i="1"/>
  <c r="D2387" i="1"/>
  <c r="G2387" i="1" s="1"/>
  <c r="C2387" i="1"/>
  <c r="F2386" i="1"/>
  <c r="E2386" i="1"/>
  <c r="D2386" i="1"/>
  <c r="G2386" i="1" s="1"/>
  <c r="C2386" i="1"/>
  <c r="F2385" i="1"/>
  <c r="E2385" i="1"/>
  <c r="D2385" i="1"/>
  <c r="C2385" i="1"/>
  <c r="F2384" i="1"/>
  <c r="E2384" i="1"/>
  <c r="D2384" i="1"/>
  <c r="G2384" i="1" s="1"/>
  <c r="C2384" i="1"/>
  <c r="F2383" i="1"/>
  <c r="E2383" i="1"/>
  <c r="D2383" i="1"/>
  <c r="C2383" i="1"/>
  <c r="F2382" i="1"/>
  <c r="E2382" i="1"/>
  <c r="D2382" i="1"/>
  <c r="G2382" i="1" s="1"/>
  <c r="C2382" i="1"/>
  <c r="C2381" i="1"/>
  <c r="G2381" i="1" s="1"/>
  <c r="C2380" i="1"/>
  <c r="G2380" i="1" s="1"/>
  <c r="F2379" i="1"/>
  <c r="G2379" i="1" s="1"/>
  <c r="E2379" i="1"/>
  <c r="D2379" i="1"/>
  <c r="C2379" i="1"/>
  <c r="F2378" i="1"/>
  <c r="G2378" i="1" s="1"/>
  <c r="E2378" i="1"/>
  <c r="D2378" i="1"/>
  <c r="C2378" i="1"/>
  <c r="F2377" i="1"/>
  <c r="E2377" i="1"/>
  <c r="D2377" i="1"/>
  <c r="C2377" i="1"/>
  <c r="F2376" i="1"/>
  <c r="E2376" i="1"/>
  <c r="D2376" i="1"/>
  <c r="C2376" i="1"/>
  <c r="F2375" i="1"/>
  <c r="G2375" i="1" s="1"/>
  <c r="E2375" i="1"/>
  <c r="D2375" i="1"/>
  <c r="C2375" i="1"/>
  <c r="F2374" i="1"/>
  <c r="G2374" i="1" s="1"/>
  <c r="E2374" i="1"/>
  <c r="D2374" i="1"/>
  <c r="C2374" i="1"/>
  <c r="F2373" i="1"/>
  <c r="G2373" i="1" s="1"/>
  <c r="E2373" i="1"/>
  <c r="D2373" i="1"/>
  <c r="C2373" i="1"/>
  <c r="F2372" i="1"/>
  <c r="E2372" i="1"/>
  <c r="D2372" i="1"/>
  <c r="C2372" i="1"/>
  <c r="F2371" i="1"/>
  <c r="E2371" i="1"/>
  <c r="D2371" i="1"/>
  <c r="C2371" i="1"/>
  <c r="F2370" i="1"/>
  <c r="E2370" i="1"/>
  <c r="D2370" i="1"/>
  <c r="C2370" i="1"/>
  <c r="F2369" i="1"/>
  <c r="G2369" i="1" s="1"/>
  <c r="E2369" i="1"/>
  <c r="D2369" i="1"/>
  <c r="C2369" i="1"/>
  <c r="F2368" i="1"/>
  <c r="G2368" i="1" s="1"/>
  <c r="E2368" i="1"/>
  <c r="D2368" i="1"/>
  <c r="C2368" i="1"/>
  <c r="F2367" i="1"/>
  <c r="G2367" i="1" s="1"/>
  <c r="E2367" i="1"/>
  <c r="D2367" i="1"/>
  <c r="C2367" i="1"/>
  <c r="F2366" i="1"/>
  <c r="G2366" i="1" s="1"/>
  <c r="E2366" i="1"/>
  <c r="D2366" i="1"/>
  <c r="C2366" i="1"/>
  <c r="F2365" i="1"/>
  <c r="E2365" i="1"/>
  <c r="D2365" i="1"/>
  <c r="C2365" i="1"/>
  <c r="F2364" i="1"/>
  <c r="E2364" i="1"/>
  <c r="D2364" i="1"/>
  <c r="C2364" i="1"/>
  <c r="F2363" i="1"/>
  <c r="G2363" i="1" s="1"/>
  <c r="E2363" i="1"/>
  <c r="D2363" i="1"/>
  <c r="C2363" i="1"/>
  <c r="C2362" i="1"/>
  <c r="G2362" i="1" s="1"/>
  <c r="F2361" i="1"/>
  <c r="E2361" i="1"/>
  <c r="D2361" i="1"/>
  <c r="C2361" i="1"/>
  <c r="G2361" i="1" s="1"/>
  <c r="F2360" i="1"/>
  <c r="E2360" i="1"/>
  <c r="D2360" i="1"/>
  <c r="C2360" i="1"/>
  <c r="G2360" i="1" s="1"/>
  <c r="F2359" i="1"/>
  <c r="E2359" i="1"/>
  <c r="D2359" i="1"/>
  <c r="C2359" i="1"/>
  <c r="F2358" i="1"/>
  <c r="E2358" i="1"/>
  <c r="D2358" i="1"/>
  <c r="C2358" i="1"/>
  <c r="F2357" i="1"/>
  <c r="E2357" i="1"/>
  <c r="D2357" i="1"/>
  <c r="C2357" i="1"/>
  <c r="F2356" i="1"/>
  <c r="E2356" i="1"/>
  <c r="D2356" i="1"/>
  <c r="C2356" i="1"/>
  <c r="E2355" i="1"/>
  <c r="D2355" i="1"/>
  <c r="C2355" i="1"/>
  <c r="F2354" i="1"/>
  <c r="G2354" i="1" s="1"/>
  <c r="E2354" i="1"/>
  <c r="D2354" i="1"/>
  <c r="C2354" i="1"/>
  <c r="F2353" i="1"/>
  <c r="G2353" i="1" s="1"/>
  <c r="E2353" i="1"/>
  <c r="D2353" i="1"/>
  <c r="C2353" i="1"/>
  <c r="F2352" i="1"/>
  <c r="E2352" i="1"/>
  <c r="D2352" i="1"/>
  <c r="C2352" i="1"/>
  <c r="F2351" i="1"/>
  <c r="E2351" i="1"/>
  <c r="D2351" i="1"/>
  <c r="C2351" i="1"/>
  <c r="C2347" i="1"/>
  <c r="G2347" i="1" s="1"/>
  <c r="C2346" i="1"/>
  <c r="C2345" i="1"/>
  <c r="G2345" i="1" s="1"/>
  <c r="C2344" i="1"/>
  <c r="G2344" i="1" s="1"/>
  <c r="C2343" i="1"/>
  <c r="G2343" i="1" s="1"/>
  <c r="C2342" i="1"/>
  <c r="C2341" i="1"/>
  <c r="G2341" i="1" s="1"/>
  <c r="C2340" i="1"/>
  <c r="G2340" i="1" s="1"/>
  <c r="C2339" i="1"/>
  <c r="G2339" i="1" s="1"/>
  <c r="C2338" i="1"/>
  <c r="F2337" i="1"/>
  <c r="E2337" i="1"/>
  <c r="D2337" i="1"/>
  <c r="G2337" i="1" s="1"/>
  <c r="C2337" i="1"/>
  <c r="F2336" i="1"/>
  <c r="E2336" i="1"/>
  <c r="D2336" i="1"/>
  <c r="C2336" i="1"/>
  <c r="F2335" i="1"/>
  <c r="E2335" i="1"/>
  <c r="D2335" i="1"/>
  <c r="G2335" i="1" s="1"/>
  <c r="C2335" i="1"/>
  <c r="F2334" i="1"/>
  <c r="E2334" i="1"/>
  <c r="D2334" i="1"/>
  <c r="C2334" i="1"/>
  <c r="F2333" i="1"/>
  <c r="E2333" i="1"/>
  <c r="D2333" i="1"/>
  <c r="G2333" i="1" s="1"/>
  <c r="C2333" i="1"/>
  <c r="F2332" i="1"/>
  <c r="E2332" i="1"/>
  <c r="D2332" i="1"/>
  <c r="G2332" i="1" s="1"/>
  <c r="C2332" i="1"/>
  <c r="F2331" i="1"/>
  <c r="E2331" i="1"/>
  <c r="D2331" i="1"/>
  <c r="G2331" i="1" s="1"/>
  <c r="C2331" i="1"/>
  <c r="F2330" i="1"/>
  <c r="E2330" i="1"/>
  <c r="D2330" i="1"/>
  <c r="C2330" i="1"/>
  <c r="F2329" i="1"/>
  <c r="E2329" i="1"/>
  <c r="D2329" i="1"/>
  <c r="G2329" i="1" s="1"/>
  <c r="C2329" i="1"/>
  <c r="F2328" i="1"/>
  <c r="E2328" i="1"/>
  <c r="D2328" i="1"/>
  <c r="C2328" i="1"/>
  <c r="F2327" i="1"/>
  <c r="E2327" i="1"/>
  <c r="D2327" i="1"/>
  <c r="G2327" i="1" s="1"/>
  <c r="C2327" i="1"/>
  <c r="F2326" i="1"/>
  <c r="E2326" i="1"/>
  <c r="D2326" i="1"/>
  <c r="G2326" i="1" s="1"/>
  <c r="C2326" i="1"/>
  <c r="F2325" i="1"/>
  <c r="E2325" i="1"/>
  <c r="D2325" i="1"/>
  <c r="G2325" i="1" s="1"/>
  <c r="C2325" i="1"/>
  <c r="F2324" i="1"/>
  <c r="E2324" i="1"/>
  <c r="D2324" i="1"/>
  <c r="C2324" i="1"/>
  <c r="F2323" i="1"/>
  <c r="E2323" i="1"/>
  <c r="D2323" i="1"/>
  <c r="G2323" i="1" s="1"/>
  <c r="C2323" i="1"/>
  <c r="F2322" i="1"/>
  <c r="E2322" i="1"/>
  <c r="D2322" i="1"/>
  <c r="C2322" i="1"/>
  <c r="F2321" i="1"/>
  <c r="E2321" i="1"/>
  <c r="D2321" i="1"/>
  <c r="G2321" i="1" s="1"/>
  <c r="C2321" i="1"/>
  <c r="F2320" i="1"/>
  <c r="E2320" i="1"/>
  <c r="D2320" i="1"/>
  <c r="G2320" i="1" s="1"/>
  <c r="C2320" i="1"/>
  <c r="F2319" i="1"/>
  <c r="E2319" i="1"/>
  <c r="D2319" i="1"/>
  <c r="G2319" i="1" s="1"/>
  <c r="C2319" i="1"/>
  <c r="F2318" i="1"/>
  <c r="E2318" i="1"/>
  <c r="D2318" i="1"/>
  <c r="C2318" i="1"/>
  <c r="F2317" i="1"/>
  <c r="E2317" i="1"/>
  <c r="D2317" i="1"/>
  <c r="G2317" i="1" s="1"/>
  <c r="C2317" i="1"/>
  <c r="F2316" i="1"/>
  <c r="E2316" i="1"/>
  <c r="D2316" i="1"/>
  <c r="C2316" i="1"/>
  <c r="F2315" i="1"/>
  <c r="E2315" i="1"/>
  <c r="D2315" i="1"/>
  <c r="G2315" i="1" s="1"/>
  <c r="C2315" i="1"/>
  <c r="F2314" i="1"/>
  <c r="E2314" i="1"/>
  <c r="D2314" i="1"/>
  <c r="G2314" i="1" s="1"/>
  <c r="C2314" i="1"/>
  <c r="F2313" i="1"/>
  <c r="E2313" i="1"/>
  <c r="D2313" i="1"/>
  <c r="G2313" i="1" s="1"/>
  <c r="C2313" i="1"/>
  <c r="F2312" i="1"/>
  <c r="E2312" i="1"/>
  <c r="D2312" i="1"/>
  <c r="C2312" i="1"/>
  <c r="F2311" i="1"/>
  <c r="E2311" i="1"/>
  <c r="D2311" i="1"/>
  <c r="G2311" i="1" s="1"/>
  <c r="C2311" i="1"/>
  <c r="F2310" i="1"/>
  <c r="E2310" i="1"/>
  <c r="D2310" i="1"/>
  <c r="C2310" i="1"/>
  <c r="F2309" i="1"/>
  <c r="E2309" i="1"/>
  <c r="D2309" i="1"/>
  <c r="G2309" i="1" s="1"/>
  <c r="C2309" i="1"/>
  <c r="F2308" i="1"/>
  <c r="E2308" i="1"/>
  <c r="D2308" i="1"/>
  <c r="G2308" i="1" s="1"/>
  <c r="C2308" i="1"/>
  <c r="F2307" i="1"/>
  <c r="E2307" i="1"/>
  <c r="D2307" i="1"/>
  <c r="G2307" i="1" s="1"/>
  <c r="C2307" i="1"/>
  <c r="F2306" i="1"/>
  <c r="E2306" i="1"/>
  <c r="D2306" i="1"/>
  <c r="C2306" i="1"/>
  <c r="F2305" i="1"/>
  <c r="E2305" i="1"/>
  <c r="D2305" i="1"/>
  <c r="G2305" i="1" s="1"/>
  <c r="C2305" i="1"/>
  <c r="F2304" i="1"/>
  <c r="E2304" i="1"/>
  <c r="D2304" i="1"/>
  <c r="C2304" i="1"/>
  <c r="F2303" i="1"/>
  <c r="E2303" i="1"/>
  <c r="D2303" i="1"/>
  <c r="G2303" i="1" s="1"/>
  <c r="C2303" i="1"/>
  <c r="F2302" i="1"/>
  <c r="E2302" i="1"/>
  <c r="D2302" i="1"/>
  <c r="G2302" i="1" s="1"/>
  <c r="C2302" i="1"/>
  <c r="F2301" i="1"/>
  <c r="E2301" i="1"/>
  <c r="D2301" i="1"/>
  <c r="G2301" i="1" s="1"/>
  <c r="C2301" i="1"/>
  <c r="C2300" i="1"/>
  <c r="G2300" i="1" s="1"/>
  <c r="C2299" i="1"/>
  <c r="G2299" i="1" s="1"/>
  <c r="F2298" i="1"/>
  <c r="E2298" i="1"/>
  <c r="D2298" i="1"/>
  <c r="C2298" i="1"/>
  <c r="F2297" i="1"/>
  <c r="E2297" i="1"/>
  <c r="D2297" i="1"/>
  <c r="C2297" i="1"/>
  <c r="F2296" i="1"/>
  <c r="G2296" i="1" s="1"/>
  <c r="E2296" i="1"/>
  <c r="D2296" i="1"/>
  <c r="C2296" i="1"/>
  <c r="F2295" i="1"/>
  <c r="G2295" i="1" s="1"/>
  <c r="E2295" i="1"/>
  <c r="D2295" i="1"/>
  <c r="C2295" i="1"/>
  <c r="F2294" i="1"/>
  <c r="G2294" i="1" s="1"/>
  <c r="E2294" i="1"/>
  <c r="D2294" i="1"/>
  <c r="C2294" i="1"/>
  <c r="F2293" i="1"/>
  <c r="G2293" i="1" s="1"/>
  <c r="E2293" i="1"/>
  <c r="D2293" i="1"/>
  <c r="C2293" i="1"/>
  <c r="F2292" i="1"/>
  <c r="E2292" i="1"/>
  <c r="D2292" i="1"/>
  <c r="C2292" i="1"/>
  <c r="F2291" i="1"/>
  <c r="E2291" i="1"/>
  <c r="D2291" i="1"/>
  <c r="C2291" i="1"/>
  <c r="F2290" i="1"/>
  <c r="E2290" i="1"/>
  <c r="D2290" i="1"/>
  <c r="C2290" i="1"/>
  <c r="F2289" i="1"/>
  <c r="G2289" i="1" s="1"/>
  <c r="E2289" i="1"/>
  <c r="D2289" i="1"/>
  <c r="C2289" i="1"/>
  <c r="F2288" i="1"/>
  <c r="G2288" i="1" s="1"/>
  <c r="E2288" i="1"/>
  <c r="D2288" i="1"/>
  <c r="C2288" i="1"/>
  <c r="F2287" i="1"/>
  <c r="G2287" i="1" s="1"/>
  <c r="E2287" i="1"/>
  <c r="D2287" i="1"/>
  <c r="C2287" i="1"/>
  <c r="F2286" i="1"/>
  <c r="E2286" i="1"/>
  <c r="D2286" i="1"/>
  <c r="C2286" i="1"/>
  <c r="F2285" i="1"/>
  <c r="E2285" i="1"/>
  <c r="D2285" i="1"/>
  <c r="C2285" i="1"/>
  <c r="F2284" i="1"/>
  <c r="G2284" i="1" s="1"/>
  <c r="E2284" i="1"/>
  <c r="D2284" i="1"/>
  <c r="C2284" i="1"/>
  <c r="F2283" i="1"/>
  <c r="G2283" i="1" s="1"/>
  <c r="E2283" i="1"/>
  <c r="D2283" i="1"/>
  <c r="C2283" i="1"/>
  <c r="F2282" i="1"/>
  <c r="G2282" i="1" s="1"/>
  <c r="E2282" i="1"/>
  <c r="D2282" i="1"/>
  <c r="C2282" i="1"/>
  <c r="C2281" i="1"/>
  <c r="G2281" i="1" s="1"/>
  <c r="F2280" i="1"/>
  <c r="E2280" i="1"/>
  <c r="D2280" i="1"/>
  <c r="C2280" i="1"/>
  <c r="G2280" i="1" s="1"/>
  <c r="F2279" i="1"/>
  <c r="E2279" i="1"/>
  <c r="D2279" i="1"/>
  <c r="C2279" i="1"/>
  <c r="F2278" i="1"/>
  <c r="E2278" i="1"/>
  <c r="D2278" i="1"/>
  <c r="C2278" i="1"/>
  <c r="F2277" i="1"/>
  <c r="E2277" i="1"/>
  <c r="D2277" i="1"/>
  <c r="C2277" i="1"/>
  <c r="G2277" i="1" s="1"/>
  <c r="F2276" i="1"/>
  <c r="E2276" i="1"/>
  <c r="D2276" i="1"/>
  <c r="C2276" i="1"/>
  <c r="G2276" i="1" s="1"/>
  <c r="F2275" i="1"/>
  <c r="E2275" i="1"/>
  <c r="D2275" i="1"/>
  <c r="C2275" i="1"/>
  <c r="G2275" i="1" s="1"/>
  <c r="E2274" i="1"/>
  <c r="D2274" i="1"/>
  <c r="C2274" i="1"/>
  <c r="F2273" i="1"/>
  <c r="E2273" i="1"/>
  <c r="D2273" i="1"/>
  <c r="C2273" i="1"/>
  <c r="F2272" i="1"/>
  <c r="E2272" i="1"/>
  <c r="D2272" i="1"/>
  <c r="C2272" i="1"/>
  <c r="F2271" i="1"/>
  <c r="G2271" i="1" s="1"/>
  <c r="E2271" i="1"/>
  <c r="D2271" i="1"/>
  <c r="C2271" i="1"/>
  <c r="F2270" i="1"/>
  <c r="G2270" i="1" s="1"/>
  <c r="E2270" i="1"/>
  <c r="D2270" i="1"/>
  <c r="C2270" i="1"/>
  <c r="C2266" i="1"/>
  <c r="G2266" i="1" s="1"/>
  <c r="C2265" i="1"/>
  <c r="C2264" i="1"/>
  <c r="G2264" i="1" s="1"/>
  <c r="C2263" i="1"/>
  <c r="G2263" i="1" s="1"/>
  <c r="C2262" i="1"/>
  <c r="G2262" i="1" s="1"/>
  <c r="C2261" i="1"/>
  <c r="C2260" i="1"/>
  <c r="G2260" i="1" s="1"/>
  <c r="C2259" i="1"/>
  <c r="G2259" i="1" s="1"/>
  <c r="C2258" i="1"/>
  <c r="G2258" i="1" s="1"/>
  <c r="C2257" i="1"/>
  <c r="G2257" i="1" s="1"/>
  <c r="F2256" i="1"/>
  <c r="E2256" i="1"/>
  <c r="D2256" i="1"/>
  <c r="G2256" i="1" s="1"/>
  <c r="C2256" i="1"/>
  <c r="F2255" i="1"/>
  <c r="E2255" i="1"/>
  <c r="D2255" i="1"/>
  <c r="C2255" i="1"/>
  <c r="F2254" i="1"/>
  <c r="E2254" i="1"/>
  <c r="D2254" i="1"/>
  <c r="G2254" i="1" s="1"/>
  <c r="C2254" i="1"/>
  <c r="F2253" i="1"/>
  <c r="E2253" i="1"/>
  <c r="D2253" i="1"/>
  <c r="C2253" i="1"/>
  <c r="F2252" i="1"/>
  <c r="E2252" i="1"/>
  <c r="D2252" i="1"/>
  <c r="G2252" i="1" s="1"/>
  <c r="C2252" i="1"/>
  <c r="F2251" i="1"/>
  <c r="E2251" i="1"/>
  <c r="D2251" i="1"/>
  <c r="G2251" i="1" s="1"/>
  <c r="C2251" i="1"/>
  <c r="F2250" i="1"/>
  <c r="E2250" i="1"/>
  <c r="D2250" i="1"/>
  <c r="G2250" i="1" s="1"/>
  <c r="C2250" i="1"/>
  <c r="F2249" i="1"/>
  <c r="E2249" i="1"/>
  <c r="D2249" i="1"/>
  <c r="C2249" i="1"/>
  <c r="F2248" i="1"/>
  <c r="E2248" i="1"/>
  <c r="D2248" i="1"/>
  <c r="G2248" i="1" s="1"/>
  <c r="C2248" i="1"/>
  <c r="F2247" i="1"/>
  <c r="E2247" i="1"/>
  <c r="D2247" i="1"/>
  <c r="C2247" i="1"/>
  <c r="F2246" i="1"/>
  <c r="E2246" i="1"/>
  <c r="D2246" i="1"/>
  <c r="G2246" i="1" s="1"/>
  <c r="C2246" i="1"/>
  <c r="F2245" i="1"/>
  <c r="E2245" i="1"/>
  <c r="D2245" i="1"/>
  <c r="G2245" i="1" s="1"/>
  <c r="C2245" i="1"/>
  <c r="F2244" i="1"/>
  <c r="E2244" i="1"/>
  <c r="D2244" i="1"/>
  <c r="G2244" i="1" s="1"/>
  <c r="C2244" i="1"/>
  <c r="F2243" i="1"/>
  <c r="E2243" i="1"/>
  <c r="D2243" i="1"/>
  <c r="C2243" i="1"/>
  <c r="F2242" i="1"/>
  <c r="E2242" i="1"/>
  <c r="D2242" i="1"/>
  <c r="G2242" i="1" s="1"/>
  <c r="C2242" i="1"/>
  <c r="F2241" i="1"/>
  <c r="E2241" i="1"/>
  <c r="D2241" i="1"/>
  <c r="C2241" i="1"/>
  <c r="F2240" i="1"/>
  <c r="E2240" i="1"/>
  <c r="D2240" i="1"/>
  <c r="G2240" i="1" s="1"/>
  <c r="C2240" i="1"/>
  <c r="F2239" i="1"/>
  <c r="E2239" i="1"/>
  <c r="D2239" i="1"/>
  <c r="C2239" i="1"/>
  <c r="F2238" i="1"/>
  <c r="E2238" i="1"/>
  <c r="D2238" i="1"/>
  <c r="G2238" i="1" s="1"/>
  <c r="C2238" i="1"/>
  <c r="F2237" i="1"/>
  <c r="E2237" i="1"/>
  <c r="D2237" i="1"/>
  <c r="C2237" i="1"/>
  <c r="F2236" i="1"/>
  <c r="E2236" i="1"/>
  <c r="D2236" i="1"/>
  <c r="G2236" i="1" s="1"/>
  <c r="C2236" i="1"/>
  <c r="F2235" i="1"/>
  <c r="E2235" i="1"/>
  <c r="D2235" i="1"/>
  <c r="C2235" i="1"/>
  <c r="F2234" i="1"/>
  <c r="E2234" i="1"/>
  <c r="D2234" i="1"/>
  <c r="G2234" i="1" s="1"/>
  <c r="C2234" i="1"/>
  <c r="F2233" i="1"/>
  <c r="E2233" i="1"/>
  <c r="D2233" i="1"/>
  <c r="C2233" i="1"/>
  <c r="F2232" i="1"/>
  <c r="E2232" i="1"/>
  <c r="D2232" i="1"/>
  <c r="G2232" i="1" s="1"/>
  <c r="C2232" i="1"/>
  <c r="F2231" i="1"/>
  <c r="E2231" i="1"/>
  <c r="D2231" i="1"/>
  <c r="C2231" i="1"/>
  <c r="F2230" i="1"/>
  <c r="E2230" i="1"/>
  <c r="D2230" i="1"/>
  <c r="G2230" i="1" s="1"/>
  <c r="C2230" i="1"/>
  <c r="F2229" i="1"/>
  <c r="E2229" i="1"/>
  <c r="D2229" i="1"/>
  <c r="C2229" i="1"/>
  <c r="F2228" i="1"/>
  <c r="E2228" i="1"/>
  <c r="D2228" i="1"/>
  <c r="G2228" i="1" s="1"/>
  <c r="C2228" i="1"/>
  <c r="F2227" i="1"/>
  <c r="E2227" i="1"/>
  <c r="D2227" i="1"/>
  <c r="C2227" i="1"/>
  <c r="F2226" i="1"/>
  <c r="E2226" i="1"/>
  <c r="D2226" i="1"/>
  <c r="G2226" i="1" s="1"/>
  <c r="C2226" i="1"/>
  <c r="F2225" i="1"/>
  <c r="E2225" i="1"/>
  <c r="D2225" i="1"/>
  <c r="C2225" i="1"/>
  <c r="F2224" i="1"/>
  <c r="E2224" i="1"/>
  <c r="D2224" i="1"/>
  <c r="G2224" i="1" s="1"/>
  <c r="C2224" i="1"/>
  <c r="F2223" i="1"/>
  <c r="E2223" i="1"/>
  <c r="D2223" i="1"/>
  <c r="C2223" i="1"/>
  <c r="F2222" i="1"/>
  <c r="E2222" i="1"/>
  <c r="D2222" i="1"/>
  <c r="G2222" i="1" s="1"/>
  <c r="C2222" i="1"/>
  <c r="F2221" i="1"/>
  <c r="E2221" i="1"/>
  <c r="D2221" i="1"/>
  <c r="C2221" i="1"/>
  <c r="F2220" i="1"/>
  <c r="E2220" i="1"/>
  <c r="D2220" i="1"/>
  <c r="G2220" i="1" s="1"/>
  <c r="C2220" i="1"/>
  <c r="C2219" i="1"/>
  <c r="C2218" i="1"/>
  <c r="G2218" i="1" s="1"/>
  <c r="F2217" i="1"/>
  <c r="G2217" i="1" s="1"/>
  <c r="E2217" i="1"/>
  <c r="D2217" i="1"/>
  <c r="C2217" i="1"/>
  <c r="F2216" i="1"/>
  <c r="G2216" i="1" s="1"/>
  <c r="E2216" i="1"/>
  <c r="D2216" i="1"/>
  <c r="C2216" i="1"/>
  <c r="F2215" i="1"/>
  <c r="E2215" i="1"/>
  <c r="D2215" i="1"/>
  <c r="C2215" i="1"/>
  <c r="F2214" i="1"/>
  <c r="G2214" i="1" s="1"/>
  <c r="E2214" i="1"/>
  <c r="D2214" i="1"/>
  <c r="C2214" i="1"/>
  <c r="F2213" i="1"/>
  <c r="E2213" i="1"/>
  <c r="D2213" i="1"/>
  <c r="C2213" i="1"/>
  <c r="F2212" i="1"/>
  <c r="E2212" i="1"/>
  <c r="D2212" i="1"/>
  <c r="C2212" i="1"/>
  <c r="F2211" i="1"/>
  <c r="G2211" i="1" s="1"/>
  <c r="E2211" i="1"/>
  <c r="D2211" i="1"/>
  <c r="C2211" i="1"/>
  <c r="F2210" i="1"/>
  <c r="G2210" i="1" s="1"/>
  <c r="E2210" i="1"/>
  <c r="D2210" i="1"/>
  <c r="C2210" i="1"/>
  <c r="F2209" i="1"/>
  <c r="E2209" i="1"/>
  <c r="D2209" i="1"/>
  <c r="C2209" i="1"/>
  <c r="F2208" i="1"/>
  <c r="E2208" i="1"/>
  <c r="D2208" i="1"/>
  <c r="C2208" i="1"/>
  <c r="F2207" i="1"/>
  <c r="E2207" i="1"/>
  <c r="D2207" i="1"/>
  <c r="C2207" i="1"/>
  <c r="F2206" i="1"/>
  <c r="E2206" i="1"/>
  <c r="D2206" i="1"/>
  <c r="C2206" i="1"/>
  <c r="F2205" i="1"/>
  <c r="G2205" i="1" s="1"/>
  <c r="E2205" i="1"/>
  <c r="D2205" i="1"/>
  <c r="C2205" i="1"/>
  <c r="F2204" i="1"/>
  <c r="G2204" i="1" s="1"/>
  <c r="E2204" i="1"/>
  <c r="D2204" i="1"/>
  <c r="C2204" i="1"/>
  <c r="F2203" i="1"/>
  <c r="G2203" i="1" s="1"/>
  <c r="E2203" i="1"/>
  <c r="D2203" i="1"/>
  <c r="C2203" i="1"/>
  <c r="F2202" i="1"/>
  <c r="G2202" i="1" s="1"/>
  <c r="E2202" i="1"/>
  <c r="D2202" i="1"/>
  <c r="C2202" i="1"/>
  <c r="F2201" i="1"/>
  <c r="E2201" i="1"/>
  <c r="D2201" i="1"/>
  <c r="C2201" i="1"/>
  <c r="C2200" i="1"/>
  <c r="G2200" i="1" s="1"/>
  <c r="F2199" i="1"/>
  <c r="E2199" i="1"/>
  <c r="D2199" i="1"/>
  <c r="C2199" i="1"/>
  <c r="G2199" i="1" s="1"/>
  <c r="F2198" i="1"/>
  <c r="E2198" i="1"/>
  <c r="D2198" i="1"/>
  <c r="C2198" i="1"/>
  <c r="G2198" i="1" s="1"/>
  <c r="F2197" i="1"/>
  <c r="E2197" i="1"/>
  <c r="D2197" i="1"/>
  <c r="C2197" i="1"/>
  <c r="G2197" i="1" s="1"/>
  <c r="F2196" i="1"/>
  <c r="E2196" i="1"/>
  <c r="D2196" i="1"/>
  <c r="C2196" i="1"/>
  <c r="G2196" i="1" s="1"/>
  <c r="F2195" i="1"/>
  <c r="E2195" i="1"/>
  <c r="D2195" i="1"/>
  <c r="C2195" i="1"/>
  <c r="F2194" i="1"/>
  <c r="E2194" i="1"/>
  <c r="D2194" i="1"/>
  <c r="C2194" i="1"/>
  <c r="E2193" i="1"/>
  <c r="D2193" i="1"/>
  <c r="C2193" i="1"/>
  <c r="F2192" i="1"/>
  <c r="G2192" i="1" s="1"/>
  <c r="E2192" i="1"/>
  <c r="D2192" i="1"/>
  <c r="C2192" i="1"/>
  <c r="F2191" i="1"/>
  <c r="G2191" i="1" s="1"/>
  <c r="E2191" i="1"/>
  <c r="D2191" i="1"/>
  <c r="C2191" i="1"/>
  <c r="F2190" i="1"/>
  <c r="E2190" i="1"/>
  <c r="D2190" i="1"/>
  <c r="C2190" i="1"/>
  <c r="F2189" i="1"/>
  <c r="G2189" i="1" s="1"/>
  <c r="E2189" i="1"/>
  <c r="D2189" i="1"/>
  <c r="C2189" i="1"/>
  <c r="C2185" i="1"/>
  <c r="G2185" i="1" s="1"/>
  <c r="C2184" i="1"/>
  <c r="G2184" i="1" s="1"/>
  <c r="C2183" i="1"/>
  <c r="G2183" i="1" s="1"/>
  <c r="C2182" i="1"/>
  <c r="G2182" i="1" s="1"/>
  <c r="C2181" i="1"/>
  <c r="G2181" i="1" s="1"/>
  <c r="C2180" i="1"/>
  <c r="G2180" i="1" s="1"/>
  <c r="C2179" i="1"/>
  <c r="G2179" i="1" s="1"/>
  <c r="C2178" i="1"/>
  <c r="G2178" i="1" s="1"/>
  <c r="C2177" i="1"/>
  <c r="G2177" i="1" s="1"/>
  <c r="C2176" i="1"/>
  <c r="F2175" i="1"/>
  <c r="E2175" i="1"/>
  <c r="D2175" i="1"/>
  <c r="G2175" i="1" s="1"/>
  <c r="C2175" i="1"/>
  <c r="F2174" i="1"/>
  <c r="E2174" i="1"/>
  <c r="D2174" i="1"/>
  <c r="G2174" i="1" s="1"/>
  <c r="C2174" i="1"/>
  <c r="F2173" i="1"/>
  <c r="E2173" i="1"/>
  <c r="D2173" i="1"/>
  <c r="G2173" i="1" s="1"/>
  <c r="C2173" i="1"/>
  <c r="F2172" i="1"/>
  <c r="E2172" i="1"/>
  <c r="D2172" i="1"/>
  <c r="C2172" i="1"/>
  <c r="F2171" i="1"/>
  <c r="E2171" i="1"/>
  <c r="D2171" i="1"/>
  <c r="G2171" i="1" s="1"/>
  <c r="C2171" i="1"/>
  <c r="F2170" i="1"/>
  <c r="E2170" i="1"/>
  <c r="D2170" i="1"/>
  <c r="C2170" i="1"/>
  <c r="F2169" i="1"/>
  <c r="E2169" i="1"/>
  <c r="D2169" i="1"/>
  <c r="G2169" i="1" s="1"/>
  <c r="C2169" i="1"/>
  <c r="F2168" i="1"/>
  <c r="E2168" i="1"/>
  <c r="D2168" i="1"/>
  <c r="G2168" i="1" s="1"/>
  <c r="C2168" i="1"/>
  <c r="F2167" i="1"/>
  <c r="E2167" i="1"/>
  <c r="D2167" i="1"/>
  <c r="G2167" i="1" s="1"/>
  <c r="C2167" i="1"/>
  <c r="F2166" i="1"/>
  <c r="E2166" i="1"/>
  <c r="D2166" i="1"/>
  <c r="C2166" i="1"/>
  <c r="F2165" i="1"/>
  <c r="E2165" i="1"/>
  <c r="D2165" i="1"/>
  <c r="G2165" i="1" s="1"/>
  <c r="C2165" i="1"/>
  <c r="F2164" i="1"/>
  <c r="E2164" i="1"/>
  <c r="D2164" i="1"/>
  <c r="C2164" i="1"/>
  <c r="F2163" i="1"/>
  <c r="E2163" i="1"/>
  <c r="D2163" i="1"/>
  <c r="G2163" i="1" s="1"/>
  <c r="C2163" i="1"/>
  <c r="F2162" i="1"/>
  <c r="E2162" i="1"/>
  <c r="D2162" i="1"/>
  <c r="G2162" i="1" s="1"/>
  <c r="C2162" i="1"/>
  <c r="F2161" i="1"/>
  <c r="E2161" i="1"/>
  <c r="D2161" i="1"/>
  <c r="G2161" i="1" s="1"/>
  <c r="C2161" i="1"/>
  <c r="F2160" i="1"/>
  <c r="E2160" i="1"/>
  <c r="D2160" i="1"/>
  <c r="C2160" i="1"/>
  <c r="F2159" i="1"/>
  <c r="E2159" i="1"/>
  <c r="D2159" i="1"/>
  <c r="G2159" i="1" s="1"/>
  <c r="C2159" i="1"/>
  <c r="F2158" i="1"/>
  <c r="E2158" i="1"/>
  <c r="D2158" i="1"/>
  <c r="C2158" i="1"/>
  <c r="F2157" i="1"/>
  <c r="E2157" i="1"/>
  <c r="D2157" i="1"/>
  <c r="G2157" i="1" s="1"/>
  <c r="C2157" i="1"/>
  <c r="F2156" i="1"/>
  <c r="E2156" i="1"/>
  <c r="D2156" i="1"/>
  <c r="G2156" i="1" s="1"/>
  <c r="C2156" i="1"/>
  <c r="F2155" i="1"/>
  <c r="E2155" i="1"/>
  <c r="D2155" i="1"/>
  <c r="G2155" i="1" s="1"/>
  <c r="C2155" i="1"/>
  <c r="F2154" i="1"/>
  <c r="E2154" i="1"/>
  <c r="D2154" i="1"/>
  <c r="C2154" i="1"/>
  <c r="F2153" i="1"/>
  <c r="E2153" i="1"/>
  <c r="D2153" i="1"/>
  <c r="G2153" i="1" s="1"/>
  <c r="C2153" i="1"/>
  <c r="F2152" i="1"/>
  <c r="E2152" i="1"/>
  <c r="D2152" i="1"/>
  <c r="C2152" i="1"/>
  <c r="F2151" i="1"/>
  <c r="E2151" i="1"/>
  <c r="D2151" i="1"/>
  <c r="G2151" i="1" s="1"/>
  <c r="C2151" i="1"/>
  <c r="F2150" i="1"/>
  <c r="E2150" i="1"/>
  <c r="D2150" i="1"/>
  <c r="G2150" i="1" s="1"/>
  <c r="C2150" i="1"/>
  <c r="F2149" i="1"/>
  <c r="E2149" i="1"/>
  <c r="D2149" i="1"/>
  <c r="G2149" i="1" s="1"/>
  <c r="C2149" i="1"/>
  <c r="F2148" i="1"/>
  <c r="E2148" i="1"/>
  <c r="D2148" i="1"/>
  <c r="C2148" i="1"/>
  <c r="F2147" i="1"/>
  <c r="E2147" i="1"/>
  <c r="D2147" i="1"/>
  <c r="G2147" i="1" s="1"/>
  <c r="C2147" i="1"/>
  <c r="F2146" i="1"/>
  <c r="E2146" i="1"/>
  <c r="D2146" i="1"/>
  <c r="C2146" i="1"/>
  <c r="F2145" i="1"/>
  <c r="E2145" i="1"/>
  <c r="D2145" i="1"/>
  <c r="G2145" i="1" s="1"/>
  <c r="C2145" i="1"/>
  <c r="F2144" i="1"/>
  <c r="E2144" i="1"/>
  <c r="D2144" i="1"/>
  <c r="G2144" i="1" s="1"/>
  <c r="C2144" i="1"/>
  <c r="F2143" i="1"/>
  <c r="E2143" i="1"/>
  <c r="D2143" i="1"/>
  <c r="G2143" i="1" s="1"/>
  <c r="C2143" i="1"/>
  <c r="F2142" i="1"/>
  <c r="E2142" i="1"/>
  <c r="D2142" i="1"/>
  <c r="C2142" i="1"/>
  <c r="F2141" i="1"/>
  <c r="E2141" i="1"/>
  <c r="D2141" i="1"/>
  <c r="G2141" i="1" s="1"/>
  <c r="C2141" i="1"/>
  <c r="F2140" i="1"/>
  <c r="E2140" i="1"/>
  <c r="D2140" i="1"/>
  <c r="C2140" i="1"/>
  <c r="F2139" i="1"/>
  <c r="E2139" i="1"/>
  <c r="D2139" i="1"/>
  <c r="G2139" i="1" s="1"/>
  <c r="C2139" i="1"/>
  <c r="C2138" i="1"/>
  <c r="G2138" i="1" s="1"/>
  <c r="C2137" i="1"/>
  <c r="G2137" i="1" s="1"/>
  <c r="F2136" i="1"/>
  <c r="G2136" i="1" s="1"/>
  <c r="E2136" i="1"/>
  <c r="D2136" i="1"/>
  <c r="C2136" i="1"/>
  <c r="F2135" i="1"/>
  <c r="G2135" i="1" s="1"/>
  <c r="E2135" i="1"/>
  <c r="D2135" i="1"/>
  <c r="C2135" i="1"/>
  <c r="F2134" i="1"/>
  <c r="E2134" i="1"/>
  <c r="D2134" i="1"/>
  <c r="C2134" i="1"/>
  <c r="F2133" i="1"/>
  <c r="E2133" i="1"/>
  <c r="D2133" i="1"/>
  <c r="C2133" i="1"/>
  <c r="F2132" i="1"/>
  <c r="E2132" i="1"/>
  <c r="D2132" i="1"/>
  <c r="C2132" i="1"/>
  <c r="F2131" i="1"/>
  <c r="G2131" i="1" s="1"/>
  <c r="E2131" i="1"/>
  <c r="D2131" i="1"/>
  <c r="C2131" i="1"/>
  <c r="F2130" i="1"/>
  <c r="G2130" i="1" s="1"/>
  <c r="E2130" i="1"/>
  <c r="D2130" i="1"/>
  <c r="C2130" i="1"/>
  <c r="F2129" i="1"/>
  <c r="G2129" i="1" s="1"/>
  <c r="E2129" i="1"/>
  <c r="D2129" i="1"/>
  <c r="C2129" i="1"/>
  <c r="F2128" i="1"/>
  <c r="G2128" i="1" s="1"/>
  <c r="E2128" i="1"/>
  <c r="D2128" i="1"/>
  <c r="C2128" i="1"/>
  <c r="F2127" i="1"/>
  <c r="E2127" i="1"/>
  <c r="D2127" i="1"/>
  <c r="C2127" i="1"/>
  <c r="F2126" i="1"/>
  <c r="G2126" i="1" s="1"/>
  <c r="E2126" i="1"/>
  <c r="D2126" i="1"/>
  <c r="C2126" i="1"/>
  <c r="F2125" i="1"/>
  <c r="G2125" i="1" s="1"/>
  <c r="E2125" i="1"/>
  <c r="D2125" i="1"/>
  <c r="C2125" i="1"/>
  <c r="F2124" i="1"/>
  <c r="G2124" i="1" s="1"/>
  <c r="E2124" i="1"/>
  <c r="D2124" i="1"/>
  <c r="C2124" i="1"/>
  <c r="F2123" i="1"/>
  <c r="G2123" i="1" s="1"/>
  <c r="E2123" i="1"/>
  <c r="D2123" i="1"/>
  <c r="C2123" i="1"/>
  <c r="F2122" i="1"/>
  <c r="E2122" i="1"/>
  <c r="D2122" i="1"/>
  <c r="C2122" i="1"/>
  <c r="F2121" i="1"/>
  <c r="E2121" i="1"/>
  <c r="D2121" i="1"/>
  <c r="C2121" i="1"/>
  <c r="F2120" i="1"/>
  <c r="G2120" i="1" s="1"/>
  <c r="E2120" i="1"/>
  <c r="D2120" i="1"/>
  <c r="C2120" i="1"/>
  <c r="C2119" i="1"/>
  <c r="G2119" i="1" s="1"/>
  <c r="F2118" i="1"/>
  <c r="E2118" i="1"/>
  <c r="D2118" i="1"/>
  <c r="C2118" i="1"/>
  <c r="G2118" i="1" s="1"/>
  <c r="F2117" i="1"/>
  <c r="E2117" i="1"/>
  <c r="D2117" i="1"/>
  <c r="C2117" i="1"/>
  <c r="G2117" i="1" s="1"/>
  <c r="F2116" i="1"/>
  <c r="E2116" i="1"/>
  <c r="D2116" i="1"/>
  <c r="C2116" i="1"/>
  <c r="F2115" i="1"/>
  <c r="E2115" i="1"/>
  <c r="D2115" i="1"/>
  <c r="C2115" i="1"/>
  <c r="F2114" i="1"/>
  <c r="E2114" i="1"/>
  <c r="D2114" i="1"/>
  <c r="C2114" i="1"/>
  <c r="F2113" i="1"/>
  <c r="E2113" i="1"/>
  <c r="D2113" i="1"/>
  <c r="C2113" i="1"/>
  <c r="G2113" i="1" s="1"/>
  <c r="E2112" i="1"/>
  <c r="D2112" i="1"/>
  <c r="C2112" i="1"/>
  <c r="F2111" i="1"/>
  <c r="G2111" i="1" s="1"/>
  <c r="E2111" i="1"/>
  <c r="D2111" i="1"/>
  <c r="C2111" i="1"/>
  <c r="F2110" i="1"/>
  <c r="G2110" i="1" s="1"/>
  <c r="E2110" i="1"/>
  <c r="D2110" i="1"/>
  <c r="C2110" i="1"/>
  <c r="F2109" i="1"/>
  <c r="E2109" i="1"/>
  <c r="D2109" i="1"/>
  <c r="C2109" i="1"/>
  <c r="F2108" i="1"/>
  <c r="E2108" i="1"/>
  <c r="D2108" i="1"/>
  <c r="C2108" i="1"/>
  <c r="C2104" i="1"/>
  <c r="G2104" i="1" s="1"/>
  <c r="C2103" i="1"/>
  <c r="G2103" i="1" s="1"/>
  <c r="C2102" i="1"/>
  <c r="G2102" i="1" s="1"/>
  <c r="C2101" i="1"/>
  <c r="G2101" i="1" s="1"/>
  <c r="C2100" i="1"/>
  <c r="G2100" i="1" s="1"/>
  <c r="C2099" i="1"/>
  <c r="G2099" i="1" s="1"/>
  <c r="C2098" i="1"/>
  <c r="C2097" i="1"/>
  <c r="G2097" i="1" s="1"/>
  <c r="C2096" i="1"/>
  <c r="G2096" i="1" s="1"/>
  <c r="C2095" i="1"/>
  <c r="F2094" i="1"/>
  <c r="E2094" i="1"/>
  <c r="D2094" i="1"/>
  <c r="G2094" i="1" s="1"/>
  <c r="C2094" i="1"/>
  <c r="F2093" i="1"/>
  <c r="E2093" i="1"/>
  <c r="D2093" i="1"/>
  <c r="C2093" i="1"/>
  <c r="F2092" i="1"/>
  <c r="E2092" i="1"/>
  <c r="D2092" i="1"/>
  <c r="G2092" i="1" s="1"/>
  <c r="C2092" i="1"/>
  <c r="F2091" i="1"/>
  <c r="E2091" i="1"/>
  <c r="D2091" i="1"/>
  <c r="C2091" i="1"/>
  <c r="F2090" i="1"/>
  <c r="E2090" i="1"/>
  <c r="D2090" i="1"/>
  <c r="G2090" i="1" s="1"/>
  <c r="C2090" i="1"/>
  <c r="F2089" i="1"/>
  <c r="E2089" i="1"/>
  <c r="D2089" i="1"/>
  <c r="G2089" i="1" s="1"/>
  <c r="C2089" i="1"/>
  <c r="F2088" i="1"/>
  <c r="E2088" i="1"/>
  <c r="D2088" i="1"/>
  <c r="G2088" i="1" s="1"/>
  <c r="C2088" i="1"/>
  <c r="F2087" i="1"/>
  <c r="E2087" i="1"/>
  <c r="D2087" i="1"/>
  <c r="C2087" i="1"/>
  <c r="F2086" i="1"/>
  <c r="E2086" i="1"/>
  <c r="D2086" i="1"/>
  <c r="G2086" i="1" s="1"/>
  <c r="C2086" i="1"/>
  <c r="F2085" i="1"/>
  <c r="E2085" i="1"/>
  <c r="D2085" i="1"/>
  <c r="C2085" i="1"/>
  <c r="F2084" i="1"/>
  <c r="E2084" i="1"/>
  <c r="D2084" i="1"/>
  <c r="G2084" i="1" s="1"/>
  <c r="C2084" i="1"/>
  <c r="F2083" i="1"/>
  <c r="E2083" i="1"/>
  <c r="D2083" i="1"/>
  <c r="G2083" i="1" s="1"/>
  <c r="C2083" i="1"/>
  <c r="F2082" i="1"/>
  <c r="E2082" i="1"/>
  <c r="D2082" i="1"/>
  <c r="G2082" i="1" s="1"/>
  <c r="C2082" i="1"/>
  <c r="F2081" i="1"/>
  <c r="E2081" i="1"/>
  <c r="D2081" i="1"/>
  <c r="C2081" i="1"/>
  <c r="F2080" i="1"/>
  <c r="E2080" i="1"/>
  <c r="D2080" i="1"/>
  <c r="G2080" i="1" s="1"/>
  <c r="C2080" i="1"/>
  <c r="F2079" i="1"/>
  <c r="E2079" i="1"/>
  <c r="D2079" i="1"/>
  <c r="C2079" i="1"/>
  <c r="F2078" i="1"/>
  <c r="E2078" i="1"/>
  <c r="D2078" i="1"/>
  <c r="G2078" i="1" s="1"/>
  <c r="C2078" i="1"/>
  <c r="F2077" i="1"/>
  <c r="E2077" i="1"/>
  <c r="D2077" i="1"/>
  <c r="G2077" i="1" s="1"/>
  <c r="C2077" i="1"/>
  <c r="F2076" i="1"/>
  <c r="E2076" i="1"/>
  <c r="D2076" i="1"/>
  <c r="G2076" i="1" s="1"/>
  <c r="C2076" i="1"/>
  <c r="F2075" i="1"/>
  <c r="E2075" i="1"/>
  <c r="D2075" i="1"/>
  <c r="C2075" i="1"/>
  <c r="F2074" i="1"/>
  <c r="E2074" i="1"/>
  <c r="D2074" i="1"/>
  <c r="G2074" i="1" s="1"/>
  <c r="C2074" i="1"/>
  <c r="F2073" i="1"/>
  <c r="E2073" i="1"/>
  <c r="D2073" i="1"/>
  <c r="C2073" i="1"/>
  <c r="F2072" i="1"/>
  <c r="E2072" i="1"/>
  <c r="D2072" i="1"/>
  <c r="G2072" i="1" s="1"/>
  <c r="C2072" i="1"/>
  <c r="F2071" i="1"/>
  <c r="E2071" i="1"/>
  <c r="D2071" i="1"/>
  <c r="G2071" i="1" s="1"/>
  <c r="C2071" i="1"/>
  <c r="F2070" i="1"/>
  <c r="E2070" i="1"/>
  <c r="D2070" i="1"/>
  <c r="G2070" i="1" s="1"/>
  <c r="C2070" i="1"/>
  <c r="F2069" i="1"/>
  <c r="E2069" i="1"/>
  <c r="D2069" i="1"/>
  <c r="C2069" i="1"/>
  <c r="F2068" i="1"/>
  <c r="E2068" i="1"/>
  <c r="D2068" i="1"/>
  <c r="G2068" i="1" s="1"/>
  <c r="C2068" i="1"/>
  <c r="F2067" i="1"/>
  <c r="E2067" i="1"/>
  <c r="D2067" i="1"/>
  <c r="C2067" i="1"/>
  <c r="F2066" i="1"/>
  <c r="E2066" i="1"/>
  <c r="D2066" i="1"/>
  <c r="G2066" i="1" s="1"/>
  <c r="C2066" i="1"/>
  <c r="F2065" i="1"/>
  <c r="E2065" i="1"/>
  <c r="D2065" i="1"/>
  <c r="G2065" i="1" s="1"/>
  <c r="C2065" i="1"/>
  <c r="F2064" i="1"/>
  <c r="E2064" i="1"/>
  <c r="D2064" i="1"/>
  <c r="G2064" i="1" s="1"/>
  <c r="C2064" i="1"/>
  <c r="F2063" i="1"/>
  <c r="E2063" i="1"/>
  <c r="D2063" i="1"/>
  <c r="C2063" i="1"/>
  <c r="F2062" i="1"/>
  <c r="E2062" i="1"/>
  <c r="D2062" i="1"/>
  <c r="G2062" i="1" s="1"/>
  <c r="C2062" i="1"/>
  <c r="F2061" i="1"/>
  <c r="E2061" i="1"/>
  <c r="D2061" i="1"/>
  <c r="C2061" i="1"/>
  <c r="F2060" i="1"/>
  <c r="E2060" i="1"/>
  <c r="D2060" i="1"/>
  <c r="G2060" i="1" s="1"/>
  <c r="C2060" i="1"/>
  <c r="F2059" i="1"/>
  <c r="E2059" i="1"/>
  <c r="D2059" i="1"/>
  <c r="G2059" i="1" s="1"/>
  <c r="C2059" i="1"/>
  <c r="F2058" i="1"/>
  <c r="E2058" i="1"/>
  <c r="D2058" i="1"/>
  <c r="G2058" i="1" s="1"/>
  <c r="C2058" i="1"/>
  <c r="C2057" i="1"/>
  <c r="G2057" i="1" s="1"/>
  <c r="C2056" i="1"/>
  <c r="G2056" i="1" s="1"/>
  <c r="F2055" i="1"/>
  <c r="E2055" i="1"/>
  <c r="D2055" i="1"/>
  <c r="C2055" i="1"/>
  <c r="F2054" i="1"/>
  <c r="E2054" i="1"/>
  <c r="D2054" i="1"/>
  <c r="C2054" i="1"/>
  <c r="F2053" i="1"/>
  <c r="E2053" i="1"/>
  <c r="D2053" i="1"/>
  <c r="C2053" i="1"/>
  <c r="F2052" i="1"/>
  <c r="G2052" i="1" s="1"/>
  <c r="E2052" i="1"/>
  <c r="D2052" i="1"/>
  <c r="C2052" i="1"/>
  <c r="F2051" i="1"/>
  <c r="G2051" i="1" s="1"/>
  <c r="E2051" i="1"/>
  <c r="D2051" i="1"/>
  <c r="C2051" i="1"/>
  <c r="F2050" i="1"/>
  <c r="G2050" i="1" s="1"/>
  <c r="E2050" i="1"/>
  <c r="D2050" i="1"/>
  <c r="C2050" i="1"/>
  <c r="F2049" i="1"/>
  <c r="E2049" i="1"/>
  <c r="D2049" i="1"/>
  <c r="C2049" i="1"/>
  <c r="F2048" i="1"/>
  <c r="E2048" i="1"/>
  <c r="D2048" i="1"/>
  <c r="C2048" i="1"/>
  <c r="F2047" i="1"/>
  <c r="G2047" i="1" s="1"/>
  <c r="E2047" i="1"/>
  <c r="D2047" i="1"/>
  <c r="C2047" i="1"/>
  <c r="F2046" i="1"/>
  <c r="G2046" i="1" s="1"/>
  <c r="E2046" i="1"/>
  <c r="D2046" i="1"/>
  <c r="C2046" i="1"/>
  <c r="F2045" i="1"/>
  <c r="G2045" i="1" s="1"/>
  <c r="E2045" i="1"/>
  <c r="D2045" i="1"/>
  <c r="C2045" i="1"/>
  <c r="F2044" i="1"/>
  <c r="G2044" i="1" s="1"/>
  <c r="E2044" i="1"/>
  <c r="D2044" i="1"/>
  <c r="C2044" i="1"/>
  <c r="F2043" i="1"/>
  <c r="E2043" i="1"/>
  <c r="D2043" i="1"/>
  <c r="C2043" i="1"/>
  <c r="F2042" i="1"/>
  <c r="E2042" i="1"/>
  <c r="D2042" i="1"/>
  <c r="C2042" i="1"/>
  <c r="F2041" i="1"/>
  <c r="G2041" i="1" s="1"/>
  <c r="E2041" i="1"/>
  <c r="D2041" i="1"/>
  <c r="C2041" i="1"/>
  <c r="F2040" i="1"/>
  <c r="G2040" i="1" s="1"/>
  <c r="E2040" i="1"/>
  <c r="D2040" i="1"/>
  <c r="C2040" i="1"/>
  <c r="F2039" i="1"/>
  <c r="G2039" i="1" s="1"/>
  <c r="E2039" i="1"/>
  <c r="D2039" i="1"/>
  <c r="C2039" i="1"/>
  <c r="C2038" i="1"/>
  <c r="G2038" i="1" s="1"/>
  <c r="F2037" i="1"/>
  <c r="E2037" i="1"/>
  <c r="D2037" i="1"/>
  <c r="C2037" i="1"/>
  <c r="F2036" i="1"/>
  <c r="E2036" i="1"/>
  <c r="D2036" i="1"/>
  <c r="C2036" i="1"/>
  <c r="F2035" i="1"/>
  <c r="E2035" i="1"/>
  <c r="D2035" i="1"/>
  <c r="C2035" i="1"/>
  <c r="F2034" i="1"/>
  <c r="E2034" i="1"/>
  <c r="D2034" i="1"/>
  <c r="C2034" i="1"/>
  <c r="G2034" i="1" s="1"/>
  <c r="F2033" i="1"/>
  <c r="E2033" i="1"/>
  <c r="D2033" i="1"/>
  <c r="C2033" i="1"/>
  <c r="G2033" i="1" s="1"/>
  <c r="F2032" i="1"/>
  <c r="E2032" i="1"/>
  <c r="D2032" i="1"/>
  <c r="C2032" i="1"/>
  <c r="G2032" i="1" s="1"/>
  <c r="E2031" i="1"/>
  <c r="D2031" i="1"/>
  <c r="C2031" i="1"/>
  <c r="F2030" i="1"/>
  <c r="E2030" i="1"/>
  <c r="D2030" i="1"/>
  <c r="C2030" i="1"/>
  <c r="F2029" i="1"/>
  <c r="E2029" i="1"/>
  <c r="D2029" i="1"/>
  <c r="C2029" i="1"/>
  <c r="F2028" i="1"/>
  <c r="G2028" i="1" s="1"/>
  <c r="E2028" i="1"/>
  <c r="D2028" i="1"/>
  <c r="C2028" i="1"/>
  <c r="F2027" i="1"/>
  <c r="G2027" i="1" s="1"/>
  <c r="E2027" i="1"/>
  <c r="D2027" i="1"/>
  <c r="C2027" i="1"/>
  <c r="C2023" i="1"/>
  <c r="G2023" i="1" s="1"/>
  <c r="C2022" i="1"/>
  <c r="G2022" i="1" s="1"/>
  <c r="C2021" i="1"/>
  <c r="G2021" i="1" s="1"/>
  <c r="C2020" i="1"/>
  <c r="G2020" i="1" s="1"/>
  <c r="C2019" i="1"/>
  <c r="G2019" i="1" s="1"/>
  <c r="C2018" i="1"/>
  <c r="G2018" i="1" s="1"/>
  <c r="C2017" i="1"/>
  <c r="G2017" i="1" s="1"/>
  <c r="C2016" i="1"/>
  <c r="G2016" i="1" s="1"/>
  <c r="C2015" i="1"/>
  <c r="G2015" i="1" s="1"/>
  <c r="C2014" i="1"/>
  <c r="G2014" i="1" s="1"/>
  <c r="F2013" i="1"/>
  <c r="E2013" i="1"/>
  <c r="D2013" i="1"/>
  <c r="G2013" i="1" s="1"/>
  <c r="C2013" i="1"/>
  <c r="F2012" i="1"/>
  <c r="E2012" i="1"/>
  <c r="D2012" i="1"/>
  <c r="C2012" i="1"/>
  <c r="F2011" i="1"/>
  <c r="E2011" i="1"/>
  <c r="D2011" i="1"/>
  <c r="G2011" i="1" s="1"/>
  <c r="C2011" i="1"/>
  <c r="F2010" i="1"/>
  <c r="E2010" i="1"/>
  <c r="D2010" i="1"/>
  <c r="G2010" i="1" s="1"/>
  <c r="C2010" i="1"/>
  <c r="F2009" i="1"/>
  <c r="E2009" i="1"/>
  <c r="D2009" i="1"/>
  <c r="G2009" i="1" s="1"/>
  <c r="C2009" i="1"/>
  <c r="F2008" i="1"/>
  <c r="E2008" i="1"/>
  <c r="D2008" i="1"/>
  <c r="C2008" i="1"/>
  <c r="F2007" i="1"/>
  <c r="E2007" i="1"/>
  <c r="D2007" i="1"/>
  <c r="G2007" i="1" s="1"/>
  <c r="C2007" i="1"/>
  <c r="F2006" i="1"/>
  <c r="E2006" i="1"/>
  <c r="D2006" i="1"/>
  <c r="C2006" i="1"/>
  <c r="F2005" i="1"/>
  <c r="E2005" i="1"/>
  <c r="D2005" i="1"/>
  <c r="G2005" i="1" s="1"/>
  <c r="C2005" i="1"/>
  <c r="F2004" i="1"/>
  <c r="E2004" i="1"/>
  <c r="D2004" i="1"/>
  <c r="G2004" i="1" s="1"/>
  <c r="C2004" i="1"/>
  <c r="F2003" i="1"/>
  <c r="E2003" i="1"/>
  <c r="D2003" i="1"/>
  <c r="G2003" i="1" s="1"/>
  <c r="C2003" i="1"/>
  <c r="F2002" i="1"/>
  <c r="E2002" i="1"/>
  <c r="D2002" i="1"/>
  <c r="C2002" i="1"/>
  <c r="F2001" i="1"/>
  <c r="E2001" i="1"/>
  <c r="D2001" i="1"/>
  <c r="G2001" i="1" s="1"/>
  <c r="C2001" i="1"/>
  <c r="F2000" i="1"/>
  <c r="E2000" i="1"/>
  <c r="D2000" i="1"/>
  <c r="C2000" i="1"/>
  <c r="F1999" i="1"/>
  <c r="E1999" i="1"/>
  <c r="D1999" i="1"/>
  <c r="G1999" i="1" s="1"/>
  <c r="C1999" i="1"/>
  <c r="F1998" i="1"/>
  <c r="E1998" i="1"/>
  <c r="D1998" i="1"/>
  <c r="G1998" i="1" s="1"/>
  <c r="C1998" i="1"/>
  <c r="F1997" i="1"/>
  <c r="E1997" i="1"/>
  <c r="D1997" i="1"/>
  <c r="G1997" i="1" s="1"/>
  <c r="C1997" i="1"/>
  <c r="F1996" i="1"/>
  <c r="E1996" i="1"/>
  <c r="D1996" i="1"/>
  <c r="C1996" i="1"/>
  <c r="F1995" i="1"/>
  <c r="E1995" i="1"/>
  <c r="D1995" i="1"/>
  <c r="G1995" i="1" s="1"/>
  <c r="C1995" i="1"/>
  <c r="F1994" i="1"/>
  <c r="E1994" i="1"/>
  <c r="D1994" i="1"/>
  <c r="C1994" i="1"/>
  <c r="F1993" i="1"/>
  <c r="E1993" i="1"/>
  <c r="D1993" i="1"/>
  <c r="G1993" i="1" s="1"/>
  <c r="C1993" i="1"/>
  <c r="F1992" i="1"/>
  <c r="E1992" i="1"/>
  <c r="D1992" i="1"/>
  <c r="G1992" i="1" s="1"/>
  <c r="C1992" i="1"/>
  <c r="F1991" i="1"/>
  <c r="E1991" i="1"/>
  <c r="D1991" i="1"/>
  <c r="G1991" i="1" s="1"/>
  <c r="C1991" i="1"/>
  <c r="F1990" i="1"/>
  <c r="E1990" i="1"/>
  <c r="D1990" i="1"/>
  <c r="C1990" i="1"/>
  <c r="F1989" i="1"/>
  <c r="E1989" i="1"/>
  <c r="D1989" i="1"/>
  <c r="G1989" i="1" s="1"/>
  <c r="C1989" i="1"/>
  <c r="F1988" i="1"/>
  <c r="E1988" i="1"/>
  <c r="D1988" i="1"/>
  <c r="C1988" i="1"/>
  <c r="F1987" i="1"/>
  <c r="E1987" i="1"/>
  <c r="D1987" i="1"/>
  <c r="G1987" i="1" s="1"/>
  <c r="C1987" i="1"/>
  <c r="F1986" i="1"/>
  <c r="E1986" i="1"/>
  <c r="D1986" i="1"/>
  <c r="G1986" i="1" s="1"/>
  <c r="C1986" i="1"/>
  <c r="F1985" i="1"/>
  <c r="E1985" i="1"/>
  <c r="D1985" i="1"/>
  <c r="G1985" i="1" s="1"/>
  <c r="C1985" i="1"/>
  <c r="F1984" i="1"/>
  <c r="E1984" i="1"/>
  <c r="D1984" i="1"/>
  <c r="C1984" i="1"/>
  <c r="F1983" i="1"/>
  <c r="E1983" i="1"/>
  <c r="D1983" i="1"/>
  <c r="G1983" i="1" s="1"/>
  <c r="C1983" i="1"/>
  <c r="F1982" i="1"/>
  <c r="E1982" i="1"/>
  <c r="D1982" i="1"/>
  <c r="C1982" i="1"/>
  <c r="F1981" i="1"/>
  <c r="E1981" i="1"/>
  <c r="D1981" i="1"/>
  <c r="G1981" i="1" s="1"/>
  <c r="C1981" i="1"/>
  <c r="F1980" i="1"/>
  <c r="E1980" i="1"/>
  <c r="D1980" i="1"/>
  <c r="G1980" i="1" s="1"/>
  <c r="C1980" i="1"/>
  <c r="F1979" i="1"/>
  <c r="E1979" i="1"/>
  <c r="D1979" i="1"/>
  <c r="G1979" i="1" s="1"/>
  <c r="C1979" i="1"/>
  <c r="F1978" i="1"/>
  <c r="E1978" i="1"/>
  <c r="D1978" i="1"/>
  <c r="C1978" i="1"/>
  <c r="F1977" i="1"/>
  <c r="E1977" i="1"/>
  <c r="D1977" i="1"/>
  <c r="G1977" i="1" s="1"/>
  <c r="C1977" i="1"/>
  <c r="C1976" i="1"/>
  <c r="G1976" i="1" s="1"/>
  <c r="C1975" i="1"/>
  <c r="G1975" i="1" s="1"/>
  <c r="F1974" i="1"/>
  <c r="G1974" i="1" s="1"/>
  <c r="E1974" i="1"/>
  <c r="D1974" i="1"/>
  <c r="C1974" i="1"/>
  <c r="F1973" i="1"/>
  <c r="G1973" i="1" s="1"/>
  <c r="E1973" i="1"/>
  <c r="D1973" i="1"/>
  <c r="C1973" i="1"/>
  <c r="F1972" i="1"/>
  <c r="G1972" i="1" s="1"/>
  <c r="E1972" i="1"/>
  <c r="D1972" i="1"/>
  <c r="C1972" i="1"/>
  <c r="F1971" i="1"/>
  <c r="G1971" i="1" s="1"/>
  <c r="E1971" i="1"/>
  <c r="D1971" i="1"/>
  <c r="C1971" i="1"/>
  <c r="F1970" i="1"/>
  <c r="G1970" i="1" s="1"/>
  <c r="E1970" i="1"/>
  <c r="D1970" i="1"/>
  <c r="C1970" i="1"/>
  <c r="F1969" i="1"/>
  <c r="E1969" i="1"/>
  <c r="D1969" i="1"/>
  <c r="C1969" i="1"/>
  <c r="F1968" i="1"/>
  <c r="G1968" i="1" s="1"/>
  <c r="E1968" i="1"/>
  <c r="D1968" i="1"/>
  <c r="C1968" i="1"/>
  <c r="F1967" i="1"/>
  <c r="G1967" i="1" s="1"/>
  <c r="E1967" i="1"/>
  <c r="D1967" i="1"/>
  <c r="C1967" i="1"/>
  <c r="F1966" i="1"/>
  <c r="G1966" i="1" s="1"/>
  <c r="E1966" i="1"/>
  <c r="D1966" i="1"/>
  <c r="C1966" i="1"/>
  <c r="F1965" i="1"/>
  <c r="G1965" i="1" s="1"/>
  <c r="E1965" i="1"/>
  <c r="D1965" i="1"/>
  <c r="C1965" i="1"/>
  <c r="F1964" i="1"/>
  <c r="E1964" i="1"/>
  <c r="D1964" i="1"/>
  <c r="C1964" i="1"/>
  <c r="F1963" i="1"/>
  <c r="E1963" i="1"/>
  <c r="D1963" i="1"/>
  <c r="C1963" i="1"/>
  <c r="F1962" i="1"/>
  <c r="G1962" i="1" s="1"/>
  <c r="E1962" i="1"/>
  <c r="D1962" i="1"/>
  <c r="C1962" i="1"/>
  <c r="F1961" i="1"/>
  <c r="E1961" i="1"/>
  <c r="D1961" i="1"/>
  <c r="C1961" i="1"/>
  <c r="F1960" i="1"/>
  <c r="G1960" i="1" s="1"/>
  <c r="E1960" i="1"/>
  <c r="D1960" i="1"/>
  <c r="C1960" i="1"/>
  <c r="F1959" i="1"/>
  <c r="G1959" i="1" s="1"/>
  <c r="E1959" i="1"/>
  <c r="D1959" i="1"/>
  <c r="C1959" i="1"/>
  <c r="F1958" i="1"/>
  <c r="E1958" i="1"/>
  <c r="D1958" i="1"/>
  <c r="C1958" i="1"/>
  <c r="C1957" i="1"/>
  <c r="G1957" i="1" s="1"/>
  <c r="F1956" i="1"/>
  <c r="E1956" i="1"/>
  <c r="D1956" i="1"/>
  <c r="C1956" i="1"/>
  <c r="F1955" i="1"/>
  <c r="E1955" i="1"/>
  <c r="D1955" i="1"/>
  <c r="C1955" i="1"/>
  <c r="G1955" i="1" s="1"/>
  <c r="F1954" i="1"/>
  <c r="E1954" i="1"/>
  <c r="D1954" i="1"/>
  <c r="C1954" i="1"/>
  <c r="G1954" i="1" s="1"/>
  <c r="F1953" i="1"/>
  <c r="E1953" i="1"/>
  <c r="D1953" i="1"/>
  <c r="C1953" i="1"/>
  <c r="G1953" i="1" s="1"/>
  <c r="F1952" i="1"/>
  <c r="E1952" i="1"/>
  <c r="D1952" i="1"/>
  <c r="C1952" i="1"/>
  <c r="F1951" i="1"/>
  <c r="E1951" i="1"/>
  <c r="D1951" i="1"/>
  <c r="C1951" i="1"/>
  <c r="E1950" i="1"/>
  <c r="D1950" i="1"/>
  <c r="C1950" i="1"/>
  <c r="F1949" i="1"/>
  <c r="G1949" i="1" s="1"/>
  <c r="E1949" i="1"/>
  <c r="D1949" i="1"/>
  <c r="C1949" i="1"/>
  <c r="F1948" i="1"/>
  <c r="G1948" i="1" s="1"/>
  <c r="E1948" i="1"/>
  <c r="D1948" i="1"/>
  <c r="C1948" i="1"/>
  <c r="F1947" i="1"/>
  <c r="G1947" i="1" s="1"/>
  <c r="E1947" i="1"/>
  <c r="D1947" i="1"/>
  <c r="C1947" i="1"/>
  <c r="F1946" i="1"/>
  <c r="G1946" i="1" s="1"/>
  <c r="E1946" i="1"/>
  <c r="D1946" i="1"/>
  <c r="C1946" i="1"/>
  <c r="C1942" i="1"/>
  <c r="G1942" i="1" s="1"/>
  <c r="C1941" i="1"/>
  <c r="G1941" i="1" s="1"/>
  <c r="C1940" i="1"/>
  <c r="G1940" i="1" s="1"/>
  <c r="C1939" i="1"/>
  <c r="G1939" i="1" s="1"/>
  <c r="C1938" i="1"/>
  <c r="G1938" i="1" s="1"/>
  <c r="C1937" i="1"/>
  <c r="C1936" i="1"/>
  <c r="G1936" i="1" s="1"/>
  <c r="C1935" i="1"/>
  <c r="G1935" i="1" s="1"/>
  <c r="C1934" i="1"/>
  <c r="G1934" i="1" s="1"/>
  <c r="C1933" i="1"/>
  <c r="G1933" i="1" s="1"/>
  <c r="F1932" i="1"/>
  <c r="E1932" i="1"/>
  <c r="D1932" i="1"/>
  <c r="G1932" i="1" s="1"/>
  <c r="C1932" i="1"/>
  <c r="F1931" i="1"/>
  <c r="E1931" i="1"/>
  <c r="D1931" i="1"/>
  <c r="G1931" i="1" s="1"/>
  <c r="C1931" i="1"/>
  <c r="F1930" i="1"/>
  <c r="E1930" i="1"/>
  <c r="D1930" i="1"/>
  <c r="G1930" i="1" s="1"/>
  <c r="C1930" i="1"/>
  <c r="F1929" i="1"/>
  <c r="E1929" i="1"/>
  <c r="D1929" i="1"/>
  <c r="C1929" i="1"/>
  <c r="F1928" i="1"/>
  <c r="E1928" i="1"/>
  <c r="D1928" i="1"/>
  <c r="G1928" i="1" s="1"/>
  <c r="C1928" i="1"/>
  <c r="F1927" i="1"/>
  <c r="E1927" i="1"/>
  <c r="D1927" i="1"/>
  <c r="C1927" i="1"/>
  <c r="F1926" i="1"/>
  <c r="E1926" i="1"/>
  <c r="D1926" i="1"/>
  <c r="G1926" i="1" s="1"/>
  <c r="C1926" i="1"/>
  <c r="F1925" i="1"/>
  <c r="E1925" i="1"/>
  <c r="D1925" i="1"/>
  <c r="G1925" i="1" s="1"/>
  <c r="C1925" i="1"/>
  <c r="F1924" i="1"/>
  <c r="E1924" i="1"/>
  <c r="D1924" i="1"/>
  <c r="G1924" i="1" s="1"/>
  <c r="C1924" i="1"/>
  <c r="F1923" i="1"/>
  <c r="E1923" i="1"/>
  <c r="D1923" i="1"/>
  <c r="C1923" i="1"/>
  <c r="F1922" i="1"/>
  <c r="E1922" i="1"/>
  <c r="D1922" i="1"/>
  <c r="G1922" i="1" s="1"/>
  <c r="C1922" i="1"/>
  <c r="F1921" i="1"/>
  <c r="E1921" i="1"/>
  <c r="D1921" i="1"/>
  <c r="C1921" i="1"/>
  <c r="F1920" i="1"/>
  <c r="E1920" i="1"/>
  <c r="D1920" i="1"/>
  <c r="G1920" i="1" s="1"/>
  <c r="C1920" i="1"/>
  <c r="F1919" i="1"/>
  <c r="E1919" i="1"/>
  <c r="D1919" i="1"/>
  <c r="G1919" i="1" s="1"/>
  <c r="C1919" i="1"/>
  <c r="F1918" i="1"/>
  <c r="E1918" i="1"/>
  <c r="D1918" i="1"/>
  <c r="G1918" i="1" s="1"/>
  <c r="C1918" i="1"/>
  <c r="F1917" i="1"/>
  <c r="E1917" i="1"/>
  <c r="D1917" i="1"/>
  <c r="C1917" i="1"/>
  <c r="F1916" i="1"/>
  <c r="E1916" i="1"/>
  <c r="D1916" i="1"/>
  <c r="G1916" i="1" s="1"/>
  <c r="C1916" i="1"/>
  <c r="F1915" i="1"/>
  <c r="E1915" i="1"/>
  <c r="D1915" i="1"/>
  <c r="C1915" i="1"/>
  <c r="F1914" i="1"/>
  <c r="E1914" i="1"/>
  <c r="D1914" i="1"/>
  <c r="G1914" i="1" s="1"/>
  <c r="C1914" i="1"/>
  <c r="F1913" i="1"/>
  <c r="E1913" i="1"/>
  <c r="D1913" i="1"/>
  <c r="G1913" i="1" s="1"/>
  <c r="C1913" i="1"/>
  <c r="F1912" i="1"/>
  <c r="E1912" i="1"/>
  <c r="D1912" i="1"/>
  <c r="G1912" i="1" s="1"/>
  <c r="C1912" i="1"/>
  <c r="F1911" i="1"/>
  <c r="E1911" i="1"/>
  <c r="D1911" i="1"/>
  <c r="C1911" i="1"/>
  <c r="F1910" i="1"/>
  <c r="E1910" i="1"/>
  <c r="D1910" i="1"/>
  <c r="G1910" i="1" s="1"/>
  <c r="C1910" i="1"/>
  <c r="F1909" i="1"/>
  <c r="E1909" i="1"/>
  <c r="D1909" i="1"/>
  <c r="C1909" i="1"/>
  <c r="F1908" i="1"/>
  <c r="E1908" i="1"/>
  <c r="D1908" i="1"/>
  <c r="G1908" i="1" s="1"/>
  <c r="C1908" i="1"/>
  <c r="F1907" i="1"/>
  <c r="E1907" i="1"/>
  <c r="D1907" i="1"/>
  <c r="G1907" i="1" s="1"/>
  <c r="C1907" i="1"/>
  <c r="F1906" i="1"/>
  <c r="E1906" i="1"/>
  <c r="D1906" i="1"/>
  <c r="G1906" i="1" s="1"/>
  <c r="C1906" i="1"/>
  <c r="F1905" i="1"/>
  <c r="E1905" i="1"/>
  <c r="D1905" i="1"/>
  <c r="C1905" i="1"/>
  <c r="F1904" i="1"/>
  <c r="E1904" i="1"/>
  <c r="D1904" i="1"/>
  <c r="G1904" i="1" s="1"/>
  <c r="C1904" i="1"/>
  <c r="F1903" i="1"/>
  <c r="E1903" i="1"/>
  <c r="D1903" i="1"/>
  <c r="C1903" i="1"/>
  <c r="F1902" i="1"/>
  <c r="E1902" i="1"/>
  <c r="D1902" i="1"/>
  <c r="G1902" i="1" s="1"/>
  <c r="C1902" i="1"/>
  <c r="F1901" i="1"/>
  <c r="E1901" i="1"/>
  <c r="D1901" i="1"/>
  <c r="G1901" i="1" s="1"/>
  <c r="C1901" i="1"/>
  <c r="F1900" i="1"/>
  <c r="E1900" i="1"/>
  <c r="D1900" i="1"/>
  <c r="G1900" i="1" s="1"/>
  <c r="C1900" i="1"/>
  <c r="F1899" i="1"/>
  <c r="E1899" i="1"/>
  <c r="D1899" i="1"/>
  <c r="C1899" i="1"/>
  <c r="F1898" i="1"/>
  <c r="E1898" i="1"/>
  <c r="D1898" i="1"/>
  <c r="G1898" i="1" s="1"/>
  <c r="C1898" i="1"/>
  <c r="F1897" i="1"/>
  <c r="E1897" i="1"/>
  <c r="D1897" i="1"/>
  <c r="C1897" i="1"/>
  <c r="F1896" i="1"/>
  <c r="E1896" i="1"/>
  <c r="D1896" i="1"/>
  <c r="G1896" i="1" s="1"/>
  <c r="C1896" i="1"/>
  <c r="C1895" i="1"/>
  <c r="G1895" i="1" s="1"/>
  <c r="C1894" i="1"/>
  <c r="G1894" i="1" s="1"/>
  <c r="F1893" i="1"/>
  <c r="G1893" i="1" s="1"/>
  <c r="E1893" i="1"/>
  <c r="D1893" i="1"/>
  <c r="C1893" i="1"/>
  <c r="F1892" i="1"/>
  <c r="G1892" i="1" s="1"/>
  <c r="E1892" i="1"/>
  <c r="D1892" i="1"/>
  <c r="C1892" i="1"/>
  <c r="F1891" i="1"/>
  <c r="E1891" i="1"/>
  <c r="D1891" i="1"/>
  <c r="C1891" i="1"/>
  <c r="F1890" i="1"/>
  <c r="E1890" i="1"/>
  <c r="D1890" i="1"/>
  <c r="C1890" i="1"/>
  <c r="F1889" i="1"/>
  <c r="G1889" i="1" s="1"/>
  <c r="E1889" i="1"/>
  <c r="D1889" i="1"/>
  <c r="C1889" i="1"/>
  <c r="F1888" i="1"/>
  <c r="G1888" i="1" s="1"/>
  <c r="E1888" i="1"/>
  <c r="D1888" i="1"/>
  <c r="C1888" i="1"/>
  <c r="F1887" i="1"/>
  <c r="G1887" i="1" s="1"/>
  <c r="E1887" i="1"/>
  <c r="D1887" i="1"/>
  <c r="C1887" i="1"/>
  <c r="F1886" i="1"/>
  <c r="G1886" i="1" s="1"/>
  <c r="E1886" i="1"/>
  <c r="D1886" i="1"/>
  <c r="C1886" i="1"/>
  <c r="F1885" i="1"/>
  <c r="E1885" i="1"/>
  <c r="D1885" i="1"/>
  <c r="C1885" i="1"/>
  <c r="F1884" i="1"/>
  <c r="E1884" i="1"/>
  <c r="D1884" i="1"/>
  <c r="C1884" i="1"/>
  <c r="F1883" i="1"/>
  <c r="G1883" i="1" s="1"/>
  <c r="E1883" i="1"/>
  <c r="D1883" i="1"/>
  <c r="C1883" i="1"/>
  <c r="F1882" i="1"/>
  <c r="G1882" i="1" s="1"/>
  <c r="E1882" i="1"/>
  <c r="D1882" i="1"/>
  <c r="C1882" i="1"/>
  <c r="F1881" i="1"/>
  <c r="G1881" i="1" s="1"/>
  <c r="E1881" i="1"/>
  <c r="D1881" i="1"/>
  <c r="C1881" i="1"/>
  <c r="F1880" i="1"/>
  <c r="G1880" i="1" s="1"/>
  <c r="E1880" i="1"/>
  <c r="D1880" i="1"/>
  <c r="C1880" i="1"/>
  <c r="F1879" i="1"/>
  <c r="E1879" i="1"/>
  <c r="D1879" i="1"/>
  <c r="C1879" i="1"/>
  <c r="F1878" i="1"/>
  <c r="E1878" i="1"/>
  <c r="D1878" i="1"/>
  <c r="C1878" i="1"/>
  <c r="F1877" i="1"/>
  <c r="G1877" i="1" s="1"/>
  <c r="E1877" i="1"/>
  <c r="D1877" i="1"/>
  <c r="C1877" i="1"/>
  <c r="C1876" i="1"/>
  <c r="G1876" i="1" s="1"/>
  <c r="F1875" i="1"/>
  <c r="E1875" i="1"/>
  <c r="D1875" i="1"/>
  <c r="C1875" i="1"/>
  <c r="G1875" i="1" s="1"/>
  <c r="F1874" i="1"/>
  <c r="E1874" i="1"/>
  <c r="D1874" i="1"/>
  <c r="C1874" i="1"/>
  <c r="G1874" i="1" s="1"/>
  <c r="F1873" i="1"/>
  <c r="E1873" i="1"/>
  <c r="D1873" i="1"/>
  <c r="C1873" i="1"/>
  <c r="F1872" i="1"/>
  <c r="E1872" i="1"/>
  <c r="D1872" i="1"/>
  <c r="C1872" i="1"/>
  <c r="F1871" i="1"/>
  <c r="E1871" i="1"/>
  <c r="D1871" i="1"/>
  <c r="C1871" i="1"/>
  <c r="F1870" i="1"/>
  <c r="E1870" i="1"/>
  <c r="D1870" i="1"/>
  <c r="C1870" i="1"/>
  <c r="G1870" i="1" s="1"/>
  <c r="E1869" i="1"/>
  <c r="D1869" i="1"/>
  <c r="C1869" i="1"/>
  <c r="F1868" i="1"/>
  <c r="G1868" i="1" s="1"/>
  <c r="E1868" i="1"/>
  <c r="D1868" i="1"/>
  <c r="C1868" i="1"/>
  <c r="F1867" i="1"/>
  <c r="G1867" i="1" s="1"/>
  <c r="E1867" i="1"/>
  <c r="D1867" i="1"/>
  <c r="C1867" i="1"/>
  <c r="F1866" i="1"/>
  <c r="E1866" i="1"/>
  <c r="D1866" i="1"/>
  <c r="C1866" i="1"/>
  <c r="F1865" i="1"/>
  <c r="E1865" i="1"/>
  <c r="D1865" i="1"/>
  <c r="C1865" i="1"/>
  <c r="C1861" i="1"/>
  <c r="G1861" i="1" s="1"/>
  <c r="C1860" i="1"/>
  <c r="C1859" i="1"/>
  <c r="G1859" i="1" s="1"/>
  <c r="C1858" i="1"/>
  <c r="G1858" i="1" s="1"/>
  <c r="C1857" i="1"/>
  <c r="G1857" i="1" s="1"/>
  <c r="C1856" i="1"/>
  <c r="G1856" i="1" s="1"/>
  <c r="C1855" i="1"/>
  <c r="G1855" i="1" s="1"/>
  <c r="C1854" i="1"/>
  <c r="G1854" i="1" s="1"/>
  <c r="C1853" i="1"/>
  <c r="G1853" i="1" s="1"/>
  <c r="C1852" i="1"/>
  <c r="G1852" i="1" s="1"/>
  <c r="F1851" i="1"/>
  <c r="E1851" i="1"/>
  <c r="D1851" i="1"/>
  <c r="G1851" i="1" s="1"/>
  <c r="C1851" i="1"/>
  <c r="F1850" i="1"/>
  <c r="E1850" i="1"/>
  <c r="D1850" i="1"/>
  <c r="C1850" i="1"/>
  <c r="F1849" i="1"/>
  <c r="E1849" i="1"/>
  <c r="D1849" i="1"/>
  <c r="G1849" i="1" s="1"/>
  <c r="C1849" i="1"/>
  <c r="F1848" i="1"/>
  <c r="E1848" i="1"/>
  <c r="D1848" i="1"/>
  <c r="C1848" i="1"/>
  <c r="F1847" i="1"/>
  <c r="E1847" i="1"/>
  <c r="D1847" i="1"/>
  <c r="G1847" i="1" s="1"/>
  <c r="C1847" i="1"/>
  <c r="F1846" i="1"/>
  <c r="E1846" i="1"/>
  <c r="D1846" i="1"/>
  <c r="G1846" i="1" s="1"/>
  <c r="C1846" i="1"/>
  <c r="F1845" i="1"/>
  <c r="E1845" i="1"/>
  <c r="D1845" i="1"/>
  <c r="G1845" i="1" s="1"/>
  <c r="C1845" i="1"/>
  <c r="F1844" i="1"/>
  <c r="E1844" i="1"/>
  <c r="D1844" i="1"/>
  <c r="C1844" i="1"/>
  <c r="F1843" i="1"/>
  <c r="E1843" i="1"/>
  <c r="D1843" i="1"/>
  <c r="G1843" i="1" s="1"/>
  <c r="C1843" i="1"/>
  <c r="F1842" i="1"/>
  <c r="E1842" i="1"/>
  <c r="D1842" i="1"/>
  <c r="C1842" i="1"/>
  <c r="F1841" i="1"/>
  <c r="E1841" i="1"/>
  <c r="D1841" i="1"/>
  <c r="G1841" i="1" s="1"/>
  <c r="C1841" i="1"/>
  <c r="F1840" i="1"/>
  <c r="E1840" i="1"/>
  <c r="D1840" i="1"/>
  <c r="G1840" i="1" s="1"/>
  <c r="C1840" i="1"/>
  <c r="F1839" i="1"/>
  <c r="E1839" i="1"/>
  <c r="D1839" i="1"/>
  <c r="G1839" i="1" s="1"/>
  <c r="C1839" i="1"/>
  <c r="F1838" i="1"/>
  <c r="E1838" i="1"/>
  <c r="D1838" i="1"/>
  <c r="C1838" i="1"/>
  <c r="F1837" i="1"/>
  <c r="E1837" i="1"/>
  <c r="D1837" i="1"/>
  <c r="G1837" i="1" s="1"/>
  <c r="C1837" i="1"/>
  <c r="F1836" i="1"/>
  <c r="E1836" i="1"/>
  <c r="D1836" i="1"/>
  <c r="C1836" i="1"/>
  <c r="F1835" i="1"/>
  <c r="E1835" i="1"/>
  <c r="D1835" i="1"/>
  <c r="G1835" i="1" s="1"/>
  <c r="C1835" i="1"/>
  <c r="F1834" i="1"/>
  <c r="E1834" i="1"/>
  <c r="D1834" i="1"/>
  <c r="G1834" i="1" s="1"/>
  <c r="C1834" i="1"/>
  <c r="F1833" i="1"/>
  <c r="E1833" i="1"/>
  <c r="D1833" i="1"/>
  <c r="G1833" i="1" s="1"/>
  <c r="C1833" i="1"/>
  <c r="F1832" i="1"/>
  <c r="E1832" i="1"/>
  <c r="D1832" i="1"/>
  <c r="C1832" i="1"/>
  <c r="F1831" i="1"/>
  <c r="E1831" i="1"/>
  <c r="D1831" i="1"/>
  <c r="G1831" i="1" s="1"/>
  <c r="C1831" i="1"/>
  <c r="F1830" i="1"/>
  <c r="E1830" i="1"/>
  <c r="D1830" i="1"/>
  <c r="C1830" i="1"/>
  <c r="F1829" i="1"/>
  <c r="E1829" i="1"/>
  <c r="D1829" i="1"/>
  <c r="G1829" i="1" s="1"/>
  <c r="C1829" i="1"/>
  <c r="F1828" i="1"/>
  <c r="E1828" i="1"/>
  <c r="D1828" i="1"/>
  <c r="G1828" i="1" s="1"/>
  <c r="C1828" i="1"/>
  <c r="F1827" i="1"/>
  <c r="E1827" i="1"/>
  <c r="D1827" i="1"/>
  <c r="G1827" i="1" s="1"/>
  <c r="C1827" i="1"/>
  <c r="F1826" i="1"/>
  <c r="E1826" i="1"/>
  <c r="D1826" i="1"/>
  <c r="C1826" i="1"/>
  <c r="F1825" i="1"/>
  <c r="E1825" i="1"/>
  <c r="D1825" i="1"/>
  <c r="G1825" i="1" s="1"/>
  <c r="C1825" i="1"/>
  <c r="F1824" i="1"/>
  <c r="E1824" i="1"/>
  <c r="D1824" i="1"/>
  <c r="C1824" i="1"/>
  <c r="F1823" i="1"/>
  <c r="E1823" i="1"/>
  <c r="D1823" i="1"/>
  <c r="G1823" i="1" s="1"/>
  <c r="C1823" i="1"/>
  <c r="F1822" i="1"/>
  <c r="E1822" i="1"/>
  <c r="D1822" i="1"/>
  <c r="G1822" i="1" s="1"/>
  <c r="C1822" i="1"/>
  <c r="F1821" i="1"/>
  <c r="E1821" i="1"/>
  <c r="D1821" i="1"/>
  <c r="G1821" i="1" s="1"/>
  <c r="C1821" i="1"/>
  <c r="F1820" i="1"/>
  <c r="E1820" i="1"/>
  <c r="D1820" i="1"/>
  <c r="C1820" i="1"/>
  <c r="F1819" i="1"/>
  <c r="E1819" i="1"/>
  <c r="D1819" i="1"/>
  <c r="G1819" i="1" s="1"/>
  <c r="C1819" i="1"/>
  <c r="F1818" i="1"/>
  <c r="E1818" i="1"/>
  <c r="D1818" i="1"/>
  <c r="C1818" i="1"/>
  <c r="F1817" i="1"/>
  <c r="E1817" i="1"/>
  <c r="D1817" i="1"/>
  <c r="G1817" i="1" s="1"/>
  <c r="C1817" i="1"/>
  <c r="F1816" i="1"/>
  <c r="E1816" i="1"/>
  <c r="D1816" i="1"/>
  <c r="G1816" i="1" s="1"/>
  <c r="C1816" i="1"/>
  <c r="F1815" i="1"/>
  <c r="E1815" i="1"/>
  <c r="D1815" i="1"/>
  <c r="G1815" i="1" s="1"/>
  <c r="C1815" i="1"/>
  <c r="C1814" i="1"/>
  <c r="G1814" i="1" s="1"/>
  <c r="C1813" i="1"/>
  <c r="G1813" i="1" s="1"/>
  <c r="F1812" i="1"/>
  <c r="G1812" i="1" s="1"/>
  <c r="E1812" i="1"/>
  <c r="D1812" i="1"/>
  <c r="C1812" i="1"/>
  <c r="F1811" i="1"/>
  <c r="E1811" i="1"/>
  <c r="D1811" i="1"/>
  <c r="C1811" i="1"/>
  <c r="F1810" i="1"/>
  <c r="G1810" i="1" s="1"/>
  <c r="E1810" i="1"/>
  <c r="D1810" i="1"/>
  <c r="C1810" i="1"/>
  <c r="F1809" i="1"/>
  <c r="G1809" i="1" s="1"/>
  <c r="E1809" i="1"/>
  <c r="D1809" i="1"/>
  <c r="C1809" i="1"/>
  <c r="F1808" i="1"/>
  <c r="E1808" i="1"/>
  <c r="D1808" i="1"/>
  <c r="C1808" i="1"/>
  <c r="F1807" i="1"/>
  <c r="G1807" i="1" s="1"/>
  <c r="E1807" i="1"/>
  <c r="D1807" i="1"/>
  <c r="C1807" i="1"/>
  <c r="F1806" i="1"/>
  <c r="E1806" i="1"/>
  <c r="D1806" i="1"/>
  <c r="C1806" i="1"/>
  <c r="F1805" i="1"/>
  <c r="E1805" i="1"/>
  <c r="D1805" i="1"/>
  <c r="C1805" i="1"/>
  <c r="F1804" i="1"/>
  <c r="G1804" i="1" s="1"/>
  <c r="E1804" i="1"/>
  <c r="D1804" i="1"/>
  <c r="C1804" i="1"/>
  <c r="F1803" i="1"/>
  <c r="G1803" i="1" s="1"/>
  <c r="E1803" i="1"/>
  <c r="D1803" i="1"/>
  <c r="C1803" i="1"/>
  <c r="F1802" i="1"/>
  <c r="G1802" i="1" s="1"/>
  <c r="E1802" i="1"/>
  <c r="D1802" i="1"/>
  <c r="C1802" i="1"/>
  <c r="F1801" i="1"/>
  <c r="G1801" i="1" s="1"/>
  <c r="E1801" i="1"/>
  <c r="D1801" i="1"/>
  <c r="C1801" i="1"/>
  <c r="F1800" i="1"/>
  <c r="E1800" i="1"/>
  <c r="D1800" i="1"/>
  <c r="C1800" i="1"/>
  <c r="F1799" i="1"/>
  <c r="G1799" i="1" s="1"/>
  <c r="E1799" i="1"/>
  <c r="D1799" i="1"/>
  <c r="C1799" i="1"/>
  <c r="F1798" i="1"/>
  <c r="G1798" i="1" s="1"/>
  <c r="E1798" i="1"/>
  <c r="D1798" i="1"/>
  <c r="C1798" i="1"/>
  <c r="F1797" i="1"/>
  <c r="G1797" i="1" s="1"/>
  <c r="E1797" i="1"/>
  <c r="D1797" i="1"/>
  <c r="C1797" i="1"/>
  <c r="F1796" i="1"/>
  <c r="G1796" i="1" s="1"/>
  <c r="E1796" i="1"/>
  <c r="D1796" i="1"/>
  <c r="C1796" i="1"/>
  <c r="C1795" i="1"/>
  <c r="G1795" i="1" s="1"/>
  <c r="F1794" i="1"/>
  <c r="E1794" i="1"/>
  <c r="D1794" i="1"/>
  <c r="C1794" i="1"/>
  <c r="F1793" i="1"/>
  <c r="E1793" i="1"/>
  <c r="D1793" i="1"/>
  <c r="C1793" i="1"/>
  <c r="F1792" i="1"/>
  <c r="E1792" i="1"/>
  <c r="D1792" i="1"/>
  <c r="C1792" i="1"/>
  <c r="F1791" i="1"/>
  <c r="E1791" i="1"/>
  <c r="D1791" i="1"/>
  <c r="C1791" i="1"/>
  <c r="G1791" i="1" s="1"/>
  <c r="F1790" i="1"/>
  <c r="E1790" i="1"/>
  <c r="D1790" i="1"/>
  <c r="C1790" i="1"/>
  <c r="G1790" i="1" s="1"/>
  <c r="F1789" i="1"/>
  <c r="E1789" i="1"/>
  <c r="D1789" i="1"/>
  <c r="C1789" i="1"/>
  <c r="G1789" i="1" s="1"/>
  <c r="E1788" i="1"/>
  <c r="D1788" i="1"/>
  <c r="C1788" i="1"/>
  <c r="F1787" i="1"/>
  <c r="E1787" i="1"/>
  <c r="D1787" i="1"/>
  <c r="C1787" i="1"/>
  <c r="F1786" i="1"/>
  <c r="E1786" i="1"/>
  <c r="D1786" i="1"/>
  <c r="C1786" i="1"/>
  <c r="F1785" i="1"/>
  <c r="G1785" i="1" s="1"/>
  <c r="E1785" i="1"/>
  <c r="D1785" i="1"/>
  <c r="C1785" i="1"/>
  <c r="F1784" i="1"/>
  <c r="G1784" i="1" s="1"/>
  <c r="E1784" i="1"/>
  <c r="D1784" i="1"/>
  <c r="C1784" i="1"/>
  <c r="C1780" i="1"/>
  <c r="G1780" i="1" s="1"/>
  <c r="C1779" i="1"/>
  <c r="C1778" i="1"/>
  <c r="G1778" i="1" s="1"/>
  <c r="C1777" i="1"/>
  <c r="G1777" i="1" s="1"/>
  <c r="C1776" i="1"/>
  <c r="G1776" i="1" s="1"/>
  <c r="C1775" i="1"/>
  <c r="G1775" i="1" s="1"/>
  <c r="C1774" i="1"/>
  <c r="G1774" i="1" s="1"/>
  <c r="C1773" i="1"/>
  <c r="G1773" i="1" s="1"/>
  <c r="C1772" i="1"/>
  <c r="G1772" i="1" s="1"/>
  <c r="C1771" i="1"/>
  <c r="G1771" i="1" s="1"/>
  <c r="F1770" i="1"/>
  <c r="E1770" i="1"/>
  <c r="D1770" i="1"/>
  <c r="G1770" i="1" s="1"/>
  <c r="C1770" i="1"/>
  <c r="F1769" i="1"/>
  <c r="E1769" i="1"/>
  <c r="D1769" i="1"/>
  <c r="C1769" i="1"/>
  <c r="F1768" i="1"/>
  <c r="E1768" i="1"/>
  <c r="D1768" i="1"/>
  <c r="G1768" i="1" s="1"/>
  <c r="C1768" i="1"/>
  <c r="F1767" i="1"/>
  <c r="E1767" i="1"/>
  <c r="D1767" i="1"/>
  <c r="G1767" i="1" s="1"/>
  <c r="C1767" i="1"/>
  <c r="F1766" i="1"/>
  <c r="E1766" i="1"/>
  <c r="D1766" i="1"/>
  <c r="G1766" i="1" s="1"/>
  <c r="C1766" i="1"/>
  <c r="F1765" i="1"/>
  <c r="E1765" i="1"/>
  <c r="D1765" i="1"/>
  <c r="C1765" i="1"/>
  <c r="F1764" i="1"/>
  <c r="E1764" i="1"/>
  <c r="D1764" i="1"/>
  <c r="G1764" i="1" s="1"/>
  <c r="C1764" i="1"/>
  <c r="F1763" i="1"/>
  <c r="E1763" i="1"/>
  <c r="D1763" i="1"/>
  <c r="C1763" i="1"/>
  <c r="F1762" i="1"/>
  <c r="E1762" i="1"/>
  <c r="D1762" i="1"/>
  <c r="G1762" i="1" s="1"/>
  <c r="C1762" i="1"/>
  <c r="F1761" i="1"/>
  <c r="E1761" i="1"/>
  <c r="D1761" i="1"/>
  <c r="G1761" i="1" s="1"/>
  <c r="C1761" i="1"/>
  <c r="F1760" i="1"/>
  <c r="E1760" i="1"/>
  <c r="D1760" i="1"/>
  <c r="G1760" i="1" s="1"/>
  <c r="C1760" i="1"/>
  <c r="F1759" i="1"/>
  <c r="E1759" i="1"/>
  <c r="D1759" i="1"/>
  <c r="C1759" i="1"/>
  <c r="F1758" i="1"/>
  <c r="E1758" i="1"/>
  <c r="D1758" i="1"/>
  <c r="G1758" i="1" s="1"/>
  <c r="C1758" i="1"/>
  <c r="F1757" i="1"/>
  <c r="E1757" i="1"/>
  <c r="D1757" i="1"/>
  <c r="C1757" i="1"/>
  <c r="F1756" i="1"/>
  <c r="E1756" i="1"/>
  <c r="D1756" i="1"/>
  <c r="G1756" i="1" s="1"/>
  <c r="C1756" i="1"/>
  <c r="F1755" i="1"/>
  <c r="E1755" i="1"/>
  <c r="D1755" i="1"/>
  <c r="G1755" i="1" s="1"/>
  <c r="C1755" i="1"/>
  <c r="F1754" i="1"/>
  <c r="E1754" i="1"/>
  <c r="D1754" i="1"/>
  <c r="G1754" i="1" s="1"/>
  <c r="C1754" i="1"/>
  <c r="F1753" i="1"/>
  <c r="E1753" i="1"/>
  <c r="D1753" i="1"/>
  <c r="C1753" i="1"/>
  <c r="F1752" i="1"/>
  <c r="E1752" i="1"/>
  <c r="D1752" i="1"/>
  <c r="G1752" i="1" s="1"/>
  <c r="C1752" i="1"/>
  <c r="F1751" i="1"/>
  <c r="E1751" i="1"/>
  <c r="D1751" i="1"/>
  <c r="C1751" i="1"/>
  <c r="F1750" i="1"/>
  <c r="E1750" i="1"/>
  <c r="D1750" i="1"/>
  <c r="G1750" i="1" s="1"/>
  <c r="C1750" i="1"/>
  <c r="F1749" i="1"/>
  <c r="E1749" i="1"/>
  <c r="D1749" i="1"/>
  <c r="G1749" i="1" s="1"/>
  <c r="C1749" i="1"/>
  <c r="F1748" i="1"/>
  <c r="E1748" i="1"/>
  <c r="D1748" i="1"/>
  <c r="G1748" i="1" s="1"/>
  <c r="C1748" i="1"/>
  <c r="F1747" i="1"/>
  <c r="E1747" i="1"/>
  <c r="D1747" i="1"/>
  <c r="C1747" i="1"/>
  <c r="F1746" i="1"/>
  <c r="E1746" i="1"/>
  <c r="D1746" i="1"/>
  <c r="G1746" i="1" s="1"/>
  <c r="C1746" i="1"/>
  <c r="F1745" i="1"/>
  <c r="E1745" i="1"/>
  <c r="D1745" i="1"/>
  <c r="G1745" i="1" s="1"/>
  <c r="C1745" i="1"/>
  <c r="F1744" i="1"/>
  <c r="E1744" i="1"/>
  <c r="D1744" i="1"/>
  <c r="G1744" i="1" s="1"/>
  <c r="C1744" i="1"/>
  <c r="F1743" i="1"/>
  <c r="E1743" i="1"/>
  <c r="D1743" i="1"/>
  <c r="G1743" i="1" s="1"/>
  <c r="C1743" i="1"/>
  <c r="F1742" i="1"/>
  <c r="E1742" i="1"/>
  <c r="D1742" i="1"/>
  <c r="G1742" i="1" s="1"/>
  <c r="C1742" i="1"/>
  <c r="F1741" i="1"/>
  <c r="E1741" i="1"/>
  <c r="D1741" i="1"/>
  <c r="C1741" i="1"/>
  <c r="F1740" i="1"/>
  <c r="E1740" i="1"/>
  <c r="D1740" i="1"/>
  <c r="G1740" i="1" s="1"/>
  <c r="C1740" i="1"/>
  <c r="F1739" i="1"/>
  <c r="E1739" i="1"/>
  <c r="D1739" i="1"/>
  <c r="C1739" i="1"/>
  <c r="F1738" i="1"/>
  <c r="E1738" i="1"/>
  <c r="D1738" i="1"/>
  <c r="G1738" i="1" s="1"/>
  <c r="C1738" i="1"/>
  <c r="F1737" i="1"/>
  <c r="E1737" i="1"/>
  <c r="D1737" i="1"/>
  <c r="G1737" i="1" s="1"/>
  <c r="C1737" i="1"/>
  <c r="F1736" i="1"/>
  <c r="E1736" i="1"/>
  <c r="D1736" i="1"/>
  <c r="G1736" i="1" s="1"/>
  <c r="C1736" i="1"/>
  <c r="F1735" i="1"/>
  <c r="E1735" i="1"/>
  <c r="D1735" i="1"/>
  <c r="C1735" i="1"/>
  <c r="F1734" i="1"/>
  <c r="E1734" i="1"/>
  <c r="D1734" i="1"/>
  <c r="G1734" i="1" s="1"/>
  <c r="C1734" i="1"/>
  <c r="C1733" i="1"/>
  <c r="G1733" i="1" s="1"/>
  <c r="C1732" i="1"/>
  <c r="G1732" i="1" s="1"/>
  <c r="F1731" i="1"/>
  <c r="G1731" i="1" s="1"/>
  <c r="E1731" i="1"/>
  <c r="D1731" i="1"/>
  <c r="C1731" i="1"/>
  <c r="F1730" i="1"/>
  <c r="G1730" i="1" s="1"/>
  <c r="E1730" i="1"/>
  <c r="D1730" i="1"/>
  <c r="C1730" i="1"/>
  <c r="F1729" i="1"/>
  <c r="G1729" i="1" s="1"/>
  <c r="E1729" i="1"/>
  <c r="D1729" i="1"/>
  <c r="C1729" i="1"/>
  <c r="F1728" i="1"/>
  <c r="G1728" i="1" s="1"/>
  <c r="E1728" i="1"/>
  <c r="D1728" i="1"/>
  <c r="C1728" i="1"/>
  <c r="F1727" i="1"/>
  <c r="E1727" i="1"/>
  <c r="D1727" i="1"/>
  <c r="C1727" i="1"/>
  <c r="F1726" i="1"/>
  <c r="E1726" i="1"/>
  <c r="D1726" i="1"/>
  <c r="C1726" i="1"/>
  <c r="F1725" i="1"/>
  <c r="G1725" i="1" s="1"/>
  <c r="E1725" i="1"/>
  <c r="D1725" i="1"/>
  <c r="C1725" i="1"/>
  <c r="F1724" i="1"/>
  <c r="E1724" i="1"/>
  <c r="D1724" i="1"/>
  <c r="C1724" i="1"/>
  <c r="F1723" i="1"/>
  <c r="G1723" i="1" s="1"/>
  <c r="E1723" i="1"/>
  <c r="D1723" i="1"/>
  <c r="C1723" i="1"/>
  <c r="F1722" i="1"/>
  <c r="G1722" i="1" s="1"/>
  <c r="E1722" i="1"/>
  <c r="D1722" i="1"/>
  <c r="C1722" i="1"/>
  <c r="F1721" i="1"/>
  <c r="E1721" i="1"/>
  <c r="D1721" i="1"/>
  <c r="C1721" i="1"/>
  <c r="F1720" i="1"/>
  <c r="E1720" i="1"/>
  <c r="D1720" i="1"/>
  <c r="C1720" i="1"/>
  <c r="F1719" i="1"/>
  <c r="G1719" i="1" s="1"/>
  <c r="E1719" i="1"/>
  <c r="D1719" i="1"/>
  <c r="C1719" i="1"/>
  <c r="F1718" i="1"/>
  <c r="G1718" i="1" s="1"/>
  <c r="E1718" i="1"/>
  <c r="D1718" i="1"/>
  <c r="C1718" i="1"/>
  <c r="F1717" i="1"/>
  <c r="G1717" i="1" s="1"/>
  <c r="E1717" i="1"/>
  <c r="D1717" i="1"/>
  <c r="C1717" i="1"/>
  <c r="F1716" i="1"/>
  <c r="G1716" i="1" s="1"/>
  <c r="E1716" i="1"/>
  <c r="D1716" i="1"/>
  <c r="C1716" i="1"/>
  <c r="F1715" i="1"/>
  <c r="E1715" i="1"/>
  <c r="D1715" i="1"/>
  <c r="C1715" i="1"/>
  <c r="C1714" i="1"/>
  <c r="G1714" i="1" s="1"/>
  <c r="F1713" i="1"/>
  <c r="E1713" i="1"/>
  <c r="D1713" i="1"/>
  <c r="C1713" i="1"/>
  <c r="F1712" i="1"/>
  <c r="E1712" i="1"/>
  <c r="D1712" i="1"/>
  <c r="C1712" i="1"/>
  <c r="G1712" i="1" s="1"/>
  <c r="F1711" i="1"/>
  <c r="E1711" i="1"/>
  <c r="D1711" i="1"/>
  <c r="C1711" i="1"/>
  <c r="G1711" i="1" s="1"/>
  <c r="F1710" i="1"/>
  <c r="E1710" i="1"/>
  <c r="D1710" i="1"/>
  <c r="C1710" i="1"/>
  <c r="G1710" i="1" s="1"/>
  <c r="F1709" i="1"/>
  <c r="E1709" i="1"/>
  <c r="D1709" i="1"/>
  <c r="C1709" i="1"/>
  <c r="F1708" i="1"/>
  <c r="E1708" i="1"/>
  <c r="D1708" i="1"/>
  <c r="C1708" i="1"/>
  <c r="E1707" i="1"/>
  <c r="D1707" i="1"/>
  <c r="C1707" i="1"/>
  <c r="F1706" i="1"/>
  <c r="E1706" i="1"/>
  <c r="D1706" i="1"/>
  <c r="C1706" i="1"/>
  <c r="F1705" i="1"/>
  <c r="G1705" i="1" s="1"/>
  <c r="E1705" i="1"/>
  <c r="D1705" i="1"/>
  <c r="C1705" i="1"/>
  <c r="F1704" i="1"/>
  <c r="G1704" i="1" s="1"/>
  <c r="E1704" i="1"/>
  <c r="D1704" i="1"/>
  <c r="C1704" i="1"/>
  <c r="F1703" i="1"/>
  <c r="G1703" i="1" s="1"/>
  <c r="E1703" i="1"/>
  <c r="D1703" i="1"/>
  <c r="C1703" i="1"/>
  <c r="C1699" i="1"/>
  <c r="G1699" i="1" s="1"/>
  <c r="C1698" i="1"/>
  <c r="G1698" i="1" s="1"/>
  <c r="C1697" i="1"/>
  <c r="G1697" i="1" s="1"/>
  <c r="C1696" i="1"/>
  <c r="G1696" i="1" s="1"/>
  <c r="C1695" i="1"/>
  <c r="G1695" i="1" s="1"/>
  <c r="C1694" i="1"/>
  <c r="G1694" i="1" s="1"/>
  <c r="C1693" i="1"/>
  <c r="G1693" i="1" s="1"/>
  <c r="C1692" i="1"/>
  <c r="G1692" i="1" s="1"/>
  <c r="C1691" i="1"/>
  <c r="G1691" i="1" s="1"/>
  <c r="C1690" i="1"/>
  <c r="F1689" i="1"/>
  <c r="E1689" i="1"/>
  <c r="D1689" i="1"/>
  <c r="G1689" i="1" s="1"/>
  <c r="C1689" i="1"/>
  <c r="F1688" i="1"/>
  <c r="E1688" i="1"/>
  <c r="D1688" i="1"/>
  <c r="G1688" i="1" s="1"/>
  <c r="C1688" i="1"/>
  <c r="F1687" i="1"/>
  <c r="E1687" i="1"/>
  <c r="D1687" i="1"/>
  <c r="G1687" i="1" s="1"/>
  <c r="C1687" i="1"/>
  <c r="F1686" i="1"/>
  <c r="E1686" i="1"/>
  <c r="D1686" i="1"/>
  <c r="C1686" i="1"/>
  <c r="F1685" i="1"/>
  <c r="E1685" i="1"/>
  <c r="D1685" i="1"/>
  <c r="G1685" i="1" s="1"/>
  <c r="C1685" i="1"/>
  <c r="F1684" i="1"/>
  <c r="E1684" i="1"/>
  <c r="D1684" i="1"/>
  <c r="C1684" i="1"/>
  <c r="F1683" i="1"/>
  <c r="E1683" i="1"/>
  <c r="D1683" i="1"/>
  <c r="G1683" i="1" s="1"/>
  <c r="C1683" i="1"/>
  <c r="F1682" i="1"/>
  <c r="E1682" i="1"/>
  <c r="D1682" i="1"/>
  <c r="G1682" i="1" s="1"/>
  <c r="C1682" i="1"/>
  <c r="F1681" i="1"/>
  <c r="E1681" i="1"/>
  <c r="D1681" i="1"/>
  <c r="G1681" i="1" s="1"/>
  <c r="C1681" i="1"/>
  <c r="F1680" i="1"/>
  <c r="E1680" i="1"/>
  <c r="D1680" i="1"/>
  <c r="C1680" i="1"/>
  <c r="F1679" i="1"/>
  <c r="E1679" i="1"/>
  <c r="D1679" i="1"/>
  <c r="G1679" i="1" s="1"/>
  <c r="C1679" i="1"/>
  <c r="F1678" i="1"/>
  <c r="E1678" i="1"/>
  <c r="D1678" i="1"/>
  <c r="C1678" i="1"/>
  <c r="F1677" i="1"/>
  <c r="E1677" i="1"/>
  <c r="D1677" i="1"/>
  <c r="G1677" i="1" s="1"/>
  <c r="C1677" i="1"/>
  <c r="F1676" i="1"/>
  <c r="E1676" i="1"/>
  <c r="D1676" i="1"/>
  <c r="G1676" i="1" s="1"/>
  <c r="C1676" i="1"/>
  <c r="F1675" i="1"/>
  <c r="E1675" i="1"/>
  <c r="D1675" i="1"/>
  <c r="G1675" i="1" s="1"/>
  <c r="C1675" i="1"/>
  <c r="F1674" i="1"/>
  <c r="E1674" i="1"/>
  <c r="D1674" i="1"/>
  <c r="C1674" i="1"/>
  <c r="F1673" i="1"/>
  <c r="E1673" i="1"/>
  <c r="D1673" i="1"/>
  <c r="G1673" i="1" s="1"/>
  <c r="C1673" i="1"/>
  <c r="F1672" i="1"/>
  <c r="E1672" i="1"/>
  <c r="D1672" i="1"/>
  <c r="C1672" i="1"/>
  <c r="F1671" i="1"/>
  <c r="E1671" i="1"/>
  <c r="D1671" i="1"/>
  <c r="G1671" i="1" s="1"/>
  <c r="C1671" i="1"/>
  <c r="F1670" i="1"/>
  <c r="E1670" i="1"/>
  <c r="D1670" i="1"/>
  <c r="G1670" i="1" s="1"/>
  <c r="C1670" i="1"/>
  <c r="F1669" i="1"/>
  <c r="E1669" i="1"/>
  <c r="D1669" i="1"/>
  <c r="G1669" i="1" s="1"/>
  <c r="C1669" i="1"/>
  <c r="F1668" i="1"/>
  <c r="E1668" i="1"/>
  <c r="D1668" i="1"/>
  <c r="C1668" i="1"/>
  <c r="F1667" i="1"/>
  <c r="E1667" i="1"/>
  <c r="D1667" i="1"/>
  <c r="G1667" i="1" s="1"/>
  <c r="C1667" i="1"/>
  <c r="F1666" i="1"/>
  <c r="E1666" i="1"/>
  <c r="D1666" i="1"/>
  <c r="C1666" i="1"/>
  <c r="F1665" i="1"/>
  <c r="E1665" i="1"/>
  <c r="D1665" i="1"/>
  <c r="G1665" i="1" s="1"/>
  <c r="C1665" i="1"/>
  <c r="F1664" i="1"/>
  <c r="E1664" i="1"/>
  <c r="D1664" i="1"/>
  <c r="G1664" i="1" s="1"/>
  <c r="C1664" i="1"/>
  <c r="F1663" i="1"/>
  <c r="E1663" i="1"/>
  <c r="D1663" i="1"/>
  <c r="G1663" i="1" s="1"/>
  <c r="C1663" i="1"/>
  <c r="F1662" i="1"/>
  <c r="E1662" i="1"/>
  <c r="D1662" i="1"/>
  <c r="C1662" i="1"/>
  <c r="F1661" i="1"/>
  <c r="E1661" i="1"/>
  <c r="D1661" i="1"/>
  <c r="G1661" i="1" s="1"/>
  <c r="C1661" i="1"/>
  <c r="F1660" i="1"/>
  <c r="E1660" i="1"/>
  <c r="D1660" i="1"/>
  <c r="C1660" i="1"/>
  <c r="F1659" i="1"/>
  <c r="E1659" i="1"/>
  <c r="D1659" i="1"/>
  <c r="G1659" i="1" s="1"/>
  <c r="C1659" i="1"/>
  <c r="F1658" i="1"/>
  <c r="E1658" i="1"/>
  <c r="D1658" i="1"/>
  <c r="G1658" i="1" s="1"/>
  <c r="C1658" i="1"/>
  <c r="F1657" i="1"/>
  <c r="E1657" i="1"/>
  <c r="D1657" i="1"/>
  <c r="G1657" i="1" s="1"/>
  <c r="C1657" i="1"/>
  <c r="F1656" i="1"/>
  <c r="E1656" i="1"/>
  <c r="D1656" i="1"/>
  <c r="C1656" i="1"/>
  <c r="F1655" i="1"/>
  <c r="E1655" i="1"/>
  <c r="D1655" i="1"/>
  <c r="G1655" i="1" s="1"/>
  <c r="C1655" i="1"/>
  <c r="F1654" i="1"/>
  <c r="E1654" i="1"/>
  <c r="D1654" i="1"/>
  <c r="C1654" i="1"/>
  <c r="F1653" i="1"/>
  <c r="E1653" i="1"/>
  <c r="D1653" i="1"/>
  <c r="G1653" i="1" s="1"/>
  <c r="C1653" i="1"/>
  <c r="C1652" i="1"/>
  <c r="G1652" i="1" s="1"/>
  <c r="C1651" i="1"/>
  <c r="G1651" i="1" s="1"/>
  <c r="F1650" i="1"/>
  <c r="G1650" i="1" s="1"/>
  <c r="E1650" i="1"/>
  <c r="D1650" i="1"/>
  <c r="C1650" i="1"/>
  <c r="F1649" i="1"/>
  <c r="G1649" i="1" s="1"/>
  <c r="E1649" i="1"/>
  <c r="D1649" i="1"/>
  <c r="C1649" i="1"/>
  <c r="F1648" i="1"/>
  <c r="E1648" i="1"/>
  <c r="D1648" i="1"/>
  <c r="C1648" i="1"/>
  <c r="F1647" i="1"/>
  <c r="E1647" i="1"/>
  <c r="D1647" i="1"/>
  <c r="C1647" i="1"/>
  <c r="F1646" i="1"/>
  <c r="G1646" i="1" s="1"/>
  <c r="E1646" i="1"/>
  <c r="D1646" i="1"/>
  <c r="C1646" i="1"/>
  <c r="F1645" i="1"/>
  <c r="G1645" i="1" s="1"/>
  <c r="E1645" i="1"/>
  <c r="D1645" i="1"/>
  <c r="C1645" i="1"/>
  <c r="F1644" i="1"/>
  <c r="E1644" i="1"/>
  <c r="D1644" i="1"/>
  <c r="C1644" i="1"/>
  <c r="F1643" i="1"/>
  <c r="G1643" i="1" s="1"/>
  <c r="E1643" i="1"/>
  <c r="D1643" i="1"/>
  <c r="C1643" i="1"/>
  <c r="F1642" i="1"/>
  <c r="E1642" i="1"/>
  <c r="D1642" i="1"/>
  <c r="C1642" i="1"/>
  <c r="F1641" i="1"/>
  <c r="E1641" i="1"/>
  <c r="D1641" i="1"/>
  <c r="C1641" i="1"/>
  <c r="F1640" i="1"/>
  <c r="G1640" i="1" s="1"/>
  <c r="E1640" i="1"/>
  <c r="D1640" i="1"/>
  <c r="C1640" i="1"/>
  <c r="F1639" i="1"/>
  <c r="G1639" i="1" s="1"/>
  <c r="E1639" i="1"/>
  <c r="D1639" i="1"/>
  <c r="C1639" i="1"/>
  <c r="F1638" i="1"/>
  <c r="G1638" i="1" s="1"/>
  <c r="E1638" i="1"/>
  <c r="D1638" i="1"/>
  <c r="C1638" i="1"/>
  <c r="F1637" i="1"/>
  <c r="G1637" i="1" s="1"/>
  <c r="E1637" i="1"/>
  <c r="D1637" i="1"/>
  <c r="C1637" i="1"/>
  <c r="F1636" i="1"/>
  <c r="E1636" i="1"/>
  <c r="D1636" i="1"/>
  <c r="C1636" i="1"/>
  <c r="F1635" i="1"/>
  <c r="E1635" i="1"/>
  <c r="D1635" i="1"/>
  <c r="C1635" i="1"/>
  <c r="F1634" i="1"/>
  <c r="G1634" i="1" s="1"/>
  <c r="E1634" i="1"/>
  <c r="D1634" i="1"/>
  <c r="C1634" i="1"/>
  <c r="C1633" i="1"/>
  <c r="G1633" i="1" s="1"/>
  <c r="F1632" i="1"/>
  <c r="E1632" i="1"/>
  <c r="D1632" i="1"/>
  <c r="C1632" i="1"/>
  <c r="G1632" i="1" s="1"/>
  <c r="F1631" i="1"/>
  <c r="E1631" i="1"/>
  <c r="D1631" i="1"/>
  <c r="C1631" i="1"/>
  <c r="G1631" i="1" s="1"/>
  <c r="F1630" i="1"/>
  <c r="E1630" i="1"/>
  <c r="D1630" i="1"/>
  <c r="C1630" i="1"/>
  <c r="G1630" i="1" s="1"/>
  <c r="F1629" i="1"/>
  <c r="E1629" i="1"/>
  <c r="D1629" i="1"/>
  <c r="C1629" i="1"/>
  <c r="F1628" i="1"/>
  <c r="E1628" i="1"/>
  <c r="D1628" i="1"/>
  <c r="C1628" i="1"/>
  <c r="F1627" i="1"/>
  <c r="E1627" i="1"/>
  <c r="D1627" i="1"/>
  <c r="C1627" i="1"/>
  <c r="G1627" i="1" s="1"/>
  <c r="E1626" i="1"/>
  <c r="D1626" i="1"/>
  <c r="C1626" i="1"/>
  <c r="F1625" i="1"/>
  <c r="G1625" i="1" s="1"/>
  <c r="E1625" i="1"/>
  <c r="D1625" i="1"/>
  <c r="C1625" i="1"/>
  <c r="F1624" i="1"/>
  <c r="G1624" i="1" s="1"/>
  <c r="E1624" i="1"/>
  <c r="D1624" i="1"/>
  <c r="C1624" i="1"/>
  <c r="F1623" i="1"/>
  <c r="E1623" i="1"/>
  <c r="D1623" i="1"/>
  <c r="C1623" i="1"/>
  <c r="F1622" i="1"/>
  <c r="E1622" i="1"/>
  <c r="D1622" i="1"/>
  <c r="C1622" i="1"/>
  <c r="C1618" i="1"/>
  <c r="G1618" i="1" s="1"/>
  <c r="C1617" i="1"/>
  <c r="G1617" i="1" s="1"/>
  <c r="C1616" i="1"/>
  <c r="G1616" i="1" s="1"/>
  <c r="C1615" i="1"/>
  <c r="G1615" i="1" s="1"/>
  <c r="C1614" i="1"/>
  <c r="G1614" i="1" s="1"/>
  <c r="C1613" i="1"/>
  <c r="G1613" i="1" s="1"/>
  <c r="C1612" i="1"/>
  <c r="G1612" i="1" s="1"/>
  <c r="C1611" i="1"/>
  <c r="G1611" i="1" s="1"/>
  <c r="C1610" i="1"/>
  <c r="G1610" i="1" s="1"/>
  <c r="C1609" i="1"/>
  <c r="G1609" i="1" s="1"/>
  <c r="F1608" i="1"/>
  <c r="E1608" i="1"/>
  <c r="D1608" i="1"/>
  <c r="G1608" i="1" s="1"/>
  <c r="C1608" i="1"/>
  <c r="F1607" i="1"/>
  <c r="E1607" i="1"/>
  <c r="D1607" i="1"/>
  <c r="C1607" i="1"/>
  <c r="F1606" i="1"/>
  <c r="E1606" i="1"/>
  <c r="D1606" i="1"/>
  <c r="C1606" i="1"/>
  <c r="F1605" i="1"/>
  <c r="E1605" i="1"/>
  <c r="D1605" i="1"/>
  <c r="C1605" i="1"/>
  <c r="F1604" i="1"/>
  <c r="E1604" i="1"/>
  <c r="D1604" i="1"/>
  <c r="G1604" i="1" s="1"/>
  <c r="C1604" i="1"/>
  <c r="F1603" i="1"/>
  <c r="E1603" i="1"/>
  <c r="D1603" i="1"/>
  <c r="G1603" i="1" s="1"/>
  <c r="C1603" i="1"/>
  <c r="F1602" i="1"/>
  <c r="E1602" i="1"/>
  <c r="D1602" i="1"/>
  <c r="G1602" i="1" s="1"/>
  <c r="C1602" i="1"/>
  <c r="F1601" i="1"/>
  <c r="E1601" i="1"/>
  <c r="D1601" i="1"/>
  <c r="C1601" i="1"/>
  <c r="F1600" i="1"/>
  <c r="E1600" i="1"/>
  <c r="D1600" i="1"/>
  <c r="C1600" i="1"/>
  <c r="F1599" i="1"/>
  <c r="E1599" i="1"/>
  <c r="D1599" i="1"/>
  <c r="C1599" i="1"/>
  <c r="F1598" i="1"/>
  <c r="E1598" i="1"/>
  <c r="D1598" i="1"/>
  <c r="C1598" i="1"/>
  <c r="F1597" i="1"/>
  <c r="E1597" i="1"/>
  <c r="D1597" i="1"/>
  <c r="C1597" i="1"/>
  <c r="F1596" i="1"/>
  <c r="E1596" i="1"/>
  <c r="D1596" i="1"/>
  <c r="C1596" i="1"/>
  <c r="F1595" i="1"/>
  <c r="E1595" i="1"/>
  <c r="D1595" i="1"/>
  <c r="C1595" i="1"/>
  <c r="F1594" i="1"/>
  <c r="E1594" i="1"/>
  <c r="D1594" i="1"/>
  <c r="G1594" i="1" s="1"/>
  <c r="C1594" i="1"/>
  <c r="F1593" i="1"/>
  <c r="E1593" i="1"/>
  <c r="D1593" i="1"/>
  <c r="C1593" i="1"/>
  <c r="F1592" i="1"/>
  <c r="E1592" i="1"/>
  <c r="D1592" i="1"/>
  <c r="G1592" i="1" s="1"/>
  <c r="C1592" i="1"/>
  <c r="F1591" i="1"/>
  <c r="E1591" i="1"/>
  <c r="D1591" i="1"/>
  <c r="G1591" i="1" s="1"/>
  <c r="C1591" i="1"/>
  <c r="F1590" i="1"/>
  <c r="E1590" i="1"/>
  <c r="D1590" i="1"/>
  <c r="C1590" i="1"/>
  <c r="F1589" i="1"/>
  <c r="E1589" i="1"/>
  <c r="D1589" i="1"/>
  <c r="C1589" i="1"/>
  <c r="F1588" i="1"/>
  <c r="E1588" i="1"/>
  <c r="D1588" i="1"/>
  <c r="G1588" i="1" s="1"/>
  <c r="C1588" i="1"/>
  <c r="F1587" i="1"/>
  <c r="E1587" i="1"/>
  <c r="D1587" i="1"/>
  <c r="C1587" i="1"/>
  <c r="F1586" i="1"/>
  <c r="E1586" i="1"/>
  <c r="D1586" i="1"/>
  <c r="G1586" i="1" s="1"/>
  <c r="C1586" i="1"/>
  <c r="F1585" i="1"/>
  <c r="E1585" i="1"/>
  <c r="D1585" i="1"/>
  <c r="G1585" i="1" s="1"/>
  <c r="C1585" i="1"/>
  <c r="F1584" i="1"/>
  <c r="E1584" i="1"/>
  <c r="D1584" i="1"/>
  <c r="G1584" i="1" s="1"/>
  <c r="C1584" i="1"/>
  <c r="F1583" i="1"/>
  <c r="E1583" i="1"/>
  <c r="D1583" i="1"/>
  <c r="C1583" i="1"/>
  <c r="F1582" i="1"/>
  <c r="E1582" i="1"/>
  <c r="D1582" i="1"/>
  <c r="C1582" i="1"/>
  <c r="F1581" i="1"/>
  <c r="E1581" i="1"/>
  <c r="D1581" i="1"/>
  <c r="C1581" i="1"/>
  <c r="F1580" i="1"/>
  <c r="E1580" i="1"/>
  <c r="D1580" i="1"/>
  <c r="G1580" i="1" s="1"/>
  <c r="C1580" i="1"/>
  <c r="F1579" i="1"/>
  <c r="E1579" i="1"/>
  <c r="D1579" i="1"/>
  <c r="C1579" i="1"/>
  <c r="F1578" i="1"/>
  <c r="E1578" i="1"/>
  <c r="D1578" i="1"/>
  <c r="G1578" i="1" s="1"/>
  <c r="C1578" i="1"/>
  <c r="F1577" i="1"/>
  <c r="E1577" i="1"/>
  <c r="D1577" i="1"/>
  <c r="C1577" i="1"/>
  <c r="F1576" i="1"/>
  <c r="E1576" i="1"/>
  <c r="D1576" i="1"/>
  <c r="C1576" i="1"/>
  <c r="F1575" i="1"/>
  <c r="E1575" i="1"/>
  <c r="D1575" i="1"/>
  <c r="C1575" i="1"/>
  <c r="F1574" i="1"/>
  <c r="E1574" i="1"/>
  <c r="D1574" i="1"/>
  <c r="C1574" i="1"/>
  <c r="F1573" i="1"/>
  <c r="E1573" i="1"/>
  <c r="D1573" i="1"/>
  <c r="C1573" i="1"/>
  <c r="F1572" i="1"/>
  <c r="E1572" i="1"/>
  <c r="D1572" i="1"/>
  <c r="C1572" i="1"/>
  <c r="C1571" i="1"/>
  <c r="G1571" i="1" s="1"/>
  <c r="C1570" i="1"/>
  <c r="G1570" i="1" s="1"/>
  <c r="F1569" i="1"/>
  <c r="E1569" i="1"/>
  <c r="D1569" i="1"/>
  <c r="C1569" i="1"/>
  <c r="F1568" i="1"/>
  <c r="E1568" i="1"/>
  <c r="D1568" i="1"/>
  <c r="C1568" i="1"/>
  <c r="F1567" i="1"/>
  <c r="G1567" i="1" s="1"/>
  <c r="E1567" i="1"/>
  <c r="D1567" i="1"/>
  <c r="C1567" i="1"/>
  <c r="F1566" i="1"/>
  <c r="G1566" i="1" s="1"/>
  <c r="E1566" i="1"/>
  <c r="D1566" i="1"/>
  <c r="C1566" i="1"/>
  <c r="F1565" i="1"/>
  <c r="G1565" i="1" s="1"/>
  <c r="E1565" i="1"/>
  <c r="D1565" i="1"/>
  <c r="C1565" i="1"/>
  <c r="F1564" i="1"/>
  <c r="E1564" i="1"/>
  <c r="D1564" i="1"/>
  <c r="C1564" i="1"/>
  <c r="F1563" i="1"/>
  <c r="E1563" i="1"/>
  <c r="D1563" i="1"/>
  <c r="C1563" i="1"/>
  <c r="F1562" i="1"/>
  <c r="E1562" i="1"/>
  <c r="D1562" i="1"/>
  <c r="C1562" i="1"/>
  <c r="F1561" i="1"/>
  <c r="G1561" i="1" s="1"/>
  <c r="E1561" i="1"/>
  <c r="D1561" i="1"/>
  <c r="C1561" i="1"/>
  <c r="F1560" i="1"/>
  <c r="G1560" i="1" s="1"/>
  <c r="E1560" i="1"/>
  <c r="D1560" i="1"/>
  <c r="C1560" i="1"/>
  <c r="F1559" i="1"/>
  <c r="E1559" i="1"/>
  <c r="D1559" i="1"/>
  <c r="C1559" i="1"/>
  <c r="F1558" i="1"/>
  <c r="E1558" i="1"/>
  <c r="D1558" i="1"/>
  <c r="C1558" i="1"/>
  <c r="F1557" i="1"/>
  <c r="E1557" i="1"/>
  <c r="D1557" i="1"/>
  <c r="C1557" i="1"/>
  <c r="F1556" i="1"/>
  <c r="E1556" i="1"/>
  <c r="D1556" i="1"/>
  <c r="C1556" i="1"/>
  <c r="F1555" i="1"/>
  <c r="G1555" i="1" s="1"/>
  <c r="E1555" i="1"/>
  <c r="D1555" i="1"/>
  <c r="C1555" i="1"/>
  <c r="F1554" i="1"/>
  <c r="G1554" i="1" s="1"/>
  <c r="E1554" i="1"/>
  <c r="D1554" i="1"/>
  <c r="C1554" i="1"/>
  <c r="F1553" i="1"/>
  <c r="G1553" i="1" s="1"/>
  <c r="E1553" i="1"/>
  <c r="D1553" i="1"/>
  <c r="C1553" i="1"/>
  <c r="C1552" i="1"/>
  <c r="G1552" i="1" s="1"/>
  <c r="F1551" i="1"/>
  <c r="E1551" i="1"/>
  <c r="D1551" i="1"/>
  <c r="C1551" i="1"/>
  <c r="F1550" i="1"/>
  <c r="E1550" i="1"/>
  <c r="D1550" i="1"/>
  <c r="C1550" i="1"/>
  <c r="F1549" i="1"/>
  <c r="E1549" i="1"/>
  <c r="D1549" i="1"/>
  <c r="C1549" i="1"/>
  <c r="F1548" i="1"/>
  <c r="E1548" i="1"/>
  <c r="D1548" i="1"/>
  <c r="C1548" i="1"/>
  <c r="F1547" i="1"/>
  <c r="E1547" i="1"/>
  <c r="D1547" i="1"/>
  <c r="C1547" i="1"/>
  <c r="F1546" i="1"/>
  <c r="E1546" i="1"/>
  <c r="D1546" i="1"/>
  <c r="C1546" i="1"/>
  <c r="G1546" i="1" s="1"/>
  <c r="E1545" i="1"/>
  <c r="D1545" i="1"/>
  <c r="C1545" i="1"/>
  <c r="F1544" i="1"/>
  <c r="E1544" i="1"/>
  <c r="D1544" i="1"/>
  <c r="C1544" i="1"/>
  <c r="F1543" i="1"/>
  <c r="E1543" i="1"/>
  <c r="D1543" i="1"/>
  <c r="C1543" i="1"/>
  <c r="F1542" i="1"/>
  <c r="G1542" i="1" s="1"/>
  <c r="E1542" i="1"/>
  <c r="D1542" i="1"/>
  <c r="C1542" i="1"/>
  <c r="F1541" i="1"/>
  <c r="G1541" i="1" s="1"/>
  <c r="E1541" i="1"/>
  <c r="D1541" i="1"/>
  <c r="C1541" i="1"/>
  <c r="C1537" i="1"/>
  <c r="G1537" i="1" s="1"/>
  <c r="C1536" i="1"/>
  <c r="G1536" i="1" s="1"/>
  <c r="C1535" i="1"/>
  <c r="G1535" i="1" s="1"/>
  <c r="C1534" i="1"/>
  <c r="G1534" i="1" s="1"/>
  <c r="C1533" i="1"/>
  <c r="G1533" i="1" s="1"/>
  <c r="C1532" i="1"/>
  <c r="G1532" i="1" s="1"/>
  <c r="C1531" i="1"/>
  <c r="G1531" i="1" s="1"/>
  <c r="C1530" i="1"/>
  <c r="G1530" i="1" s="1"/>
  <c r="C1529" i="1"/>
  <c r="G1529" i="1" s="1"/>
  <c r="C1528" i="1"/>
  <c r="G1528" i="1" s="1"/>
  <c r="F1527" i="1"/>
  <c r="E1527" i="1"/>
  <c r="D1527" i="1"/>
  <c r="G1527" i="1" s="1"/>
  <c r="C1527" i="1"/>
  <c r="F1526" i="1"/>
  <c r="E1526" i="1"/>
  <c r="D1526" i="1"/>
  <c r="C1526" i="1"/>
  <c r="F1525" i="1"/>
  <c r="E1525" i="1"/>
  <c r="D1525" i="1"/>
  <c r="C1525" i="1"/>
  <c r="F1524" i="1"/>
  <c r="E1524" i="1"/>
  <c r="D1524" i="1"/>
  <c r="C1524" i="1"/>
  <c r="F1523" i="1"/>
  <c r="E1523" i="1"/>
  <c r="D1523" i="1"/>
  <c r="C1523" i="1"/>
  <c r="F1522" i="1"/>
  <c r="E1522" i="1"/>
  <c r="D1522" i="1"/>
  <c r="C1522" i="1"/>
  <c r="F1521" i="1"/>
  <c r="E1521" i="1"/>
  <c r="D1521" i="1"/>
  <c r="C1521" i="1"/>
  <c r="F1520" i="1"/>
  <c r="E1520" i="1"/>
  <c r="D1520" i="1"/>
  <c r="C1520" i="1"/>
  <c r="F1519" i="1"/>
  <c r="E1519" i="1"/>
  <c r="D1519" i="1"/>
  <c r="C1519" i="1"/>
  <c r="F1518" i="1"/>
  <c r="E1518" i="1"/>
  <c r="D1518" i="1"/>
  <c r="G1518" i="1" s="1"/>
  <c r="C1518" i="1"/>
  <c r="F1517" i="1"/>
  <c r="E1517" i="1"/>
  <c r="D1517" i="1"/>
  <c r="C1517" i="1"/>
  <c r="F1516" i="1"/>
  <c r="E1516" i="1"/>
  <c r="D1516" i="1"/>
  <c r="C1516" i="1"/>
  <c r="F1515" i="1"/>
  <c r="E1515" i="1"/>
  <c r="D1515" i="1"/>
  <c r="C1515" i="1"/>
  <c r="F1514" i="1"/>
  <c r="E1514" i="1"/>
  <c r="D1514" i="1"/>
  <c r="C1514" i="1"/>
  <c r="F1513" i="1"/>
  <c r="E1513" i="1"/>
  <c r="D1513" i="1"/>
  <c r="G1513" i="1" s="1"/>
  <c r="C1513" i="1"/>
  <c r="F1512" i="1"/>
  <c r="E1512" i="1"/>
  <c r="D1512" i="1"/>
  <c r="G1512" i="1" s="1"/>
  <c r="C1512" i="1"/>
  <c r="F1511" i="1"/>
  <c r="E1511" i="1"/>
  <c r="D1511" i="1"/>
  <c r="C1511" i="1"/>
  <c r="F1510" i="1"/>
  <c r="E1510" i="1"/>
  <c r="D1510" i="1"/>
  <c r="C1510" i="1"/>
  <c r="F1509" i="1"/>
  <c r="E1509" i="1"/>
  <c r="D1509" i="1"/>
  <c r="G1509" i="1" s="1"/>
  <c r="C1509" i="1"/>
  <c r="F1508" i="1"/>
  <c r="E1508" i="1"/>
  <c r="D1508" i="1"/>
  <c r="C1508" i="1"/>
  <c r="F1507" i="1"/>
  <c r="E1507" i="1"/>
  <c r="D1507" i="1"/>
  <c r="G1507" i="1" s="1"/>
  <c r="C1507" i="1"/>
  <c r="F1506" i="1"/>
  <c r="E1506" i="1"/>
  <c r="D1506" i="1"/>
  <c r="G1506" i="1" s="1"/>
  <c r="C1506" i="1"/>
  <c r="F1505" i="1"/>
  <c r="E1505" i="1"/>
  <c r="D1505" i="1"/>
  <c r="G1505" i="1" s="1"/>
  <c r="C1505" i="1"/>
  <c r="F1504" i="1"/>
  <c r="E1504" i="1"/>
  <c r="D1504" i="1"/>
  <c r="C1504" i="1"/>
  <c r="F1503" i="1"/>
  <c r="E1503" i="1"/>
  <c r="D1503" i="1"/>
  <c r="G1503" i="1" s="1"/>
  <c r="C1503" i="1"/>
  <c r="F1502" i="1"/>
  <c r="E1502" i="1"/>
  <c r="D1502" i="1"/>
  <c r="C1502" i="1"/>
  <c r="F1501" i="1"/>
  <c r="E1501" i="1"/>
  <c r="D1501" i="1"/>
  <c r="C1501" i="1"/>
  <c r="F1500" i="1"/>
  <c r="E1500" i="1"/>
  <c r="D1500" i="1"/>
  <c r="C1500" i="1"/>
  <c r="F1499" i="1"/>
  <c r="E1499" i="1"/>
  <c r="D1499" i="1"/>
  <c r="C1499" i="1"/>
  <c r="F1498" i="1"/>
  <c r="E1498" i="1"/>
  <c r="D1498" i="1"/>
  <c r="C1498" i="1"/>
  <c r="F1497" i="1"/>
  <c r="E1497" i="1"/>
  <c r="D1497" i="1"/>
  <c r="C1497" i="1"/>
  <c r="F1496" i="1"/>
  <c r="E1496" i="1"/>
  <c r="D1496" i="1"/>
  <c r="C1496" i="1"/>
  <c r="F1495" i="1"/>
  <c r="E1495" i="1"/>
  <c r="D1495" i="1"/>
  <c r="C1495" i="1"/>
  <c r="F1494" i="1"/>
  <c r="E1494" i="1"/>
  <c r="D1494" i="1"/>
  <c r="C1494" i="1"/>
  <c r="F1493" i="1"/>
  <c r="E1493" i="1"/>
  <c r="D1493" i="1"/>
  <c r="C1493" i="1"/>
  <c r="F1492" i="1"/>
  <c r="E1492" i="1"/>
  <c r="D1492" i="1"/>
  <c r="C1492" i="1"/>
  <c r="F1491" i="1"/>
  <c r="E1491" i="1"/>
  <c r="D1491" i="1"/>
  <c r="C1491" i="1"/>
  <c r="C1490" i="1"/>
  <c r="G1490" i="1" s="1"/>
  <c r="C1489" i="1"/>
  <c r="G1489" i="1" s="1"/>
  <c r="F1488" i="1"/>
  <c r="G1488" i="1" s="1"/>
  <c r="E1488" i="1"/>
  <c r="D1488" i="1"/>
  <c r="C1488" i="1"/>
  <c r="F1487" i="1"/>
  <c r="E1487" i="1"/>
  <c r="D1487" i="1"/>
  <c r="C1487" i="1"/>
  <c r="F1486" i="1"/>
  <c r="G1486" i="1" s="1"/>
  <c r="E1486" i="1"/>
  <c r="D1486" i="1"/>
  <c r="C1486" i="1"/>
  <c r="F1485" i="1"/>
  <c r="E1485" i="1"/>
  <c r="D1485" i="1"/>
  <c r="C1485" i="1"/>
  <c r="F1484" i="1"/>
  <c r="E1484" i="1"/>
  <c r="D1484" i="1"/>
  <c r="C1484" i="1"/>
  <c r="F1483" i="1"/>
  <c r="E1483" i="1"/>
  <c r="D1483" i="1"/>
  <c r="C1483" i="1"/>
  <c r="F1482" i="1"/>
  <c r="E1482" i="1"/>
  <c r="D1482" i="1"/>
  <c r="C1482" i="1"/>
  <c r="F1481" i="1"/>
  <c r="G1481" i="1" s="1"/>
  <c r="E1481" i="1"/>
  <c r="D1481" i="1"/>
  <c r="C1481" i="1"/>
  <c r="F1480" i="1"/>
  <c r="E1480" i="1"/>
  <c r="D1480" i="1"/>
  <c r="C1480" i="1"/>
  <c r="F1479" i="1"/>
  <c r="E1479" i="1"/>
  <c r="D1479" i="1"/>
  <c r="C1479" i="1"/>
  <c r="F1478" i="1"/>
  <c r="E1478" i="1"/>
  <c r="D1478" i="1"/>
  <c r="C1478" i="1"/>
  <c r="F1477" i="1"/>
  <c r="E1477" i="1"/>
  <c r="D1477" i="1"/>
  <c r="C1477" i="1"/>
  <c r="F1476" i="1"/>
  <c r="E1476" i="1"/>
  <c r="D1476" i="1"/>
  <c r="C1476" i="1"/>
  <c r="F1475" i="1"/>
  <c r="E1475" i="1"/>
  <c r="D1475" i="1"/>
  <c r="C1475" i="1"/>
  <c r="F1474" i="1"/>
  <c r="E1474" i="1"/>
  <c r="D1474" i="1"/>
  <c r="C1474" i="1"/>
  <c r="F1473" i="1"/>
  <c r="G1473" i="1" s="1"/>
  <c r="E1473" i="1"/>
  <c r="D1473" i="1"/>
  <c r="C1473" i="1"/>
  <c r="F1472" i="1"/>
  <c r="E1472" i="1"/>
  <c r="D1472" i="1"/>
  <c r="C1472" i="1"/>
  <c r="C1471" i="1"/>
  <c r="G1471" i="1" s="1"/>
  <c r="F1470" i="1"/>
  <c r="E1470" i="1"/>
  <c r="D1470" i="1"/>
  <c r="C1470" i="1"/>
  <c r="F1469" i="1"/>
  <c r="E1469" i="1"/>
  <c r="D1469" i="1"/>
  <c r="C1469" i="1"/>
  <c r="G1469" i="1" s="1"/>
  <c r="F1468" i="1"/>
  <c r="E1468" i="1"/>
  <c r="D1468" i="1"/>
  <c r="C1468" i="1"/>
  <c r="F1467" i="1"/>
  <c r="E1467" i="1"/>
  <c r="D1467" i="1"/>
  <c r="C1467" i="1"/>
  <c r="G1467" i="1" s="1"/>
  <c r="F1466" i="1"/>
  <c r="E1466" i="1"/>
  <c r="D1466" i="1"/>
  <c r="C1466" i="1"/>
  <c r="F1465" i="1"/>
  <c r="E1465" i="1"/>
  <c r="D1465" i="1"/>
  <c r="C1465" i="1"/>
  <c r="E1464" i="1"/>
  <c r="D1464" i="1"/>
  <c r="C1464" i="1"/>
  <c r="F1463" i="1"/>
  <c r="G1463" i="1" s="1"/>
  <c r="E1463" i="1"/>
  <c r="D1463" i="1"/>
  <c r="C1463" i="1"/>
  <c r="F1462" i="1"/>
  <c r="G1462" i="1" s="1"/>
  <c r="E1462" i="1"/>
  <c r="D1462" i="1"/>
  <c r="C1462" i="1"/>
  <c r="F1461" i="1"/>
  <c r="E1461" i="1"/>
  <c r="D1461" i="1"/>
  <c r="C1461" i="1"/>
  <c r="F1460" i="1"/>
  <c r="E1460" i="1"/>
  <c r="D1460" i="1"/>
  <c r="C1460" i="1"/>
  <c r="C1456" i="1"/>
  <c r="G1456" i="1" s="1"/>
  <c r="C1455" i="1"/>
  <c r="G1455" i="1" s="1"/>
  <c r="C1454" i="1"/>
  <c r="G1454" i="1" s="1"/>
  <c r="C1453" i="1"/>
  <c r="G1453" i="1" s="1"/>
  <c r="C1452" i="1"/>
  <c r="G1452" i="1" s="1"/>
  <c r="C1451" i="1"/>
  <c r="G1451" i="1" s="1"/>
  <c r="C1450" i="1"/>
  <c r="G1450" i="1" s="1"/>
  <c r="C1449" i="1"/>
  <c r="G1449" i="1" s="1"/>
  <c r="C1448" i="1"/>
  <c r="G1448" i="1" s="1"/>
  <c r="C1447" i="1"/>
  <c r="F1446" i="1"/>
  <c r="E1446" i="1"/>
  <c r="D1446" i="1"/>
  <c r="C1446" i="1"/>
  <c r="F1445" i="1"/>
  <c r="E1445" i="1"/>
  <c r="D1445" i="1"/>
  <c r="C1445" i="1"/>
  <c r="F1444" i="1"/>
  <c r="E1444" i="1"/>
  <c r="D1444" i="1"/>
  <c r="C1444" i="1"/>
  <c r="F1443" i="1"/>
  <c r="E1443" i="1"/>
  <c r="D1443" i="1"/>
  <c r="C1443" i="1"/>
  <c r="F1442" i="1"/>
  <c r="E1442" i="1"/>
  <c r="D1442" i="1"/>
  <c r="C1442" i="1"/>
  <c r="F1441" i="1"/>
  <c r="E1441" i="1"/>
  <c r="D1441" i="1"/>
  <c r="C1441" i="1"/>
  <c r="F1440" i="1"/>
  <c r="E1440" i="1"/>
  <c r="D1440" i="1"/>
  <c r="C1440" i="1"/>
  <c r="F1439" i="1"/>
  <c r="E1439" i="1"/>
  <c r="D1439" i="1"/>
  <c r="C1439" i="1"/>
  <c r="F1438" i="1"/>
  <c r="E1438" i="1"/>
  <c r="D1438" i="1"/>
  <c r="C1438" i="1"/>
  <c r="F1437" i="1"/>
  <c r="E1437" i="1"/>
  <c r="D1437" i="1"/>
  <c r="C1437" i="1"/>
  <c r="F1436" i="1"/>
  <c r="E1436" i="1"/>
  <c r="D1436" i="1"/>
  <c r="C1436" i="1"/>
  <c r="F1435" i="1"/>
  <c r="E1435" i="1"/>
  <c r="D1435" i="1"/>
  <c r="C1435" i="1"/>
  <c r="F1434" i="1"/>
  <c r="E1434" i="1"/>
  <c r="D1434" i="1"/>
  <c r="C1434" i="1"/>
  <c r="F1433" i="1"/>
  <c r="E1433" i="1"/>
  <c r="D1433" i="1"/>
  <c r="C1433" i="1"/>
  <c r="F1432" i="1"/>
  <c r="E1432" i="1"/>
  <c r="D1432" i="1"/>
  <c r="G1432" i="1" s="1"/>
  <c r="C1432" i="1"/>
  <c r="F1431" i="1"/>
  <c r="E1431" i="1"/>
  <c r="D1431" i="1"/>
  <c r="C1431" i="1"/>
  <c r="F1430" i="1"/>
  <c r="E1430" i="1"/>
  <c r="D1430" i="1"/>
  <c r="G1430" i="1" s="1"/>
  <c r="C1430" i="1"/>
  <c r="F1429" i="1"/>
  <c r="E1429" i="1"/>
  <c r="D1429" i="1"/>
  <c r="C1429" i="1"/>
  <c r="F1428" i="1"/>
  <c r="E1428" i="1"/>
  <c r="D1428" i="1"/>
  <c r="C1428" i="1"/>
  <c r="F1427" i="1"/>
  <c r="E1427" i="1"/>
  <c r="D1427" i="1"/>
  <c r="G1427" i="1" s="1"/>
  <c r="C1427" i="1"/>
  <c r="F1426" i="1"/>
  <c r="E1426" i="1"/>
  <c r="D1426" i="1"/>
  <c r="G1426" i="1" s="1"/>
  <c r="C1426" i="1"/>
  <c r="F1425" i="1"/>
  <c r="E1425" i="1"/>
  <c r="D1425" i="1"/>
  <c r="C1425" i="1"/>
  <c r="F1424" i="1"/>
  <c r="E1424" i="1"/>
  <c r="D1424" i="1"/>
  <c r="G1424" i="1" s="1"/>
  <c r="C1424" i="1"/>
  <c r="F1423" i="1"/>
  <c r="E1423" i="1"/>
  <c r="D1423" i="1"/>
  <c r="C1423" i="1"/>
  <c r="F1422" i="1"/>
  <c r="E1422" i="1"/>
  <c r="D1422" i="1"/>
  <c r="C1422" i="1"/>
  <c r="F1421" i="1"/>
  <c r="E1421" i="1"/>
  <c r="D1421" i="1"/>
  <c r="C1421" i="1"/>
  <c r="F1420" i="1"/>
  <c r="E1420" i="1"/>
  <c r="D1420" i="1"/>
  <c r="C1420" i="1"/>
  <c r="F1419" i="1"/>
  <c r="E1419" i="1"/>
  <c r="D1419" i="1"/>
  <c r="C1419" i="1"/>
  <c r="F1418" i="1"/>
  <c r="E1418" i="1"/>
  <c r="D1418" i="1"/>
  <c r="C1418" i="1"/>
  <c r="F1417" i="1"/>
  <c r="E1417" i="1"/>
  <c r="D1417" i="1"/>
  <c r="C1417" i="1"/>
  <c r="F1416" i="1"/>
  <c r="E1416" i="1"/>
  <c r="D1416" i="1"/>
  <c r="C1416" i="1"/>
  <c r="F1415" i="1"/>
  <c r="E1415" i="1"/>
  <c r="D1415" i="1"/>
  <c r="C1415" i="1"/>
  <c r="F1414" i="1"/>
  <c r="E1414" i="1"/>
  <c r="D1414" i="1"/>
  <c r="C1414" i="1"/>
  <c r="F1413" i="1"/>
  <c r="E1413" i="1"/>
  <c r="D1413" i="1"/>
  <c r="C1413" i="1"/>
  <c r="F1412" i="1"/>
  <c r="E1412" i="1"/>
  <c r="D1412" i="1"/>
  <c r="C1412" i="1"/>
  <c r="F1411" i="1"/>
  <c r="E1411" i="1"/>
  <c r="D1411" i="1"/>
  <c r="C1411" i="1"/>
  <c r="F1410" i="1"/>
  <c r="E1410" i="1"/>
  <c r="D1410" i="1"/>
  <c r="C1410" i="1"/>
  <c r="C1409" i="1"/>
  <c r="G1409" i="1" s="1"/>
  <c r="C1408" i="1"/>
  <c r="G1408" i="1" s="1"/>
  <c r="F1407" i="1"/>
  <c r="G1407" i="1" s="1"/>
  <c r="E1407" i="1"/>
  <c r="D1407" i="1"/>
  <c r="C1407" i="1"/>
  <c r="F1406" i="1"/>
  <c r="G1406" i="1" s="1"/>
  <c r="E1406" i="1"/>
  <c r="D1406" i="1"/>
  <c r="C1406" i="1"/>
  <c r="F1405" i="1"/>
  <c r="E1405" i="1"/>
  <c r="D1405" i="1"/>
  <c r="C1405" i="1"/>
  <c r="F1404" i="1"/>
  <c r="E1404" i="1"/>
  <c r="D1404" i="1"/>
  <c r="C1404" i="1"/>
  <c r="F1403" i="1"/>
  <c r="E1403" i="1"/>
  <c r="D1403" i="1"/>
  <c r="C1403" i="1"/>
  <c r="F1402" i="1"/>
  <c r="G1402" i="1" s="1"/>
  <c r="E1402" i="1"/>
  <c r="D1402" i="1"/>
  <c r="C1402" i="1"/>
  <c r="F1401" i="1"/>
  <c r="E1401" i="1"/>
  <c r="D1401" i="1"/>
  <c r="C1401" i="1"/>
  <c r="F1400" i="1"/>
  <c r="G1400" i="1" s="1"/>
  <c r="E1400" i="1"/>
  <c r="D1400" i="1"/>
  <c r="C1400" i="1"/>
  <c r="F1399" i="1"/>
  <c r="E1399" i="1"/>
  <c r="D1399" i="1"/>
  <c r="C1399" i="1"/>
  <c r="F1398" i="1"/>
  <c r="E1398" i="1"/>
  <c r="D1398" i="1"/>
  <c r="C1398" i="1"/>
  <c r="F1397" i="1"/>
  <c r="G1397" i="1" s="1"/>
  <c r="E1397" i="1"/>
  <c r="D1397" i="1"/>
  <c r="C1397" i="1"/>
  <c r="F1396" i="1"/>
  <c r="E1396" i="1"/>
  <c r="D1396" i="1"/>
  <c r="C1396" i="1"/>
  <c r="F1395" i="1"/>
  <c r="E1395" i="1"/>
  <c r="D1395" i="1"/>
  <c r="C1395" i="1"/>
  <c r="F1394" i="1"/>
  <c r="E1394" i="1"/>
  <c r="D1394" i="1"/>
  <c r="C1394" i="1"/>
  <c r="F1393" i="1"/>
  <c r="E1393" i="1"/>
  <c r="D1393" i="1"/>
  <c r="C1393" i="1"/>
  <c r="F1392" i="1"/>
  <c r="E1392" i="1"/>
  <c r="D1392" i="1"/>
  <c r="C1392" i="1"/>
  <c r="F1391" i="1"/>
  <c r="E1391" i="1"/>
  <c r="D1391" i="1"/>
  <c r="C1391" i="1"/>
  <c r="C1390" i="1"/>
  <c r="G1390" i="1" s="1"/>
  <c r="F1389" i="1"/>
  <c r="E1389" i="1"/>
  <c r="D1389" i="1"/>
  <c r="C1389" i="1"/>
  <c r="F1388" i="1"/>
  <c r="E1388" i="1"/>
  <c r="D1388" i="1"/>
  <c r="C1388" i="1"/>
  <c r="F1387" i="1"/>
  <c r="E1387" i="1"/>
  <c r="D1387" i="1"/>
  <c r="C1387" i="1"/>
  <c r="F1386" i="1"/>
  <c r="E1386" i="1"/>
  <c r="D1386" i="1"/>
  <c r="C1386" i="1"/>
  <c r="F1385" i="1"/>
  <c r="E1385" i="1"/>
  <c r="D1385" i="1"/>
  <c r="C1385" i="1"/>
  <c r="F1384" i="1"/>
  <c r="E1384" i="1"/>
  <c r="D1384" i="1"/>
  <c r="C1384" i="1"/>
  <c r="G1384" i="1" s="1"/>
  <c r="E1383" i="1"/>
  <c r="D1383" i="1"/>
  <c r="C1383" i="1"/>
  <c r="F1382" i="1"/>
  <c r="G1382" i="1" s="1"/>
  <c r="E1382" i="1"/>
  <c r="D1382" i="1"/>
  <c r="C1382" i="1"/>
  <c r="F1381" i="1"/>
  <c r="E1381" i="1"/>
  <c r="D1381" i="1"/>
  <c r="C1381" i="1"/>
  <c r="F1380" i="1"/>
  <c r="E1380" i="1"/>
  <c r="D1380" i="1"/>
  <c r="C1380" i="1"/>
  <c r="F1379" i="1"/>
  <c r="E1379" i="1"/>
  <c r="D1379" i="1"/>
  <c r="C1379" i="1"/>
  <c r="C1375" i="1"/>
  <c r="G1375" i="1" s="1"/>
  <c r="C1374" i="1"/>
  <c r="G1374" i="1" s="1"/>
  <c r="C1373" i="1"/>
  <c r="G1373" i="1" s="1"/>
  <c r="C1372" i="1"/>
  <c r="G1372" i="1" s="1"/>
  <c r="C1371" i="1"/>
  <c r="G1371" i="1" s="1"/>
  <c r="C1370" i="1"/>
  <c r="G1370" i="1" s="1"/>
  <c r="C1369" i="1"/>
  <c r="G1369" i="1" s="1"/>
  <c r="C1368" i="1"/>
  <c r="G1368" i="1" s="1"/>
  <c r="C1367" i="1"/>
  <c r="G1367" i="1" s="1"/>
  <c r="C1366" i="1"/>
  <c r="G1366" i="1" s="1"/>
  <c r="F1365" i="1"/>
  <c r="E1365" i="1"/>
  <c r="D1365" i="1"/>
  <c r="G1365" i="1" s="1"/>
  <c r="C1365" i="1"/>
  <c r="F1364" i="1"/>
  <c r="E1364" i="1"/>
  <c r="D1364" i="1"/>
  <c r="C1364" i="1"/>
  <c r="F1363" i="1"/>
  <c r="E1363" i="1"/>
  <c r="D1363" i="1"/>
  <c r="G1363" i="1" s="1"/>
  <c r="C1363" i="1"/>
  <c r="F1362" i="1"/>
  <c r="E1362" i="1"/>
  <c r="D1362" i="1"/>
  <c r="C1362" i="1"/>
  <c r="F1361" i="1"/>
  <c r="E1361" i="1"/>
  <c r="D1361" i="1"/>
  <c r="G1361" i="1" s="1"/>
  <c r="C1361" i="1"/>
  <c r="F1360" i="1"/>
  <c r="E1360" i="1"/>
  <c r="D1360" i="1"/>
  <c r="G1360" i="1" s="1"/>
  <c r="C1360" i="1"/>
  <c r="F1359" i="1"/>
  <c r="E1359" i="1"/>
  <c r="D1359" i="1"/>
  <c r="C1359" i="1"/>
  <c r="F1358" i="1"/>
  <c r="E1358" i="1"/>
  <c r="D1358" i="1"/>
  <c r="C1358" i="1"/>
  <c r="F1357" i="1"/>
  <c r="E1357" i="1"/>
  <c r="D1357" i="1"/>
  <c r="G1357" i="1" s="1"/>
  <c r="C1357" i="1"/>
  <c r="F1356" i="1"/>
  <c r="E1356" i="1"/>
  <c r="D1356" i="1"/>
  <c r="C1356" i="1"/>
  <c r="F1355" i="1"/>
  <c r="E1355" i="1"/>
  <c r="D1355" i="1"/>
  <c r="G1355" i="1" s="1"/>
  <c r="C1355" i="1"/>
  <c r="F1354" i="1"/>
  <c r="E1354" i="1"/>
  <c r="D1354" i="1"/>
  <c r="G1354" i="1" s="1"/>
  <c r="C1354" i="1"/>
  <c r="F1353" i="1"/>
  <c r="E1353" i="1"/>
  <c r="D1353" i="1"/>
  <c r="G1353" i="1" s="1"/>
  <c r="C1353" i="1"/>
  <c r="F1352" i="1"/>
  <c r="E1352" i="1"/>
  <c r="D1352" i="1"/>
  <c r="C1352" i="1"/>
  <c r="F1351" i="1"/>
  <c r="E1351" i="1"/>
  <c r="D1351" i="1"/>
  <c r="C1351" i="1"/>
  <c r="F1350" i="1"/>
  <c r="E1350" i="1"/>
  <c r="D1350" i="1"/>
  <c r="C1350" i="1"/>
  <c r="F1349" i="1"/>
  <c r="E1349" i="1"/>
  <c r="D1349" i="1"/>
  <c r="G1349" i="1" s="1"/>
  <c r="C1349" i="1"/>
  <c r="F1348" i="1"/>
  <c r="E1348" i="1"/>
  <c r="D1348" i="1"/>
  <c r="G1348" i="1" s="1"/>
  <c r="C1348" i="1"/>
  <c r="F1347" i="1"/>
  <c r="E1347" i="1"/>
  <c r="D1347" i="1"/>
  <c r="C1347" i="1"/>
  <c r="F1346" i="1"/>
  <c r="E1346" i="1"/>
  <c r="D1346" i="1"/>
  <c r="C1346" i="1"/>
  <c r="F1345" i="1"/>
  <c r="E1345" i="1"/>
  <c r="D1345" i="1"/>
  <c r="G1345" i="1" s="1"/>
  <c r="C1345" i="1"/>
  <c r="F1344" i="1"/>
  <c r="E1344" i="1"/>
  <c r="D1344" i="1"/>
  <c r="C1344" i="1"/>
  <c r="F1343" i="1"/>
  <c r="E1343" i="1"/>
  <c r="D1343" i="1"/>
  <c r="C1343" i="1"/>
  <c r="F1342" i="1"/>
  <c r="E1342" i="1"/>
  <c r="D1342" i="1"/>
  <c r="G1342" i="1" s="1"/>
  <c r="C1342" i="1"/>
  <c r="F1341" i="1"/>
  <c r="E1341" i="1"/>
  <c r="D1341" i="1"/>
  <c r="G1341" i="1" s="1"/>
  <c r="C1341" i="1"/>
  <c r="F1340" i="1"/>
  <c r="E1340" i="1"/>
  <c r="D1340" i="1"/>
  <c r="C1340" i="1"/>
  <c r="F1339" i="1"/>
  <c r="E1339" i="1"/>
  <c r="D1339" i="1"/>
  <c r="G1339" i="1" s="1"/>
  <c r="C1339" i="1"/>
  <c r="F1338" i="1"/>
  <c r="E1338" i="1"/>
  <c r="D1338" i="1"/>
  <c r="C1338" i="1"/>
  <c r="F1337" i="1"/>
  <c r="E1337" i="1"/>
  <c r="D1337" i="1"/>
  <c r="G1337" i="1" s="1"/>
  <c r="C1337" i="1"/>
  <c r="F1336" i="1"/>
  <c r="E1336" i="1"/>
  <c r="D1336" i="1"/>
  <c r="G1336" i="1" s="1"/>
  <c r="C1336" i="1"/>
  <c r="F1335" i="1"/>
  <c r="E1335" i="1"/>
  <c r="D1335" i="1"/>
  <c r="C1335" i="1"/>
  <c r="F1334" i="1"/>
  <c r="E1334" i="1"/>
  <c r="D1334" i="1"/>
  <c r="G1334" i="1" s="1"/>
  <c r="C1334" i="1"/>
  <c r="F1333" i="1"/>
  <c r="E1333" i="1"/>
  <c r="D1333" i="1"/>
  <c r="G1333" i="1" s="1"/>
  <c r="C1333" i="1"/>
  <c r="F1332" i="1"/>
  <c r="E1332" i="1"/>
  <c r="D1332" i="1"/>
  <c r="C1332" i="1"/>
  <c r="F1331" i="1"/>
  <c r="E1331" i="1"/>
  <c r="D1331" i="1"/>
  <c r="G1331" i="1" s="1"/>
  <c r="C1331" i="1"/>
  <c r="F1330" i="1"/>
  <c r="E1330" i="1"/>
  <c r="D1330" i="1"/>
  <c r="G1330" i="1" s="1"/>
  <c r="C1330" i="1"/>
  <c r="F1329" i="1"/>
  <c r="E1329" i="1"/>
  <c r="D1329" i="1"/>
  <c r="G1329" i="1" s="1"/>
  <c r="C1329" i="1"/>
  <c r="C1328" i="1"/>
  <c r="G1328" i="1" s="1"/>
  <c r="C1327" i="1"/>
  <c r="G1327" i="1" s="1"/>
  <c r="F1326" i="1"/>
  <c r="E1326" i="1"/>
  <c r="D1326" i="1"/>
  <c r="C1326" i="1"/>
  <c r="F1325" i="1"/>
  <c r="E1325" i="1"/>
  <c r="D1325" i="1"/>
  <c r="C1325" i="1"/>
  <c r="F1324" i="1"/>
  <c r="G1324" i="1" s="1"/>
  <c r="E1324" i="1"/>
  <c r="D1324" i="1"/>
  <c r="C1324" i="1"/>
  <c r="F1323" i="1"/>
  <c r="E1323" i="1"/>
  <c r="D1323" i="1"/>
  <c r="C1323" i="1"/>
  <c r="F1322" i="1"/>
  <c r="G1322" i="1" s="1"/>
  <c r="E1322" i="1"/>
  <c r="D1322" i="1"/>
  <c r="C1322" i="1"/>
  <c r="F1321" i="1"/>
  <c r="G1321" i="1" s="1"/>
  <c r="E1321" i="1"/>
  <c r="D1321" i="1"/>
  <c r="C1321" i="1"/>
  <c r="F1320" i="1"/>
  <c r="E1320" i="1"/>
  <c r="D1320" i="1"/>
  <c r="C1320" i="1"/>
  <c r="F1319" i="1"/>
  <c r="E1319" i="1"/>
  <c r="D1319" i="1"/>
  <c r="C1319" i="1"/>
  <c r="F1318" i="1"/>
  <c r="G1318" i="1" s="1"/>
  <c r="E1318" i="1"/>
  <c r="D1318" i="1"/>
  <c r="C1318" i="1"/>
  <c r="F1317" i="1"/>
  <c r="G1317" i="1" s="1"/>
  <c r="E1317" i="1"/>
  <c r="D1317" i="1"/>
  <c r="C1317" i="1"/>
  <c r="F1316" i="1"/>
  <c r="E1316" i="1"/>
  <c r="D1316" i="1"/>
  <c r="C1316" i="1"/>
  <c r="F1315" i="1"/>
  <c r="E1315" i="1"/>
  <c r="D1315" i="1"/>
  <c r="C1315" i="1"/>
  <c r="F1314" i="1"/>
  <c r="E1314" i="1"/>
  <c r="D1314" i="1"/>
  <c r="C1314" i="1"/>
  <c r="F1313" i="1"/>
  <c r="E1313" i="1"/>
  <c r="D1313" i="1"/>
  <c r="C1313" i="1"/>
  <c r="F1312" i="1"/>
  <c r="E1312" i="1"/>
  <c r="D1312" i="1"/>
  <c r="C1312" i="1"/>
  <c r="F1311" i="1"/>
  <c r="E1311" i="1"/>
  <c r="D1311" i="1"/>
  <c r="C1311" i="1"/>
  <c r="F1310" i="1"/>
  <c r="G1310" i="1" s="1"/>
  <c r="E1310" i="1"/>
  <c r="D1310" i="1"/>
  <c r="C1310" i="1"/>
  <c r="C1309" i="1"/>
  <c r="G1309" i="1" s="1"/>
  <c r="F1308" i="1"/>
  <c r="E1308" i="1"/>
  <c r="D1308" i="1"/>
  <c r="C1308" i="1"/>
  <c r="F1307" i="1"/>
  <c r="E1307" i="1"/>
  <c r="D1307" i="1"/>
  <c r="C1307" i="1"/>
  <c r="F1306" i="1"/>
  <c r="E1306" i="1"/>
  <c r="D1306" i="1"/>
  <c r="C1306" i="1"/>
  <c r="F1305" i="1"/>
  <c r="E1305" i="1"/>
  <c r="D1305" i="1"/>
  <c r="C1305" i="1"/>
  <c r="F1304" i="1"/>
  <c r="E1304" i="1"/>
  <c r="D1304" i="1"/>
  <c r="C1304" i="1"/>
  <c r="F1303" i="1"/>
  <c r="E1303" i="1"/>
  <c r="D1303" i="1"/>
  <c r="C1303" i="1"/>
  <c r="E1302" i="1"/>
  <c r="D1302" i="1"/>
  <c r="C1302" i="1"/>
  <c r="F1301" i="1"/>
  <c r="E1301" i="1"/>
  <c r="D1301" i="1"/>
  <c r="C1301" i="1"/>
  <c r="F1300" i="1"/>
  <c r="E1300" i="1"/>
  <c r="D1300" i="1"/>
  <c r="C1300" i="1"/>
  <c r="F1299" i="1"/>
  <c r="E1299" i="1"/>
  <c r="D1299" i="1"/>
  <c r="C1299" i="1"/>
  <c r="F1298" i="1"/>
  <c r="E1298" i="1"/>
  <c r="D1298" i="1"/>
  <c r="C1298" i="1"/>
  <c r="C1294" i="1"/>
  <c r="G1294" i="1" s="1"/>
  <c r="C1293" i="1"/>
  <c r="G1293" i="1" s="1"/>
  <c r="C1292" i="1"/>
  <c r="G1292" i="1" s="1"/>
  <c r="C1291" i="1"/>
  <c r="G1291" i="1" s="1"/>
  <c r="C1290" i="1"/>
  <c r="G1290" i="1" s="1"/>
  <c r="C1289" i="1"/>
  <c r="G1289" i="1" s="1"/>
  <c r="C1288" i="1"/>
  <c r="G1288" i="1" s="1"/>
  <c r="C1287" i="1"/>
  <c r="G1287" i="1" s="1"/>
  <c r="C1286" i="1"/>
  <c r="G1286" i="1" s="1"/>
  <c r="C1285" i="1"/>
  <c r="G1285" i="1" s="1"/>
  <c r="F1284" i="1"/>
  <c r="E1284" i="1"/>
  <c r="D1284" i="1"/>
  <c r="C1284" i="1"/>
  <c r="F1283" i="1"/>
  <c r="E1283" i="1"/>
  <c r="D1283" i="1"/>
  <c r="C1283" i="1"/>
  <c r="F1282" i="1"/>
  <c r="E1282" i="1"/>
  <c r="D1282" i="1"/>
  <c r="C1282" i="1"/>
  <c r="F1281" i="1"/>
  <c r="E1281" i="1"/>
  <c r="D1281" i="1"/>
  <c r="C1281" i="1"/>
  <c r="F1280" i="1"/>
  <c r="E1280" i="1"/>
  <c r="D1280" i="1"/>
  <c r="G1280" i="1" s="1"/>
  <c r="C1280" i="1"/>
  <c r="F1279" i="1"/>
  <c r="E1279" i="1"/>
  <c r="D1279" i="1"/>
  <c r="C1279" i="1"/>
  <c r="F1278" i="1"/>
  <c r="E1278" i="1"/>
  <c r="D1278" i="1"/>
  <c r="C1278" i="1"/>
  <c r="F1277" i="1"/>
  <c r="E1277" i="1"/>
  <c r="D1277" i="1"/>
  <c r="C1277" i="1"/>
  <c r="F1276" i="1"/>
  <c r="E1276" i="1"/>
  <c r="D1276" i="1"/>
  <c r="G1276" i="1" s="1"/>
  <c r="C1276" i="1"/>
  <c r="F1275" i="1"/>
  <c r="E1275" i="1"/>
  <c r="D1275" i="1"/>
  <c r="C1275" i="1"/>
  <c r="F1274" i="1"/>
  <c r="E1274" i="1"/>
  <c r="D1274" i="1"/>
  <c r="C1274" i="1"/>
  <c r="F1273" i="1"/>
  <c r="E1273" i="1"/>
  <c r="D1273" i="1"/>
  <c r="C1273" i="1"/>
  <c r="F1272" i="1"/>
  <c r="E1272" i="1"/>
  <c r="D1272" i="1"/>
  <c r="G1272" i="1" s="1"/>
  <c r="C1272" i="1"/>
  <c r="F1271" i="1"/>
  <c r="E1271" i="1"/>
  <c r="D1271" i="1"/>
  <c r="C1271" i="1"/>
  <c r="F1270" i="1"/>
  <c r="E1270" i="1"/>
  <c r="D1270" i="1"/>
  <c r="C1270" i="1"/>
  <c r="F1269" i="1"/>
  <c r="E1269" i="1"/>
  <c r="D1269" i="1"/>
  <c r="G1269" i="1" s="1"/>
  <c r="C1269" i="1"/>
  <c r="F1268" i="1"/>
  <c r="E1268" i="1"/>
  <c r="D1268" i="1"/>
  <c r="G1268" i="1" s="1"/>
  <c r="C1268" i="1"/>
  <c r="F1267" i="1"/>
  <c r="E1267" i="1"/>
  <c r="D1267" i="1"/>
  <c r="C1267" i="1"/>
  <c r="F1266" i="1"/>
  <c r="E1266" i="1"/>
  <c r="D1266" i="1"/>
  <c r="G1266" i="1" s="1"/>
  <c r="C1266" i="1"/>
  <c r="F1265" i="1"/>
  <c r="E1265" i="1"/>
  <c r="D1265" i="1"/>
  <c r="C1265" i="1"/>
  <c r="F1264" i="1"/>
  <c r="E1264" i="1"/>
  <c r="D1264" i="1"/>
  <c r="G1264" i="1" s="1"/>
  <c r="C1264" i="1"/>
  <c r="F1263" i="1"/>
  <c r="E1263" i="1"/>
  <c r="D1263" i="1"/>
  <c r="C1263" i="1"/>
  <c r="F1262" i="1"/>
  <c r="E1262" i="1"/>
  <c r="D1262" i="1"/>
  <c r="C1262" i="1"/>
  <c r="F1261" i="1"/>
  <c r="E1261" i="1"/>
  <c r="D1261" i="1"/>
  <c r="C1261" i="1"/>
  <c r="F1260" i="1"/>
  <c r="E1260" i="1"/>
  <c r="D1260" i="1"/>
  <c r="C1260" i="1"/>
  <c r="F1259" i="1"/>
  <c r="E1259" i="1"/>
  <c r="D1259" i="1"/>
  <c r="C1259" i="1"/>
  <c r="F1258" i="1"/>
  <c r="E1258" i="1"/>
  <c r="D1258" i="1"/>
  <c r="C1258" i="1"/>
  <c r="F1257" i="1"/>
  <c r="E1257" i="1"/>
  <c r="D1257" i="1"/>
  <c r="C1257" i="1"/>
  <c r="F1256" i="1"/>
  <c r="E1256" i="1"/>
  <c r="D1256" i="1"/>
  <c r="G1256" i="1" s="1"/>
  <c r="C1256" i="1"/>
  <c r="F1255" i="1"/>
  <c r="E1255" i="1"/>
  <c r="D1255" i="1"/>
  <c r="C1255" i="1"/>
  <c r="F1254" i="1"/>
  <c r="E1254" i="1"/>
  <c r="D1254" i="1"/>
  <c r="C1254" i="1"/>
  <c r="F1253" i="1"/>
  <c r="E1253" i="1"/>
  <c r="D1253" i="1"/>
  <c r="C1253" i="1"/>
  <c r="F1252" i="1"/>
  <c r="E1252" i="1"/>
  <c r="D1252" i="1"/>
  <c r="G1252" i="1" s="1"/>
  <c r="C1252" i="1"/>
  <c r="F1251" i="1"/>
  <c r="E1251" i="1"/>
  <c r="D1251" i="1"/>
  <c r="G1251" i="1" s="1"/>
  <c r="C1251" i="1"/>
  <c r="F1250" i="1"/>
  <c r="E1250" i="1"/>
  <c r="D1250" i="1"/>
  <c r="C1250" i="1"/>
  <c r="F1249" i="1"/>
  <c r="E1249" i="1"/>
  <c r="D1249" i="1"/>
  <c r="C1249" i="1"/>
  <c r="F1248" i="1"/>
  <c r="E1248" i="1"/>
  <c r="D1248" i="1"/>
  <c r="C1248" i="1"/>
  <c r="C1247" i="1"/>
  <c r="G1247" i="1" s="1"/>
  <c r="C1246" i="1"/>
  <c r="G1246" i="1" s="1"/>
  <c r="F1245" i="1"/>
  <c r="E1245" i="1"/>
  <c r="D1245" i="1"/>
  <c r="C1245" i="1"/>
  <c r="F1244" i="1"/>
  <c r="G1244" i="1" s="1"/>
  <c r="E1244" i="1"/>
  <c r="D1244" i="1"/>
  <c r="C1244" i="1"/>
  <c r="F1243" i="1"/>
  <c r="E1243" i="1"/>
  <c r="D1243" i="1"/>
  <c r="C1243" i="1"/>
  <c r="F1242" i="1"/>
  <c r="G1242" i="1" s="1"/>
  <c r="E1242" i="1"/>
  <c r="D1242" i="1"/>
  <c r="C1242" i="1"/>
  <c r="F1241" i="1"/>
  <c r="E1241" i="1"/>
  <c r="D1241" i="1"/>
  <c r="C1241" i="1"/>
  <c r="F1240" i="1"/>
  <c r="E1240" i="1"/>
  <c r="D1240" i="1"/>
  <c r="C1240" i="1"/>
  <c r="F1239" i="1"/>
  <c r="E1239" i="1"/>
  <c r="D1239" i="1"/>
  <c r="C1239" i="1"/>
  <c r="F1238" i="1"/>
  <c r="E1238" i="1"/>
  <c r="D1238" i="1"/>
  <c r="C1238" i="1"/>
  <c r="F1237" i="1"/>
  <c r="E1237" i="1"/>
  <c r="D1237" i="1"/>
  <c r="C1237" i="1"/>
  <c r="F1236" i="1"/>
  <c r="E1236" i="1"/>
  <c r="D1236" i="1"/>
  <c r="C1236" i="1"/>
  <c r="F1235" i="1"/>
  <c r="E1235" i="1"/>
  <c r="D1235" i="1"/>
  <c r="C1235" i="1"/>
  <c r="F1234" i="1"/>
  <c r="E1234" i="1"/>
  <c r="D1234" i="1"/>
  <c r="C1234" i="1"/>
  <c r="F1233" i="1"/>
  <c r="G1233" i="1" s="1"/>
  <c r="E1233" i="1"/>
  <c r="D1233" i="1"/>
  <c r="C1233" i="1"/>
  <c r="F1232" i="1"/>
  <c r="E1232" i="1"/>
  <c r="D1232" i="1"/>
  <c r="C1232" i="1"/>
  <c r="F1231" i="1"/>
  <c r="E1231" i="1"/>
  <c r="D1231" i="1"/>
  <c r="C1231" i="1"/>
  <c r="F1230" i="1"/>
  <c r="E1230" i="1"/>
  <c r="D1230" i="1"/>
  <c r="C1230" i="1"/>
  <c r="F1229" i="1"/>
  <c r="E1229" i="1"/>
  <c r="D1229" i="1"/>
  <c r="C1229" i="1"/>
  <c r="C1228" i="1"/>
  <c r="G1228" i="1" s="1"/>
  <c r="F1227" i="1"/>
  <c r="E1227" i="1"/>
  <c r="D1227" i="1"/>
  <c r="C1227" i="1"/>
  <c r="F1226" i="1"/>
  <c r="E1226" i="1"/>
  <c r="D1226" i="1"/>
  <c r="C1226" i="1"/>
  <c r="F1225" i="1"/>
  <c r="E1225" i="1"/>
  <c r="D1225" i="1"/>
  <c r="C1225" i="1"/>
  <c r="F1224" i="1"/>
  <c r="E1224" i="1"/>
  <c r="D1224" i="1"/>
  <c r="C1224" i="1"/>
  <c r="F1223" i="1"/>
  <c r="E1223" i="1"/>
  <c r="D1223" i="1"/>
  <c r="C1223" i="1"/>
  <c r="F1222" i="1"/>
  <c r="E1222" i="1"/>
  <c r="D1222" i="1"/>
  <c r="C1222" i="1"/>
  <c r="E1221" i="1"/>
  <c r="D1221" i="1"/>
  <c r="C1221" i="1"/>
  <c r="F1220" i="1"/>
  <c r="E1220" i="1"/>
  <c r="D1220" i="1"/>
  <c r="C1220" i="1"/>
  <c r="F1219" i="1"/>
  <c r="E1219" i="1"/>
  <c r="D1219" i="1"/>
  <c r="C1219" i="1"/>
  <c r="F1218" i="1"/>
  <c r="E1218" i="1"/>
  <c r="D1218" i="1"/>
  <c r="C1218" i="1"/>
  <c r="F1217" i="1"/>
  <c r="E1217" i="1"/>
  <c r="D1217" i="1"/>
  <c r="C1217" i="1"/>
  <c r="C1213" i="1"/>
  <c r="G1213" i="1" s="1"/>
  <c r="C1212" i="1"/>
  <c r="G1212" i="1" s="1"/>
  <c r="C1211" i="1"/>
  <c r="G1211" i="1" s="1"/>
  <c r="C1210" i="1"/>
  <c r="G1210" i="1" s="1"/>
  <c r="C1209" i="1"/>
  <c r="G1209" i="1" s="1"/>
  <c r="C1208" i="1"/>
  <c r="G1208" i="1" s="1"/>
  <c r="C1207" i="1"/>
  <c r="G1207" i="1" s="1"/>
  <c r="C1206" i="1"/>
  <c r="G1206" i="1" s="1"/>
  <c r="C1205" i="1"/>
  <c r="G1205" i="1" s="1"/>
  <c r="C1204" i="1"/>
  <c r="G1204" i="1" s="1"/>
  <c r="F1203" i="1"/>
  <c r="E1203" i="1"/>
  <c r="D1203" i="1"/>
  <c r="G1203" i="1" s="1"/>
  <c r="C1203" i="1"/>
  <c r="F1202" i="1"/>
  <c r="E1202" i="1"/>
  <c r="D1202" i="1"/>
  <c r="C1202" i="1"/>
  <c r="F1201" i="1"/>
  <c r="E1201" i="1"/>
  <c r="D1201" i="1"/>
  <c r="C1201" i="1"/>
  <c r="F1200" i="1"/>
  <c r="E1200" i="1"/>
  <c r="D1200" i="1"/>
  <c r="C1200" i="1"/>
  <c r="F1199" i="1"/>
  <c r="E1199" i="1"/>
  <c r="D1199" i="1"/>
  <c r="G1199" i="1" s="1"/>
  <c r="C1199" i="1"/>
  <c r="F1198" i="1"/>
  <c r="E1198" i="1"/>
  <c r="D1198" i="1"/>
  <c r="C1198" i="1"/>
  <c r="F1197" i="1"/>
  <c r="E1197" i="1"/>
  <c r="D1197" i="1"/>
  <c r="C1197" i="1"/>
  <c r="F1196" i="1"/>
  <c r="E1196" i="1"/>
  <c r="D1196" i="1"/>
  <c r="C1196" i="1"/>
  <c r="F1195" i="1"/>
  <c r="E1195" i="1"/>
  <c r="D1195" i="1"/>
  <c r="C1195" i="1"/>
  <c r="F1194" i="1"/>
  <c r="E1194" i="1"/>
  <c r="D1194" i="1"/>
  <c r="C1194" i="1"/>
  <c r="F1193" i="1"/>
  <c r="E1193" i="1"/>
  <c r="D1193" i="1"/>
  <c r="C1193" i="1"/>
  <c r="F1192" i="1"/>
  <c r="E1192" i="1"/>
  <c r="D1192" i="1"/>
  <c r="C1192" i="1"/>
  <c r="F1191" i="1"/>
  <c r="E1191" i="1"/>
  <c r="D1191" i="1"/>
  <c r="C1191" i="1"/>
  <c r="F1190" i="1"/>
  <c r="E1190" i="1"/>
  <c r="D1190" i="1"/>
  <c r="C1190" i="1"/>
  <c r="F1189" i="1"/>
  <c r="E1189" i="1"/>
  <c r="D1189" i="1"/>
  <c r="C1189" i="1"/>
  <c r="F1188" i="1"/>
  <c r="E1188" i="1"/>
  <c r="D1188" i="1"/>
  <c r="C1188" i="1"/>
  <c r="F1187" i="1"/>
  <c r="E1187" i="1"/>
  <c r="D1187" i="1"/>
  <c r="C1187" i="1"/>
  <c r="F1186" i="1"/>
  <c r="E1186" i="1"/>
  <c r="D1186" i="1"/>
  <c r="C1186" i="1"/>
  <c r="F1185" i="1"/>
  <c r="E1185" i="1"/>
  <c r="D1185" i="1"/>
  <c r="C1185" i="1"/>
  <c r="F1184" i="1"/>
  <c r="E1184" i="1"/>
  <c r="D1184" i="1"/>
  <c r="C1184" i="1"/>
  <c r="F1183" i="1"/>
  <c r="E1183" i="1"/>
  <c r="D1183" i="1"/>
  <c r="C1183" i="1"/>
  <c r="F1182" i="1"/>
  <c r="E1182" i="1"/>
  <c r="D1182" i="1"/>
  <c r="C1182" i="1"/>
  <c r="F1181" i="1"/>
  <c r="E1181" i="1"/>
  <c r="D1181" i="1"/>
  <c r="G1181" i="1" s="1"/>
  <c r="C1181" i="1"/>
  <c r="F1180" i="1"/>
  <c r="E1180" i="1"/>
  <c r="D1180" i="1"/>
  <c r="C1180" i="1"/>
  <c r="F1179" i="1"/>
  <c r="E1179" i="1"/>
  <c r="D1179" i="1"/>
  <c r="C1179" i="1"/>
  <c r="F1178" i="1"/>
  <c r="E1178" i="1"/>
  <c r="D1178" i="1"/>
  <c r="C1178" i="1"/>
  <c r="F1177" i="1"/>
  <c r="E1177" i="1"/>
  <c r="D1177" i="1"/>
  <c r="C1177" i="1"/>
  <c r="F1176" i="1"/>
  <c r="E1176" i="1"/>
  <c r="D1176" i="1"/>
  <c r="C1176" i="1"/>
  <c r="F1175" i="1"/>
  <c r="E1175" i="1"/>
  <c r="D1175" i="1"/>
  <c r="C1175" i="1"/>
  <c r="F1174" i="1"/>
  <c r="E1174" i="1"/>
  <c r="D1174" i="1"/>
  <c r="C1174" i="1"/>
  <c r="F1173" i="1"/>
  <c r="E1173" i="1"/>
  <c r="D1173" i="1"/>
  <c r="C1173" i="1"/>
  <c r="F1172" i="1"/>
  <c r="E1172" i="1"/>
  <c r="D1172" i="1"/>
  <c r="G1172" i="1" s="1"/>
  <c r="C1172" i="1"/>
  <c r="F1171" i="1"/>
  <c r="E1171" i="1"/>
  <c r="D1171" i="1"/>
  <c r="C1171" i="1"/>
  <c r="F1170" i="1"/>
  <c r="E1170" i="1"/>
  <c r="D1170" i="1"/>
  <c r="C1170" i="1"/>
  <c r="F1169" i="1"/>
  <c r="E1169" i="1"/>
  <c r="D1169" i="1"/>
  <c r="C1169" i="1"/>
  <c r="F1168" i="1"/>
  <c r="E1168" i="1"/>
  <c r="D1168" i="1"/>
  <c r="C1168" i="1"/>
  <c r="F1167" i="1"/>
  <c r="E1167" i="1"/>
  <c r="D1167" i="1"/>
  <c r="C1167" i="1"/>
  <c r="C1166" i="1"/>
  <c r="G1166" i="1" s="1"/>
  <c r="C1165" i="1"/>
  <c r="G1165" i="1" s="1"/>
  <c r="F1164" i="1"/>
  <c r="E1164" i="1"/>
  <c r="D1164" i="1"/>
  <c r="C1164" i="1"/>
  <c r="F1163" i="1"/>
  <c r="E1163" i="1"/>
  <c r="D1163" i="1"/>
  <c r="C1163" i="1"/>
  <c r="F1162" i="1"/>
  <c r="E1162" i="1"/>
  <c r="D1162" i="1"/>
  <c r="C1162" i="1"/>
  <c r="F1161" i="1"/>
  <c r="E1161" i="1"/>
  <c r="D1161" i="1"/>
  <c r="C1161" i="1"/>
  <c r="F1160" i="1"/>
  <c r="E1160" i="1"/>
  <c r="D1160" i="1"/>
  <c r="C1160" i="1"/>
  <c r="F1159" i="1"/>
  <c r="E1159" i="1"/>
  <c r="D1159" i="1"/>
  <c r="C1159" i="1"/>
  <c r="F1158" i="1"/>
  <c r="E1158" i="1"/>
  <c r="D1158" i="1"/>
  <c r="C1158" i="1"/>
  <c r="F1157" i="1"/>
  <c r="G1157" i="1" s="1"/>
  <c r="E1157" i="1"/>
  <c r="D1157" i="1"/>
  <c r="C1157" i="1"/>
  <c r="F1156" i="1"/>
  <c r="E1156" i="1"/>
  <c r="D1156" i="1"/>
  <c r="C1156" i="1"/>
  <c r="F1155" i="1"/>
  <c r="E1155" i="1"/>
  <c r="D1155" i="1"/>
  <c r="C1155" i="1"/>
  <c r="F1154" i="1"/>
  <c r="E1154" i="1"/>
  <c r="D1154" i="1"/>
  <c r="C1154" i="1"/>
  <c r="F1153" i="1"/>
  <c r="G1153" i="1" s="1"/>
  <c r="E1153" i="1"/>
  <c r="D1153" i="1"/>
  <c r="C1153" i="1"/>
  <c r="F1152" i="1"/>
  <c r="E1152" i="1"/>
  <c r="D1152" i="1"/>
  <c r="C1152" i="1"/>
  <c r="F1151" i="1"/>
  <c r="E1151" i="1"/>
  <c r="D1151" i="1"/>
  <c r="C1151" i="1"/>
  <c r="F1150" i="1"/>
  <c r="E1150" i="1"/>
  <c r="D1150" i="1"/>
  <c r="C1150" i="1"/>
  <c r="F1149" i="1"/>
  <c r="E1149" i="1"/>
  <c r="D1149" i="1"/>
  <c r="C1149" i="1"/>
  <c r="F1148" i="1"/>
  <c r="E1148" i="1"/>
  <c r="D1148" i="1"/>
  <c r="C1148" i="1"/>
  <c r="C1147" i="1"/>
  <c r="G1147" i="1" s="1"/>
  <c r="F1146" i="1"/>
  <c r="E1146" i="1"/>
  <c r="D1146" i="1"/>
  <c r="C1146" i="1"/>
  <c r="F1145" i="1"/>
  <c r="E1145" i="1"/>
  <c r="D1145" i="1"/>
  <c r="C1145" i="1"/>
  <c r="F1144" i="1"/>
  <c r="E1144" i="1"/>
  <c r="D1144" i="1"/>
  <c r="C1144" i="1"/>
  <c r="F1143" i="1"/>
  <c r="E1143" i="1"/>
  <c r="D1143" i="1"/>
  <c r="C1143" i="1"/>
  <c r="F1142" i="1"/>
  <c r="E1142" i="1"/>
  <c r="D1142" i="1"/>
  <c r="C1142" i="1"/>
  <c r="F1141" i="1"/>
  <c r="E1141" i="1"/>
  <c r="D1141" i="1"/>
  <c r="C1141" i="1"/>
  <c r="E1140" i="1"/>
  <c r="D1140" i="1"/>
  <c r="C1140" i="1"/>
  <c r="F1139" i="1"/>
  <c r="G1139" i="1" s="1"/>
  <c r="E1139" i="1"/>
  <c r="D1139" i="1"/>
  <c r="C1139" i="1"/>
  <c r="F1138" i="1"/>
  <c r="E1138" i="1"/>
  <c r="D1138" i="1"/>
  <c r="C1138" i="1"/>
  <c r="F1137" i="1"/>
  <c r="E1137" i="1"/>
  <c r="D1137" i="1"/>
  <c r="C1137" i="1"/>
  <c r="F1136" i="1"/>
  <c r="E1136" i="1"/>
  <c r="D1136" i="1"/>
  <c r="C1136" i="1"/>
  <c r="C1132" i="1"/>
  <c r="G1132" i="1" s="1"/>
  <c r="C1131" i="1"/>
  <c r="G1131" i="1" s="1"/>
  <c r="C1130" i="1"/>
  <c r="G1130" i="1" s="1"/>
  <c r="C1129" i="1"/>
  <c r="G1129" i="1" s="1"/>
  <c r="C1128" i="1"/>
  <c r="G1128" i="1" s="1"/>
  <c r="C1127" i="1"/>
  <c r="G1127" i="1" s="1"/>
  <c r="C1126" i="1"/>
  <c r="G1126" i="1" s="1"/>
  <c r="C1125" i="1"/>
  <c r="G1125" i="1" s="1"/>
  <c r="C1124" i="1"/>
  <c r="G1124" i="1" s="1"/>
  <c r="C1123" i="1"/>
  <c r="G1123" i="1" s="1"/>
  <c r="F1122" i="1"/>
  <c r="E1122" i="1"/>
  <c r="D1122" i="1"/>
  <c r="C1122" i="1"/>
  <c r="F1121" i="1"/>
  <c r="E1121" i="1"/>
  <c r="D1121" i="1"/>
  <c r="C1121" i="1"/>
  <c r="F1120" i="1"/>
  <c r="E1120" i="1"/>
  <c r="D1120" i="1"/>
  <c r="C1120" i="1"/>
  <c r="F1119" i="1"/>
  <c r="E1119" i="1"/>
  <c r="D1119" i="1"/>
  <c r="C1119" i="1"/>
  <c r="F1118" i="1"/>
  <c r="E1118" i="1"/>
  <c r="D1118" i="1"/>
  <c r="C1118" i="1"/>
  <c r="F1117" i="1"/>
  <c r="E1117" i="1"/>
  <c r="D1117" i="1"/>
  <c r="C1117" i="1"/>
  <c r="F1116" i="1"/>
  <c r="E1116" i="1"/>
  <c r="D1116" i="1"/>
  <c r="G1116" i="1" s="1"/>
  <c r="C1116" i="1"/>
  <c r="F1115" i="1"/>
  <c r="E1115" i="1"/>
  <c r="D1115" i="1"/>
  <c r="C1115" i="1"/>
  <c r="F1114" i="1"/>
  <c r="E1114" i="1"/>
  <c r="D1114" i="1"/>
  <c r="C1114" i="1"/>
  <c r="F1113" i="1"/>
  <c r="E1113" i="1"/>
  <c r="D1113" i="1"/>
  <c r="C1113" i="1"/>
  <c r="F1112" i="1"/>
  <c r="E1112" i="1"/>
  <c r="D1112" i="1"/>
  <c r="C1112" i="1"/>
  <c r="F1111" i="1"/>
  <c r="E1111" i="1"/>
  <c r="D1111" i="1"/>
  <c r="C1111" i="1"/>
  <c r="F1110" i="1"/>
  <c r="E1110" i="1"/>
  <c r="D1110" i="1"/>
  <c r="C1110" i="1"/>
  <c r="F1109" i="1"/>
  <c r="E1109" i="1"/>
  <c r="D1109" i="1"/>
  <c r="C1109" i="1"/>
  <c r="F1108" i="1"/>
  <c r="E1108" i="1"/>
  <c r="D1108" i="1"/>
  <c r="C1108" i="1"/>
  <c r="F1107" i="1"/>
  <c r="E1107" i="1"/>
  <c r="D1107" i="1"/>
  <c r="C1107" i="1"/>
  <c r="F1106" i="1"/>
  <c r="E1106" i="1"/>
  <c r="D1106" i="1"/>
  <c r="C1106" i="1"/>
  <c r="F1105" i="1"/>
  <c r="E1105" i="1"/>
  <c r="D1105" i="1"/>
  <c r="C1105" i="1"/>
  <c r="F1104" i="1"/>
  <c r="E1104" i="1"/>
  <c r="D1104" i="1"/>
  <c r="C1104" i="1"/>
  <c r="F1103" i="1"/>
  <c r="E1103" i="1"/>
  <c r="D1103" i="1"/>
  <c r="C1103" i="1"/>
  <c r="F1102" i="1"/>
  <c r="E1102" i="1"/>
  <c r="D1102" i="1"/>
  <c r="C1102" i="1"/>
  <c r="F1101" i="1"/>
  <c r="E1101" i="1"/>
  <c r="D1101" i="1"/>
  <c r="C1101" i="1"/>
  <c r="F1100" i="1"/>
  <c r="E1100" i="1"/>
  <c r="D1100" i="1"/>
  <c r="C1100" i="1"/>
  <c r="F1099" i="1"/>
  <c r="E1099" i="1"/>
  <c r="D1099" i="1"/>
  <c r="C1099" i="1"/>
  <c r="F1098" i="1"/>
  <c r="E1098" i="1"/>
  <c r="D1098" i="1"/>
  <c r="C1098" i="1"/>
  <c r="F1097" i="1"/>
  <c r="E1097" i="1"/>
  <c r="D1097" i="1"/>
  <c r="C1097" i="1"/>
  <c r="F1096" i="1"/>
  <c r="E1096" i="1"/>
  <c r="D1096" i="1"/>
  <c r="C1096" i="1"/>
  <c r="F1095" i="1"/>
  <c r="E1095" i="1"/>
  <c r="D1095" i="1"/>
  <c r="C1095" i="1"/>
  <c r="F1094" i="1"/>
  <c r="E1094" i="1"/>
  <c r="D1094" i="1"/>
  <c r="C1094" i="1"/>
  <c r="F1093" i="1"/>
  <c r="E1093" i="1"/>
  <c r="D1093" i="1"/>
  <c r="C1093" i="1"/>
  <c r="F1092" i="1"/>
  <c r="E1092" i="1"/>
  <c r="D1092" i="1"/>
  <c r="C1092" i="1"/>
  <c r="F1091" i="1"/>
  <c r="E1091" i="1"/>
  <c r="D1091" i="1"/>
  <c r="C1091" i="1"/>
  <c r="F1090" i="1"/>
  <c r="E1090" i="1"/>
  <c r="D1090" i="1"/>
  <c r="C1090" i="1"/>
  <c r="F1089" i="1"/>
  <c r="E1089" i="1"/>
  <c r="D1089" i="1"/>
  <c r="C1089" i="1"/>
  <c r="F1088" i="1"/>
  <c r="E1088" i="1"/>
  <c r="D1088" i="1"/>
  <c r="C1088" i="1"/>
  <c r="F1087" i="1"/>
  <c r="E1087" i="1"/>
  <c r="D1087" i="1"/>
  <c r="C1087" i="1"/>
  <c r="F1086" i="1"/>
  <c r="E1086" i="1"/>
  <c r="D1086" i="1"/>
  <c r="C1086" i="1"/>
  <c r="C1085" i="1"/>
  <c r="G1085" i="1" s="1"/>
  <c r="C1084" i="1"/>
  <c r="G1084" i="1" s="1"/>
  <c r="F1083" i="1"/>
  <c r="E1083" i="1"/>
  <c r="D1083" i="1"/>
  <c r="C1083" i="1"/>
  <c r="F1082" i="1"/>
  <c r="E1082" i="1"/>
  <c r="D1082" i="1"/>
  <c r="C1082" i="1"/>
  <c r="F1081" i="1"/>
  <c r="E1081" i="1"/>
  <c r="D1081" i="1"/>
  <c r="C1081" i="1"/>
  <c r="F1080" i="1"/>
  <c r="E1080" i="1"/>
  <c r="D1080" i="1"/>
  <c r="C1080" i="1"/>
  <c r="F1079" i="1"/>
  <c r="E1079" i="1"/>
  <c r="D1079" i="1"/>
  <c r="C1079" i="1"/>
  <c r="F1078" i="1"/>
  <c r="E1078" i="1"/>
  <c r="D1078" i="1"/>
  <c r="C1078" i="1"/>
  <c r="F1077" i="1"/>
  <c r="E1077" i="1"/>
  <c r="D1077" i="1"/>
  <c r="C1077" i="1"/>
  <c r="F1076" i="1"/>
  <c r="E1076" i="1"/>
  <c r="D1076" i="1"/>
  <c r="C1076" i="1"/>
  <c r="F1075" i="1"/>
  <c r="E1075" i="1"/>
  <c r="D1075" i="1"/>
  <c r="C1075" i="1"/>
  <c r="F1074" i="1"/>
  <c r="E1074" i="1"/>
  <c r="D1074" i="1"/>
  <c r="C1074" i="1"/>
  <c r="F1073" i="1"/>
  <c r="E1073" i="1"/>
  <c r="D1073" i="1"/>
  <c r="C1073" i="1"/>
  <c r="F1072" i="1"/>
  <c r="E1072" i="1"/>
  <c r="D1072" i="1"/>
  <c r="C1072" i="1"/>
  <c r="F1071" i="1"/>
  <c r="E1071" i="1"/>
  <c r="D1071" i="1"/>
  <c r="C1071" i="1"/>
  <c r="F1070" i="1"/>
  <c r="E1070" i="1"/>
  <c r="D1070" i="1"/>
  <c r="C1070" i="1"/>
  <c r="F1069" i="1"/>
  <c r="E1069" i="1"/>
  <c r="D1069" i="1"/>
  <c r="C1069" i="1"/>
  <c r="F1068" i="1"/>
  <c r="E1068" i="1"/>
  <c r="D1068" i="1"/>
  <c r="C1068" i="1"/>
  <c r="F1067" i="1"/>
  <c r="E1067" i="1"/>
  <c r="D1067" i="1"/>
  <c r="C1067" i="1"/>
  <c r="C1066" i="1"/>
  <c r="G1066" i="1" s="1"/>
  <c r="F1065" i="1"/>
  <c r="E1065" i="1"/>
  <c r="D1065" i="1"/>
  <c r="C1065" i="1"/>
  <c r="F1064" i="1"/>
  <c r="E1064" i="1"/>
  <c r="D1064" i="1"/>
  <c r="C1064" i="1"/>
  <c r="F1063" i="1"/>
  <c r="E1063" i="1"/>
  <c r="D1063" i="1"/>
  <c r="C1063" i="1"/>
  <c r="F1062" i="1"/>
  <c r="E1062" i="1"/>
  <c r="D1062" i="1"/>
  <c r="C1062" i="1"/>
  <c r="F1061" i="1"/>
  <c r="E1061" i="1"/>
  <c r="D1061" i="1"/>
  <c r="C1061" i="1"/>
  <c r="F1060" i="1"/>
  <c r="E1060" i="1"/>
  <c r="D1060" i="1"/>
  <c r="C1060" i="1"/>
  <c r="E1059" i="1"/>
  <c r="D1059" i="1"/>
  <c r="C1059" i="1"/>
  <c r="F1058" i="1"/>
  <c r="E1058" i="1"/>
  <c r="D1058" i="1"/>
  <c r="C1058" i="1"/>
  <c r="F1057" i="1"/>
  <c r="E1057" i="1"/>
  <c r="D1057" i="1"/>
  <c r="C1057" i="1"/>
  <c r="F1056" i="1"/>
  <c r="E1056" i="1"/>
  <c r="D1056" i="1"/>
  <c r="C1056" i="1"/>
  <c r="F1055" i="1"/>
  <c r="E1055" i="1"/>
  <c r="D1055" i="1"/>
  <c r="C1055" i="1"/>
  <c r="C1051" i="1"/>
  <c r="G1051" i="1" s="1"/>
  <c r="C1050" i="1"/>
  <c r="G1050" i="1" s="1"/>
  <c r="C1049" i="1"/>
  <c r="G1049" i="1" s="1"/>
  <c r="C1048" i="1"/>
  <c r="G1048" i="1" s="1"/>
  <c r="C1047" i="1"/>
  <c r="G1047" i="1" s="1"/>
  <c r="C1046" i="1"/>
  <c r="G1046" i="1" s="1"/>
  <c r="C1045" i="1"/>
  <c r="G1045" i="1" s="1"/>
  <c r="C1044" i="1"/>
  <c r="G1044" i="1" s="1"/>
  <c r="C1043" i="1"/>
  <c r="G1043" i="1" s="1"/>
  <c r="C1042" i="1"/>
  <c r="G1042" i="1" s="1"/>
  <c r="F1041" i="1"/>
  <c r="E1041" i="1"/>
  <c r="D1041" i="1"/>
  <c r="C1041" i="1"/>
  <c r="F1040" i="1"/>
  <c r="E1040" i="1"/>
  <c r="D1040" i="1"/>
  <c r="C1040" i="1"/>
  <c r="F1039" i="1"/>
  <c r="E1039" i="1"/>
  <c r="D1039" i="1"/>
  <c r="C1039" i="1"/>
  <c r="F1038" i="1"/>
  <c r="E1038" i="1"/>
  <c r="D1038" i="1"/>
  <c r="C1038" i="1"/>
  <c r="F1037" i="1"/>
  <c r="E1037" i="1"/>
  <c r="D1037" i="1"/>
  <c r="C1037" i="1"/>
  <c r="F1036" i="1"/>
  <c r="E1036" i="1"/>
  <c r="D1036" i="1"/>
  <c r="C1036" i="1"/>
  <c r="F1035" i="1"/>
  <c r="E1035" i="1"/>
  <c r="D1035" i="1"/>
  <c r="C1035" i="1"/>
  <c r="F1034" i="1"/>
  <c r="E1034" i="1"/>
  <c r="D1034" i="1"/>
  <c r="C1034" i="1"/>
  <c r="F1033" i="1"/>
  <c r="E1033" i="1"/>
  <c r="D1033" i="1"/>
  <c r="C1033" i="1"/>
  <c r="F1032" i="1"/>
  <c r="E1032" i="1"/>
  <c r="D1032" i="1"/>
  <c r="C1032" i="1"/>
  <c r="F1031" i="1"/>
  <c r="E1031" i="1"/>
  <c r="D1031" i="1"/>
  <c r="C1031" i="1"/>
  <c r="F1030" i="1"/>
  <c r="E1030" i="1"/>
  <c r="D1030" i="1"/>
  <c r="C1030" i="1"/>
  <c r="F1029" i="1"/>
  <c r="E1029" i="1"/>
  <c r="D1029" i="1"/>
  <c r="C1029" i="1"/>
  <c r="F1028" i="1"/>
  <c r="E1028" i="1"/>
  <c r="D1028" i="1"/>
  <c r="C1028" i="1"/>
  <c r="F1027" i="1"/>
  <c r="E1027" i="1"/>
  <c r="D1027" i="1"/>
  <c r="C1027" i="1"/>
  <c r="F1026" i="1"/>
  <c r="E1026" i="1"/>
  <c r="D1026" i="1"/>
  <c r="C1026" i="1"/>
  <c r="F1025" i="1"/>
  <c r="E1025" i="1"/>
  <c r="D1025" i="1"/>
  <c r="C1025" i="1"/>
  <c r="F1024" i="1"/>
  <c r="E1024" i="1"/>
  <c r="D1024" i="1"/>
  <c r="C1024" i="1"/>
  <c r="F1023" i="1"/>
  <c r="E1023" i="1"/>
  <c r="D1023" i="1"/>
  <c r="C1023" i="1"/>
  <c r="F1022" i="1"/>
  <c r="E1022" i="1"/>
  <c r="D1022" i="1"/>
  <c r="C1022" i="1"/>
  <c r="F1021" i="1"/>
  <c r="E1021" i="1"/>
  <c r="D1021" i="1"/>
  <c r="C1021" i="1"/>
  <c r="F1020" i="1"/>
  <c r="E1020" i="1"/>
  <c r="D1020" i="1"/>
  <c r="C1020" i="1"/>
  <c r="F1019" i="1"/>
  <c r="E1019" i="1"/>
  <c r="D1019" i="1"/>
  <c r="C1019" i="1"/>
  <c r="F1018" i="1"/>
  <c r="E1018" i="1"/>
  <c r="D1018" i="1"/>
  <c r="C1018" i="1"/>
  <c r="F1017" i="1"/>
  <c r="E1017" i="1"/>
  <c r="D1017" i="1"/>
  <c r="C1017" i="1"/>
  <c r="F1016" i="1"/>
  <c r="E1016" i="1"/>
  <c r="D1016" i="1"/>
  <c r="C1016" i="1"/>
  <c r="F1015" i="1"/>
  <c r="E1015" i="1"/>
  <c r="D1015" i="1"/>
  <c r="C1015" i="1"/>
  <c r="F1014" i="1"/>
  <c r="E1014" i="1"/>
  <c r="D1014" i="1"/>
  <c r="C1014" i="1"/>
  <c r="F1013" i="1"/>
  <c r="E1013" i="1"/>
  <c r="D1013" i="1"/>
  <c r="C1013" i="1"/>
  <c r="F1012" i="1"/>
  <c r="E1012" i="1"/>
  <c r="D1012" i="1"/>
  <c r="C1012" i="1"/>
  <c r="F1011" i="1"/>
  <c r="E1011" i="1"/>
  <c r="D1011" i="1"/>
  <c r="G1011" i="1" s="1"/>
  <c r="C1011" i="1"/>
  <c r="F1010" i="1"/>
  <c r="E1010" i="1"/>
  <c r="D1010" i="1"/>
  <c r="C1010" i="1"/>
  <c r="F1009" i="1"/>
  <c r="E1009" i="1"/>
  <c r="D1009" i="1"/>
  <c r="C1009" i="1"/>
  <c r="F1008" i="1"/>
  <c r="E1008" i="1"/>
  <c r="D1008" i="1"/>
  <c r="C1008" i="1"/>
  <c r="F1007" i="1"/>
  <c r="E1007" i="1"/>
  <c r="D1007" i="1"/>
  <c r="C1007" i="1"/>
  <c r="F1006" i="1"/>
  <c r="E1006" i="1"/>
  <c r="D1006" i="1"/>
  <c r="C1006" i="1"/>
  <c r="F1005" i="1"/>
  <c r="E1005" i="1"/>
  <c r="D1005" i="1"/>
  <c r="C1005" i="1"/>
  <c r="C1004" i="1"/>
  <c r="G1004" i="1" s="1"/>
  <c r="C1003" i="1"/>
  <c r="G1003" i="1" s="1"/>
  <c r="F1002" i="1"/>
  <c r="E1002" i="1"/>
  <c r="D1002" i="1"/>
  <c r="C1002" i="1"/>
  <c r="F1001" i="1"/>
  <c r="E1001" i="1"/>
  <c r="D1001" i="1"/>
  <c r="C1001" i="1"/>
  <c r="F1000" i="1"/>
  <c r="E1000" i="1"/>
  <c r="D1000" i="1"/>
  <c r="C1000" i="1"/>
  <c r="F999" i="1"/>
  <c r="E999" i="1"/>
  <c r="D999" i="1"/>
  <c r="C999" i="1"/>
  <c r="F998" i="1"/>
  <c r="E998" i="1"/>
  <c r="D998" i="1"/>
  <c r="C998" i="1"/>
  <c r="F997" i="1"/>
  <c r="E997" i="1"/>
  <c r="D997" i="1"/>
  <c r="C997" i="1"/>
  <c r="F996" i="1"/>
  <c r="E996" i="1"/>
  <c r="D996" i="1"/>
  <c r="C996" i="1"/>
  <c r="F995" i="1"/>
  <c r="E995" i="1"/>
  <c r="D995" i="1"/>
  <c r="C995" i="1"/>
  <c r="F994" i="1"/>
  <c r="G994" i="1" s="1"/>
  <c r="E994" i="1"/>
  <c r="D994" i="1"/>
  <c r="C994" i="1"/>
  <c r="F993" i="1"/>
  <c r="G993" i="1" s="1"/>
  <c r="E993" i="1"/>
  <c r="D993" i="1"/>
  <c r="C993" i="1"/>
  <c r="F992" i="1"/>
  <c r="E992" i="1"/>
  <c r="D992" i="1"/>
  <c r="C992" i="1"/>
  <c r="F991" i="1"/>
  <c r="E991" i="1"/>
  <c r="D991" i="1"/>
  <c r="C991" i="1"/>
  <c r="F990" i="1"/>
  <c r="E990" i="1"/>
  <c r="D990" i="1"/>
  <c r="C990" i="1"/>
  <c r="F989" i="1"/>
  <c r="E989" i="1"/>
  <c r="D989" i="1"/>
  <c r="C989" i="1"/>
  <c r="F988" i="1"/>
  <c r="E988" i="1"/>
  <c r="D988" i="1"/>
  <c r="C988" i="1"/>
  <c r="F987" i="1"/>
  <c r="E987" i="1"/>
  <c r="D987" i="1"/>
  <c r="C987" i="1"/>
  <c r="F986" i="1"/>
  <c r="E986" i="1"/>
  <c r="D986" i="1"/>
  <c r="C986" i="1"/>
  <c r="C985" i="1"/>
  <c r="G985" i="1" s="1"/>
  <c r="F984" i="1"/>
  <c r="E984" i="1"/>
  <c r="D984" i="1"/>
  <c r="C984" i="1"/>
  <c r="F983" i="1"/>
  <c r="E983" i="1"/>
  <c r="D983" i="1"/>
  <c r="C983" i="1"/>
  <c r="F982" i="1"/>
  <c r="E982" i="1"/>
  <c r="D982" i="1"/>
  <c r="C982" i="1"/>
  <c r="F981" i="1"/>
  <c r="E981" i="1"/>
  <c r="D981" i="1"/>
  <c r="C981" i="1"/>
  <c r="F980" i="1"/>
  <c r="E980" i="1"/>
  <c r="D980" i="1"/>
  <c r="C980" i="1"/>
  <c r="F979" i="1"/>
  <c r="E979" i="1"/>
  <c r="D979" i="1"/>
  <c r="C979" i="1"/>
  <c r="E978" i="1"/>
  <c r="D978" i="1"/>
  <c r="C978" i="1"/>
  <c r="F977" i="1"/>
  <c r="E977" i="1"/>
  <c r="D977" i="1"/>
  <c r="C977" i="1"/>
  <c r="F976" i="1"/>
  <c r="E976" i="1"/>
  <c r="D976" i="1"/>
  <c r="C976" i="1"/>
  <c r="F975" i="1"/>
  <c r="E975" i="1"/>
  <c r="D975" i="1"/>
  <c r="C975" i="1"/>
  <c r="F974" i="1"/>
  <c r="G974" i="1" s="1"/>
  <c r="E974" i="1"/>
  <c r="D974" i="1"/>
  <c r="C974" i="1"/>
  <c r="C970" i="1"/>
  <c r="G970" i="1" s="1"/>
  <c r="C969" i="1"/>
  <c r="G969" i="1" s="1"/>
  <c r="C968" i="1"/>
  <c r="G968" i="1" s="1"/>
  <c r="C967" i="1"/>
  <c r="G967" i="1" s="1"/>
  <c r="C966" i="1"/>
  <c r="G966" i="1" s="1"/>
  <c r="C965" i="1"/>
  <c r="G965" i="1" s="1"/>
  <c r="C964" i="1"/>
  <c r="G964" i="1" s="1"/>
  <c r="C963" i="1"/>
  <c r="G963" i="1" s="1"/>
  <c r="C962" i="1"/>
  <c r="G962" i="1" s="1"/>
  <c r="C961" i="1"/>
  <c r="G961" i="1" s="1"/>
  <c r="F960" i="1"/>
  <c r="E960" i="1"/>
  <c r="D960" i="1"/>
  <c r="C960" i="1"/>
  <c r="F959" i="1"/>
  <c r="E959" i="1"/>
  <c r="D959" i="1"/>
  <c r="C959" i="1"/>
  <c r="F958" i="1"/>
  <c r="E958" i="1"/>
  <c r="D958" i="1"/>
  <c r="C958" i="1"/>
  <c r="F957" i="1"/>
  <c r="E957" i="1"/>
  <c r="D957" i="1"/>
  <c r="C957" i="1"/>
  <c r="F956" i="1"/>
  <c r="E956" i="1"/>
  <c r="D956" i="1"/>
  <c r="C956" i="1"/>
  <c r="F955" i="1"/>
  <c r="E955" i="1"/>
  <c r="D955" i="1"/>
  <c r="C955" i="1"/>
  <c r="F954" i="1"/>
  <c r="E954" i="1"/>
  <c r="D954" i="1"/>
  <c r="G954" i="1" s="1"/>
  <c r="C954" i="1"/>
  <c r="F953" i="1"/>
  <c r="E953" i="1"/>
  <c r="D953" i="1"/>
  <c r="C953" i="1"/>
  <c r="F952" i="1"/>
  <c r="E952" i="1"/>
  <c r="D952" i="1"/>
  <c r="G952" i="1" s="1"/>
  <c r="C952" i="1"/>
  <c r="F951" i="1"/>
  <c r="E951" i="1"/>
  <c r="D951" i="1"/>
  <c r="C951" i="1"/>
  <c r="F950" i="1"/>
  <c r="E950" i="1"/>
  <c r="D950" i="1"/>
  <c r="C950" i="1"/>
  <c r="F949" i="1"/>
  <c r="E949" i="1"/>
  <c r="D949" i="1"/>
  <c r="C949" i="1"/>
  <c r="F948" i="1"/>
  <c r="E948" i="1"/>
  <c r="D948" i="1"/>
  <c r="C948" i="1"/>
  <c r="F947" i="1"/>
  <c r="E947" i="1"/>
  <c r="D947" i="1"/>
  <c r="C947" i="1"/>
  <c r="F946" i="1"/>
  <c r="E946" i="1"/>
  <c r="D946" i="1"/>
  <c r="C946" i="1"/>
  <c r="F945" i="1"/>
  <c r="E945" i="1"/>
  <c r="D945" i="1"/>
  <c r="C945" i="1"/>
  <c r="F944" i="1"/>
  <c r="E944" i="1"/>
  <c r="D944" i="1"/>
  <c r="C944" i="1"/>
  <c r="F943" i="1"/>
  <c r="E943" i="1"/>
  <c r="D943" i="1"/>
  <c r="C943" i="1"/>
  <c r="F942" i="1"/>
  <c r="E942" i="1"/>
  <c r="D942" i="1"/>
  <c r="G942" i="1" s="1"/>
  <c r="C942" i="1"/>
  <c r="F941" i="1"/>
  <c r="E941" i="1"/>
  <c r="D941" i="1"/>
  <c r="C941" i="1"/>
  <c r="F940" i="1"/>
  <c r="E940" i="1"/>
  <c r="D940" i="1"/>
  <c r="C940" i="1"/>
  <c r="F939" i="1"/>
  <c r="E939" i="1"/>
  <c r="D939" i="1"/>
  <c r="C939" i="1"/>
  <c r="F938" i="1"/>
  <c r="E938" i="1"/>
  <c r="D938" i="1"/>
  <c r="C938" i="1"/>
  <c r="F937" i="1"/>
  <c r="E937" i="1"/>
  <c r="D937" i="1"/>
  <c r="C937" i="1"/>
  <c r="F936" i="1"/>
  <c r="E936" i="1"/>
  <c r="D936" i="1"/>
  <c r="C936" i="1"/>
  <c r="F935" i="1"/>
  <c r="E935" i="1"/>
  <c r="D935" i="1"/>
  <c r="C935" i="1"/>
  <c r="F934" i="1"/>
  <c r="E934" i="1"/>
  <c r="D934" i="1"/>
  <c r="C934" i="1"/>
  <c r="F933" i="1"/>
  <c r="E933" i="1"/>
  <c r="D933" i="1"/>
  <c r="C933" i="1"/>
  <c r="F932" i="1"/>
  <c r="E932" i="1"/>
  <c r="D932" i="1"/>
  <c r="C932" i="1"/>
  <c r="F931" i="1"/>
  <c r="E931" i="1"/>
  <c r="D931" i="1"/>
  <c r="C931" i="1"/>
  <c r="F930" i="1"/>
  <c r="E930" i="1"/>
  <c r="D930" i="1"/>
  <c r="C930" i="1"/>
  <c r="F929" i="1"/>
  <c r="E929" i="1"/>
  <c r="D929" i="1"/>
  <c r="C929" i="1"/>
  <c r="F928" i="1"/>
  <c r="E928" i="1"/>
  <c r="D928" i="1"/>
  <c r="C928" i="1"/>
  <c r="F927" i="1"/>
  <c r="E927" i="1"/>
  <c r="D927" i="1"/>
  <c r="C927" i="1"/>
  <c r="F926" i="1"/>
  <c r="E926" i="1"/>
  <c r="D926" i="1"/>
  <c r="C926" i="1"/>
  <c r="F925" i="1"/>
  <c r="E925" i="1"/>
  <c r="D925" i="1"/>
  <c r="C925" i="1"/>
  <c r="F924" i="1"/>
  <c r="E924" i="1"/>
  <c r="D924" i="1"/>
  <c r="C924" i="1"/>
  <c r="C923" i="1"/>
  <c r="G923" i="1" s="1"/>
  <c r="C922" i="1"/>
  <c r="G922" i="1" s="1"/>
  <c r="F921" i="1"/>
  <c r="E921" i="1"/>
  <c r="D921" i="1"/>
  <c r="C921" i="1"/>
  <c r="F920" i="1"/>
  <c r="E920" i="1"/>
  <c r="D920" i="1"/>
  <c r="C920" i="1"/>
  <c r="F919" i="1"/>
  <c r="E919" i="1"/>
  <c r="D919" i="1"/>
  <c r="C919" i="1"/>
  <c r="F918" i="1"/>
  <c r="E918" i="1"/>
  <c r="D918" i="1"/>
  <c r="C918" i="1"/>
  <c r="F917" i="1"/>
  <c r="E917" i="1"/>
  <c r="D917" i="1"/>
  <c r="C917" i="1"/>
  <c r="F916" i="1"/>
  <c r="G916" i="1" s="1"/>
  <c r="E916" i="1"/>
  <c r="D916" i="1"/>
  <c r="C916" i="1"/>
  <c r="F915" i="1"/>
  <c r="E915" i="1"/>
  <c r="D915" i="1"/>
  <c r="C915" i="1"/>
  <c r="F914" i="1"/>
  <c r="E914" i="1"/>
  <c r="D914" i="1"/>
  <c r="C914" i="1"/>
  <c r="F913" i="1"/>
  <c r="E913" i="1"/>
  <c r="D913" i="1"/>
  <c r="C913" i="1"/>
  <c r="F912" i="1"/>
  <c r="E912" i="1"/>
  <c r="D912" i="1"/>
  <c r="C912" i="1"/>
  <c r="F911" i="1"/>
  <c r="E911" i="1"/>
  <c r="D911" i="1"/>
  <c r="C911" i="1"/>
  <c r="F910" i="1"/>
  <c r="E910" i="1"/>
  <c r="D910" i="1"/>
  <c r="C910" i="1"/>
  <c r="F909" i="1"/>
  <c r="E909" i="1"/>
  <c r="D909" i="1"/>
  <c r="C909" i="1"/>
  <c r="F908" i="1"/>
  <c r="E908" i="1"/>
  <c r="D908" i="1"/>
  <c r="C908" i="1"/>
  <c r="F907" i="1"/>
  <c r="E907" i="1"/>
  <c r="D907" i="1"/>
  <c r="C907" i="1"/>
  <c r="F906" i="1"/>
  <c r="E906" i="1"/>
  <c r="D906" i="1"/>
  <c r="C906" i="1"/>
  <c r="F905" i="1"/>
  <c r="E905" i="1"/>
  <c r="D905" i="1"/>
  <c r="C905" i="1"/>
  <c r="C904" i="1"/>
  <c r="G904" i="1" s="1"/>
  <c r="F903" i="1"/>
  <c r="E903" i="1"/>
  <c r="D903" i="1"/>
  <c r="C903" i="1"/>
  <c r="F902" i="1"/>
  <c r="E902" i="1"/>
  <c r="D902" i="1"/>
  <c r="C902" i="1"/>
  <c r="F901" i="1"/>
  <c r="E901" i="1"/>
  <c r="D901" i="1"/>
  <c r="C901" i="1"/>
  <c r="F900" i="1"/>
  <c r="E900" i="1"/>
  <c r="D900" i="1"/>
  <c r="C900" i="1"/>
  <c r="F899" i="1"/>
  <c r="E899" i="1"/>
  <c r="D899" i="1"/>
  <c r="C899" i="1"/>
  <c r="F898" i="1"/>
  <c r="E898" i="1"/>
  <c r="D898" i="1"/>
  <c r="C898" i="1"/>
  <c r="G898" i="1" s="1"/>
  <c r="E897" i="1"/>
  <c r="D897" i="1"/>
  <c r="C897" i="1"/>
  <c r="F896" i="1"/>
  <c r="E896" i="1"/>
  <c r="D896" i="1"/>
  <c r="C896" i="1"/>
  <c r="F895" i="1"/>
  <c r="E895" i="1"/>
  <c r="D895" i="1"/>
  <c r="C895" i="1"/>
  <c r="F894" i="1"/>
  <c r="E894" i="1"/>
  <c r="D894" i="1"/>
  <c r="C894" i="1"/>
  <c r="F893" i="1"/>
  <c r="E893" i="1"/>
  <c r="D893" i="1"/>
  <c r="C893" i="1"/>
  <c r="C889" i="1"/>
  <c r="G889" i="1" s="1"/>
  <c r="C888" i="1"/>
  <c r="G888" i="1" s="1"/>
  <c r="C887" i="1"/>
  <c r="G887" i="1" s="1"/>
  <c r="C886" i="1"/>
  <c r="G886" i="1" s="1"/>
  <c r="C885" i="1"/>
  <c r="G885" i="1" s="1"/>
  <c r="C884" i="1"/>
  <c r="G884" i="1" s="1"/>
  <c r="C883" i="1"/>
  <c r="G883" i="1" s="1"/>
  <c r="C882" i="1"/>
  <c r="G882" i="1" s="1"/>
  <c r="C881" i="1"/>
  <c r="G881" i="1" s="1"/>
  <c r="C880" i="1"/>
  <c r="G880" i="1" s="1"/>
  <c r="F879" i="1"/>
  <c r="E879" i="1"/>
  <c r="D879" i="1"/>
  <c r="C879" i="1"/>
  <c r="F878" i="1"/>
  <c r="E878" i="1"/>
  <c r="D878" i="1"/>
  <c r="C878" i="1"/>
  <c r="F877" i="1"/>
  <c r="E877" i="1"/>
  <c r="D877" i="1"/>
  <c r="C877" i="1"/>
  <c r="F876" i="1"/>
  <c r="E876" i="1"/>
  <c r="D876" i="1"/>
  <c r="C876" i="1"/>
  <c r="F875" i="1"/>
  <c r="E875" i="1"/>
  <c r="D875" i="1"/>
  <c r="C875" i="1"/>
  <c r="F874" i="1"/>
  <c r="E874" i="1"/>
  <c r="D874" i="1"/>
  <c r="G874" i="1" s="1"/>
  <c r="C874" i="1"/>
  <c r="F873" i="1"/>
  <c r="E873" i="1"/>
  <c r="D873" i="1"/>
  <c r="C873" i="1"/>
  <c r="F872" i="1"/>
  <c r="E872" i="1"/>
  <c r="D872" i="1"/>
  <c r="C872" i="1"/>
  <c r="F871" i="1"/>
  <c r="E871" i="1"/>
  <c r="D871" i="1"/>
  <c r="G871" i="1" s="1"/>
  <c r="C871" i="1"/>
  <c r="F870" i="1"/>
  <c r="E870" i="1"/>
  <c r="D870" i="1"/>
  <c r="C870" i="1"/>
  <c r="F869" i="1"/>
  <c r="E869" i="1"/>
  <c r="D869" i="1"/>
  <c r="C869" i="1"/>
  <c r="F868" i="1"/>
  <c r="E868" i="1"/>
  <c r="D868" i="1"/>
  <c r="C868" i="1"/>
  <c r="F867" i="1"/>
  <c r="E867" i="1"/>
  <c r="D867" i="1"/>
  <c r="C867" i="1"/>
  <c r="F866" i="1"/>
  <c r="E866" i="1"/>
  <c r="D866" i="1"/>
  <c r="C866" i="1"/>
  <c r="F865" i="1"/>
  <c r="E865" i="1"/>
  <c r="D865" i="1"/>
  <c r="C865" i="1"/>
  <c r="F864" i="1"/>
  <c r="E864" i="1"/>
  <c r="D864" i="1"/>
  <c r="C864" i="1"/>
  <c r="F863" i="1"/>
  <c r="E863" i="1"/>
  <c r="D863" i="1"/>
  <c r="C863" i="1"/>
  <c r="F862" i="1"/>
  <c r="E862" i="1"/>
  <c r="D862" i="1"/>
  <c r="C862" i="1"/>
  <c r="F861" i="1"/>
  <c r="E861" i="1"/>
  <c r="D861" i="1"/>
  <c r="C861" i="1"/>
  <c r="F860" i="1"/>
  <c r="E860" i="1"/>
  <c r="D860" i="1"/>
  <c r="C860" i="1"/>
  <c r="F859" i="1"/>
  <c r="E859" i="1"/>
  <c r="D859" i="1"/>
  <c r="C859" i="1"/>
  <c r="F858" i="1"/>
  <c r="E858" i="1"/>
  <c r="D858" i="1"/>
  <c r="C858" i="1"/>
  <c r="F857" i="1"/>
  <c r="E857" i="1"/>
  <c r="D857" i="1"/>
  <c r="C857" i="1"/>
  <c r="F856" i="1"/>
  <c r="E856" i="1"/>
  <c r="D856" i="1"/>
  <c r="C856" i="1"/>
  <c r="F855" i="1"/>
  <c r="E855" i="1"/>
  <c r="D855" i="1"/>
  <c r="C855" i="1"/>
  <c r="F854" i="1"/>
  <c r="E854" i="1"/>
  <c r="D854" i="1"/>
  <c r="C854" i="1"/>
  <c r="F853" i="1"/>
  <c r="E853" i="1"/>
  <c r="D853" i="1"/>
  <c r="C853" i="1"/>
  <c r="F852" i="1"/>
  <c r="E852" i="1"/>
  <c r="D852" i="1"/>
  <c r="C852" i="1"/>
  <c r="F851" i="1"/>
  <c r="E851" i="1"/>
  <c r="D851" i="1"/>
  <c r="C851" i="1"/>
  <c r="F850" i="1"/>
  <c r="E850" i="1"/>
  <c r="D850" i="1"/>
  <c r="C850" i="1"/>
  <c r="F849" i="1"/>
  <c r="E849" i="1"/>
  <c r="D849" i="1"/>
  <c r="C849" i="1"/>
  <c r="F848" i="1"/>
  <c r="E848" i="1"/>
  <c r="D848" i="1"/>
  <c r="C848" i="1"/>
  <c r="F847" i="1"/>
  <c r="E847" i="1"/>
  <c r="D847" i="1"/>
  <c r="C847" i="1"/>
  <c r="F846" i="1"/>
  <c r="E846" i="1"/>
  <c r="D846" i="1"/>
  <c r="C846" i="1"/>
  <c r="F845" i="1"/>
  <c r="E845" i="1"/>
  <c r="D845" i="1"/>
  <c r="C845" i="1"/>
  <c r="F844" i="1"/>
  <c r="E844" i="1"/>
  <c r="D844" i="1"/>
  <c r="C844" i="1"/>
  <c r="F843" i="1"/>
  <c r="E843" i="1"/>
  <c r="D843" i="1"/>
  <c r="C843" i="1"/>
  <c r="C842" i="1"/>
  <c r="G842" i="1" s="1"/>
  <c r="C841" i="1"/>
  <c r="G841" i="1" s="1"/>
  <c r="F840" i="1"/>
  <c r="E840" i="1"/>
  <c r="D840" i="1"/>
  <c r="C840" i="1"/>
  <c r="F839" i="1"/>
  <c r="E839" i="1"/>
  <c r="D839" i="1"/>
  <c r="C839" i="1"/>
  <c r="F838" i="1"/>
  <c r="E838" i="1"/>
  <c r="D838" i="1"/>
  <c r="C838" i="1"/>
  <c r="F837" i="1"/>
  <c r="E837" i="1"/>
  <c r="D837" i="1"/>
  <c r="C837" i="1"/>
  <c r="F836" i="1"/>
  <c r="E836" i="1"/>
  <c r="D836" i="1"/>
  <c r="C836" i="1"/>
  <c r="F835" i="1"/>
  <c r="E835" i="1"/>
  <c r="D835" i="1"/>
  <c r="C835" i="1"/>
  <c r="F834" i="1"/>
  <c r="E834" i="1"/>
  <c r="D834" i="1"/>
  <c r="C834" i="1"/>
  <c r="F833" i="1"/>
  <c r="E833" i="1"/>
  <c r="D833" i="1"/>
  <c r="C833" i="1"/>
  <c r="F832" i="1"/>
  <c r="E832" i="1"/>
  <c r="D832" i="1"/>
  <c r="C832" i="1"/>
  <c r="F831" i="1"/>
  <c r="E831" i="1"/>
  <c r="D831" i="1"/>
  <c r="C831" i="1"/>
  <c r="F830" i="1"/>
  <c r="E830" i="1"/>
  <c r="D830" i="1"/>
  <c r="C830" i="1"/>
  <c r="F829" i="1"/>
  <c r="E829" i="1"/>
  <c r="D829" i="1"/>
  <c r="C829" i="1"/>
  <c r="F828" i="1"/>
  <c r="E828" i="1"/>
  <c r="D828" i="1"/>
  <c r="C828" i="1"/>
  <c r="F827" i="1"/>
  <c r="E827" i="1"/>
  <c r="D827" i="1"/>
  <c r="C827" i="1"/>
  <c r="F826" i="1"/>
  <c r="E826" i="1"/>
  <c r="D826" i="1"/>
  <c r="C826" i="1"/>
  <c r="F825" i="1"/>
  <c r="E825" i="1"/>
  <c r="D825" i="1"/>
  <c r="C825" i="1"/>
  <c r="F824" i="1"/>
  <c r="E824" i="1"/>
  <c r="D824" i="1"/>
  <c r="C824" i="1"/>
  <c r="C823" i="1"/>
  <c r="G823" i="1" s="1"/>
  <c r="F822" i="1"/>
  <c r="E822" i="1"/>
  <c r="D822" i="1"/>
  <c r="C822" i="1"/>
  <c r="F821" i="1"/>
  <c r="E821" i="1"/>
  <c r="D821" i="1"/>
  <c r="C821" i="1"/>
  <c r="F820" i="1"/>
  <c r="E820" i="1"/>
  <c r="D820" i="1"/>
  <c r="C820" i="1"/>
  <c r="F819" i="1"/>
  <c r="E819" i="1"/>
  <c r="D819" i="1"/>
  <c r="C819" i="1"/>
  <c r="F818" i="1"/>
  <c r="E818" i="1"/>
  <c r="D818" i="1"/>
  <c r="C818" i="1"/>
  <c r="F817" i="1"/>
  <c r="E817" i="1"/>
  <c r="D817" i="1"/>
  <c r="C817" i="1"/>
  <c r="E816" i="1"/>
  <c r="D816" i="1"/>
  <c r="C816" i="1"/>
  <c r="F815" i="1"/>
  <c r="E815" i="1"/>
  <c r="D815" i="1"/>
  <c r="C815" i="1"/>
  <c r="F814" i="1"/>
  <c r="E814" i="1"/>
  <c r="D814" i="1"/>
  <c r="C814" i="1"/>
  <c r="F813" i="1"/>
  <c r="E813" i="1"/>
  <c r="D813" i="1"/>
  <c r="C813" i="1"/>
  <c r="F812" i="1"/>
  <c r="G812" i="1" s="1"/>
  <c r="E812" i="1"/>
  <c r="D812" i="1"/>
  <c r="C812" i="1"/>
  <c r="C808" i="1"/>
  <c r="G808" i="1" s="1"/>
  <c r="C807" i="1"/>
  <c r="G807" i="1" s="1"/>
  <c r="C806" i="1"/>
  <c r="G806" i="1" s="1"/>
  <c r="C805" i="1"/>
  <c r="G805" i="1" s="1"/>
  <c r="C804" i="1"/>
  <c r="G804" i="1" s="1"/>
  <c r="C803" i="1"/>
  <c r="G803" i="1" s="1"/>
  <c r="C802" i="1"/>
  <c r="G802" i="1" s="1"/>
  <c r="C801" i="1"/>
  <c r="G801" i="1" s="1"/>
  <c r="C800" i="1"/>
  <c r="G800" i="1" s="1"/>
  <c r="C799" i="1"/>
  <c r="G799" i="1" s="1"/>
  <c r="F798" i="1"/>
  <c r="E798" i="1"/>
  <c r="D798" i="1"/>
  <c r="C798" i="1"/>
  <c r="F797" i="1"/>
  <c r="E797" i="1"/>
  <c r="D797" i="1"/>
  <c r="C797" i="1"/>
  <c r="F796" i="1"/>
  <c r="E796" i="1"/>
  <c r="D796" i="1"/>
  <c r="C796" i="1"/>
  <c r="F795" i="1"/>
  <c r="E795" i="1"/>
  <c r="D795" i="1"/>
  <c r="C795" i="1"/>
  <c r="F794" i="1"/>
  <c r="E794" i="1"/>
  <c r="D794" i="1"/>
  <c r="C794" i="1"/>
  <c r="F793" i="1"/>
  <c r="E793" i="1"/>
  <c r="D793" i="1"/>
  <c r="C793" i="1"/>
  <c r="F792" i="1"/>
  <c r="E792" i="1"/>
  <c r="D792" i="1"/>
  <c r="C792" i="1"/>
  <c r="F791" i="1"/>
  <c r="E791" i="1"/>
  <c r="D791" i="1"/>
  <c r="C791" i="1"/>
  <c r="F790" i="1"/>
  <c r="E790" i="1"/>
  <c r="D790" i="1"/>
  <c r="C790" i="1"/>
  <c r="F789" i="1"/>
  <c r="E789" i="1"/>
  <c r="D789" i="1"/>
  <c r="C789" i="1"/>
  <c r="F788" i="1"/>
  <c r="E788" i="1"/>
  <c r="D788" i="1"/>
  <c r="C788" i="1"/>
  <c r="F787" i="1"/>
  <c r="E787" i="1"/>
  <c r="D787" i="1"/>
  <c r="C787" i="1"/>
  <c r="F786" i="1"/>
  <c r="E786" i="1"/>
  <c r="D786" i="1"/>
  <c r="C786" i="1"/>
  <c r="F785" i="1"/>
  <c r="E785" i="1"/>
  <c r="D785" i="1"/>
  <c r="C785" i="1"/>
  <c r="F784" i="1"/>
  <c r="E784" i="1"/>
  <c r="D784" i="1"/>
  <c r="C784" i="1"/>
  <c r="F783" i="1"/>
  <c r="E783" i="1"/>
  <c r="D783" i="1"/>
  <c r="C783" i="1"/>
  <c r="F782" i="1"/>
  <c r="E782" i="1"/>
  <c r="D782" i="1"/>
  <c r="C782" i="1"/>
  <c r="F781" i="1"/>
  <c r="E781" i="1"/>
  <c r="D781" i="1"/>
  <c r="C781" i="1"/>
  <c r="F780" i="1"/>
  <c r="E780" i="1"/>
  <c r="D780" i="1"/>
  <c r="C780" i="1"/>
  <c r="F779" i="1"/>
  <c r="E779" i="1"/>
  <c r="D779" i="1"/>
  <c r="C779" i="1"/>
  <c r="F778" i="1"/>
  <c r="E778" i="1"/>
  <c r="D778" i="1"/>
  <c r="C778" i="1"/>
  <c r="F777" i="1"/>
  <c r="E777" i="1"/>
  <c r="D777" i="1"/>
  <c r="C777" i="1"/>
  <c r="F776" i="1"/>
  <c r="E776" i="1"/>
  <c r="D776" i="1"/>
  <c r="C776" i="1"/>
  <c r="F775" i="1"/>
  <c r="E775" i="1"/>
  <c r="D775" i="1"/>
  <c r="C775" i="1"/>
  <c r="F774" i="1"/>
  <c r="E774" i="1"/>
  <c r="D774" i="1"/>
  <c r="C774" i="1"/>
  <c r="F773" i="1"/>
  <c r="E773" i="1"/>
  <c r="D773" i="1"/>
  <c r="C773" i="1"/>
  <c r="F772" i="1"/>
  <c r="E772" i="1"/>
  <c r="D772" i="1"/>
  <c r="C772" i="1"/>
  <c r="F771" i="1"/>
  <c r="E771" i="1"/>
  <c r="D771" i="1"/>
  <c r="C771" i="1"/>
  <c r="F770" i="1"/>
  <c r="E770" i="1"/>
  <c r="D770" i="1"/>
  <c r="C770" i="1"/>
  <c r="F769" i="1"/>
  <c r="E769" i="1"/>
  <c r="D769" i="1"/>
  <c r="C769" i="1"/>
  <c r="F768" i="1"/>
  <c r="E768" i="1"/>
  <c r="D768" i="1"/>
  <c r="G768" i="1" s="1"/>
  <c r="C768" i="1"/>
  <c r="F767" i="1"/>
  <c r="E767" i="1"/>
  <c r="D767" i="1"/>
  <c r="C767" i="1"/>
  <c r="F766" i="1"/>
  <c r="E766" i="1"/>
  <c r="D766" i="1"/>
  <c r="C766" i="1"/>
  <c r="F765" i="1"/>
  <c r="E765" i="1"/>
  <c r="D765" i="1"/>
  <c r="C765" i="1"/>
  <c r="F764" i="1"/>
  <c r="E764" i="1"/>
  <c r="D764" i="1"/>
  <c r="C764" i="1"/>
  <c r="F763" i="1"/>
  <c r="E763" i="1"/>
  <c r="D763" i="1"/>
  <c r="C763" i="1"/>
  <c r="F762" i="1"/>
  <c r="E762" i="1"/>
  <c r="D762" i="1"/>
  <c r="C762" i="1"/>
  <c r="C761" i="1"/>
  <c r="G761" i="1" s="1"/>
  <c r="C760" i="1"/>
  <c r="G760" i="1" s="1"/>
  <c r="F759" i="1"/>
  <c r="E759" i="1"/>
  <c r="D759" i="1"/>
  <c r="C759" i="1"/>
  <c r="F758" i="1"/>
  <c r="E758" i="1"/>
  <c r="D758" i="1"/>
  <c r="C758" i="1"/>
  <c r="F757" i="1"/>
  <c r="E757" i="1"/>
  <c r="D757" i="1"/>
  <c r="C757" i="1"/>
  <c r="F756" i="1"/>
  <c r="E756" i="1"/>
  <c r="D756" i="1"/>
  <c r="C756" i="1"/>
  <c r="F755" i="1"/>
  <c r="E755" i="1"/>
  <c r="D755" i="1"/>
  <c r="C755" i="1"/>
  <c r="F754" i="1"/>
  <c r="E754" i="1"/>
  <c r="D754" i="1"/>
  <c r="C754" i="1"/>
  <c r="F753" i="1"/>
  <c r="E753" i="1"/>
  <c r="D753" i="1"/>
  <c r="C753" i="1"/>
  <c r="F752" i="1"/>
  <c r="E752" i="1"/>
  <c r="D752" i="1"/>
  <c r="C752" i="1"/>
  <c r="F751" i="1"/>
  <c r="E751" i="1"/>
  <c r="D751" i="1"/>
  <c r="C751" i="1"/>
  <c r="F750" i="1"/>
  <c r="E750" i="1"/>
  <c r="D750" i="1"/>
  <c r="C750" i="1"/>
  <c r="F749" i="1"/>
  <c r="E749" i="1"/>
  <c r="D749" i="1"/>
  <c r="C749" i="1"/>
  <c r="F748" i="1"/>
  <c r="E748" i="1"/>
  <c r="D748" i="1"/>
  <c r="C748" i="1"/>
  <c r="F747" i="1"/>
  <c r="E747" i="1"/>
  <c r="D747" i="1"/>
  <c r="C747" i="1"/>
  <c r="F746" i="1"/>
  <c r="E746" i="1"/>
  <c r="D746" i="1"/>
  <c r="C746" i="1"/>
  <c r="F745" i="1"/>
  <c r="G745" i="1" s="1"/>
  <c r="E745" i="1"/>
  <c r="D745" i="1"/>
  <c r="C745" i="1"/>
  <c r="F744" i="1"/>
  <c r="E744" i="1"/>
  <c r="D744" i="1"/>
  <c r="C744" i="1"/>
  <c r="F743" i="1"/>
  <c r="E743" i="1"/>
  <c r="D743" i="1"/>
  <c r="C743" i="1"/>
  <c r="C742" i="1"/>
  <c r="G742" i="1" s="1"/>
  <c r="F741" i="1"/>
  <c r="E741" i="1"/>
  <c r="D741" i="1"/>
  <c r="C741" i="1"/>
  <c r="F740" i="1"/>
  <c r="E740" i="1"/>
  <c r="D740" i="1"/>
  <c r="C740" i="1"/>
  <c r="F739" i="1"/>
  <c r="E739" i="1"/>
  <c r="D739" i="1"/>
  <c r="C739" i="1"/>
  <c r="F738" i="1"/>
  <c r="E738" i="1"/>
  <c r="D738" i="1"/>
  <c r="C738" i="1"/>
  <c r="F737" i="1"/>
  <c r="E737" i="1"/>
  <c r="D737" i="1"/>
  <c r="C737" i="1"/>
  <c r="F736" i="1"/>
  <c r="E736" i="1"/>
  <c r="D736" i="1"/>
  <c r="C736" i="1"/>
  <c r="E735" i="1"/>
  <c r="D735" i="1"/>
  <c r="C735" i="1"/>
  <c r="F734" i="1"/>
  <c r="E734" i="1"/>
  <c r="D734" i="1"/>
  <c r="C734" i="1"/>
  <c r="F733" i="1"/>
  <c r="E733" i="1"/>
  <c r="D733" i="1"/>
  <c r="C733" i="1"/>
  <c r="F732" i="1"/>
  <c r="E732" i="1"/>
  <c r="D732" i="1"/>
  <c r="C732" i="1"/>
  <c r="F731" i="1"/>
  <c r="E731" i="1"/>
  <c r="D731" i="1"/>
  <c r="C731" i="1"/>
  <c r="C727" i="1"/>
  <c r="G727" i="1" s="1"/>
  <c r="C726" i="1"/>
  <c r="G726" i="1" s="1"/>
  <c r="C725" i="1"/>
  <c r="G725" i="1" s="1"/>
  <c r="C724" i="1"/>
  <c r="G724" i="1" s="1"/>
  <c r="C723" i="1"/>
  <c r="G723" i="1" s="1"/>
  <c r="C722" i="1"/>
  <c r="G722" i="1" s="1"/>
  <c r="C721" i="1"/>
  <c r="G721" i="1" s="1"/>
  <c r="C720" i="1"/>
  <c r="G720" i="1" s="1"/>
  <c r="C719" i="1"/>
  <c r="G719" i="1" s="1"/>
  <c r="C718" i="1"/>
  <c r="G718" i="1" s="1"/>
  <c r="F717" i="1"/>
  <c r="E717" i="1"/>
  <c r="D717" i="1"/>
  <c r="C717" i="1"/>
  <c r="F716" i="1"/>
  <c r="E716" i="1"/>
  <c r="D716" i="1"/>
  <c r="C716" i="1"/>
  <c r="F715" i="1"/>
  <c r="E715" i="1"/>
  <c r="D715" i="1"/>
  <c r="C715" i="1"/>
  <c r="F714" i="1"/>
  <c r="E714" i="1"/>
  <c r="D714" i="1"/>
  <c r="C714" i="1"/>
  <c r="F713" i="1"/>
  <c r="E713" i="1"/>
  <c r="D713" i="1"/>
  <c r="C713" i="1"/>
  <c r="F712" i="1"/>
  <c r="E712" i="1"/>
  <c r="D712" i="1"/>
  <c r="C712" i="1"/>
  <c r="F711" i="1"/>
  <c r="E711" i="1"/>
  <c r="D711" i="1"/>
  <c r="C711" i="1"/>
  <c r="F710" i="1"/>
  <c r="E710" i="1"/>
  <c r="D710" i="1"/>
  <c r="C710" i="1"/>
  <c r="F709" i="1"/>
  <c r="E709" i="1"/>
  <c r="D709" i="1"/>
  <c r="C709" i="1"/>
  <c r="F708" i="1"/>
  <c r="E708" i="1"/>
  <c r="D708" i="1"/>
  <c r="C708" i="1"/>
  <c r="F707" i="1"/>
  <c r="E707" i="1"/>
  <c r="D707" i="1"/>
  <c r="C707" i="1"/>
  <c r="F706" i="1"/>
  <c r="E706" i="1"/>
  <c r="D706" i="1"/>
  <c r="C706" i="1"/>
  <c r="F705" i="1"/>
  <c r="E705" i="1"/>
  <c r="D705" i="1"/>
  <c r="C705" i="1"/>
  <c r="F704" i="1"/>
  <c r="E704" i="1"/>
  <c r="D704" i="1"/>
  <c r="C704" i="1"/>
  <c r="F703" i="1"/>
  <c r="E703" i="1"/>
  <c r="D703" i="1"/>
  <c r="C703" i="1"/>
  <c r="F702" i="1"/>
  <c r="E702" i="1"/>
  <c r="D702" i="1"/>
  <c r="C702" i="1"/>
  <c r="F701" i="1"/>
  <c r="E701" i="1"/>
  <c r="D701" i="1"/>
  <c r="C701" i="1"/>
  <c r="F700" i="1"/>
  <c r="E700" i="1"/>
  <c r="D700" i="1"/>
  <c r="C700" i="1"/>
  <c r="F699" i="1"/>
  <c r="E699" i="1"/>
  <c r="D699" i="1"/>
  <c r="C699" i="1"/>
  <c r="F698" i="1"/>
  <c r="E698" i="1"/>
  <c r="D698" i="1"/>
  <c r="G698" i="1" s="1"/>
  <c r="C698" i="1"/>
  <c r="F697" i="1"/>
  <c r="E697" i="1"/>
  <c r="D697" i="1"/>
  <c r="C697" i="1"/>
  <c r="F696" i="1"/>
  <c r="E696" i="1"/>
  <c r="D696" i="1"/>
  <c r="C696" i="1"/>
  <c r="F695" i="1"/>
  <c r="E695" i="1"/>
  <c r="D695" i="1"/>
  <c r="C695" i="1"/>
  <c r="F694" i="1"/>
  <c r="E694" i="1"/>
  <c r="D694" i="1"/>
  <c r="C694" i="1"/>
  <c r="F693" i="1"/>
  <c r="E693" i="1"/>
  <c r="D693" i="1"/>
  <c r="C693" i="1"/>
  <c r="F692" i="1"/>
  <c r="E692" i="1"/>
  <c r="D692" i="1"/>
  <c r="C692" i="1"/>
  <c r="F691" i="1"/>
  <c r="E691" i="1"/>
  <c r="D691" i="1"/>
  <c r="C691" i="1"/>
  <c r="F690" i="1"/>
  <c r="E690" i="1"/>
  <c r="D690" i="1"/>
  <c r="C690" i="1"/>
  <c r="F689" i="1"/>
  <c r="E689" i="1"/>
  <c r="D689" i="1"/>
  <c r="C689" i="1"/>
  <c r="F688" i="1"/>
  <c r="E688" i="1"/>
  <c r="D688" i="1"/>
  <c r="C688" i="1"/>
  <c r="F687" i="1"/>
  <c r="E687" i="1"/>
  <c r="D687" i="1"/>
  <c r="C687" i="1"/>
  <c r="F686" i="1"/>
  <c r="E686" i="1"/>
  <c r="D686" i="1"/>
  <c r="C686" i="1"/>
  <c r="F685" i="1"/>
  <c r="E685" i="1"/>
  <c r="D685" i="1"/>
  <c r="C685" i="1"/>
  <c r="F684" i="1"/>
  <c r="E684" i="1"/>
  <c r="D684" i="1"/>
  <c r="C684" i="1"/>
  <c r="F683" i="1"/>
  <c r="E683" i="1"/>
  <c r="D683" i="1"/>
  <c r="C683" i="1"/>
  <c r="F682" i="1"/>
  <c r="E682" i="1"/>
  <c r="D682" i="1"/>
  <c r="C682" i="1"/>
  <c r="F681" i="1"/>
  <c r="E681" i="1"/>
  <c r="D681" i="1"/>
  <c r="C681" i="1"/>
  <c r="C680" i="1"/>
  <c r="G680" i="1" s="1"/>
  <c r="C679" i="1"/>
  <c r="G679" i="1" s="1"/>
  <c r="F678" i="1"/>
  <c r="E678" i="1"/>
  <c r="D678" i="1"/>
  <c r="C678" i="1"/>
  <c r="F677" i="1"/>
  <c r="E677" i="1"/>
  <c r="D677" i="1"/>
  <c r="C677" i="1"/>
  <c r="F676" i="1"/>
  <c r="E676" i="1"/>
  <c r="D676" i="1"/>
  <c r="C676" i="1"/>
  <c r="F675" i="1"/>
  <c r="E675" i="1"/>
  <c r="D675" i="1"/>
  <c r="C675" i="1"/>
  <c r="F674" i="1"/>
  <c r="E674" i="1"/>
  <c r="D674" i="1"/>
  <c r="C674" i="1"/>
  <c r="F673" i="1"/>
  <c r="E673" i="1"/>
  <c r="D673" i="1"/>
  <c r="C673" i="1"/>
  <c r="F672" i="1"/>
  <c r="G672" i="1" s="1"/>
  <c r="E672" i="1"/>
  <c r="D672" i="1"/>
  <c r="C672" i="1"/>
  <c r="F671" i="1"/>
  <c r="E671" i="1"/>
  <c r="D671" i="1"/>
  <c r="C671" i="1"/>
  <c r="F670" i="1"/>
  <c r="E670" i="1"/>
  <c r="D670" i="1"/>
  <c r="C670" i="1"/>
  <c r="F669" i="1"/>
  <c r="E669" i="1"/>
  <c r="D669" i="1"/>
  <c r="C669" i="1"/>
  <c r="F668" i="1"/>
  <c r="E668" i="1"/>
  <c r="D668" i="1"/>
  <c r="C668" i="1"/>
  <c r="F667" i="1"/>
  <c r="E667" i="1"/>
  <c r="D667" i="1"/>
  <c r="C667" i="1"/>
  <c r="F666" i="1"/>
  <c r="E666" i="1"/>
  <c r="D666" i="1"/>
  <c r="C666" i="1"/>
  <c r="F665" i="1"/>
  <c r="E665" i="1"/>
  <c r="D665" i="1"/>
  <c r="C665" i="1"/>
  <c r="F664" i="1"/>
  <c r="E664" i="1"/>
  <c r="D664" i="1"/>
  <c r="C664" i="1"/>
  <c r="F663" i="1"/>
  <c r="E663" i="1"/>
  <c r="D663" i="1"/>
  <c r="C663" i="1"/>
  <c r="F662" i="1"/>
  <c r="E662" i="1"/>
  <c r="D662" i="1"/>
  <c r="C662" i="1"/>
  <c r="C661" i="1"/>
  <c r="G661" i="1" s="1"/>
  <c r="F660" i="1"/>
  <c r="E660" i="1"/>
  <c r="D660" i="1"/>
  <c r="C660" i="1"/>
  <c r="F659" i="1"/>
  <c r="E659" i="1"/>
  <c r="D659" i="1"/>
  <c r="C659" i="1"/>
  <c r="F658" i="1"/>
  <c r="E658" i="1"/>
  <c r="D658" i="1"/>
  <c r="C658" i="1"/>
  <c r="F657" i="1"/>
  <c r="E657" i="1"/>
  <c r="D657" i="1"/>
  <c r="C657" i="1"/>
  <c r="F656" i="1"/>
  <c r="E656" i="1"/>
  <c r="D656" i="1"/>
  <c r="C656" i="1"/>
  <c r="F655" i="1"/>
  <c r="E655" i="1"/>
  <c r="D655" i="1"/>
  <c r="C655" i="1"/>
  <c r="E654" i="1"/>
  <c r="D654" i="1"/>
  <c r="C654" i="1"/>
  <c r="F653" i="1"/>
  <c r="E653" i="1"/>
  <c r="D653" i="1"/>
  <c r="C653" i="1"/>
  <c r="F652" i="1"/>
  <c r="E652" i="1"/>
  <c r="D652" i="1"/>
  <c r="C652" i="1"/>
  <c r="F651" i="1"/>
  <c r="E651" i="1"/>
  <c r="D651" i="1"/>
  <c r="C651" i="1"/>
  <c r="F650" i="1"/>
  <c r="E650" i="1"/>
  <c r="D650" i="1"/>
  <c r="C650" i="1"/>
  <c r="C646" i="1"/>
  <c r="G646" i="1" s="1"/>
  <c r="C645" i="1"/>
  <c r="G645" i="1" s="1"/>
  <c r="C644" i="1"/>
  <c r="G644" i="1" s="1"/>
  <c r="C643" i="1"/>
  <c r="G643" i="1" s="1"/>
  <c r="C642" i="1"/>
  <c r="G642" i="1" s="1"/>
  <c r="C641" i="1"/>
  <c r="G641" i="1" s="1"/>
  <c r="C640" i="1"/>
  <c r="G640" i="1" s="1"/>
  <c r="C639" i="1"/>
  <c r="G639" i="1" s="1"/>
  <c r="C638" i="1"/>
  <c r="G638" i="1" s="1"/>
  <c r="C637" i="1"/>
  <c r="G637" i="1" s="1"/>
  <c r="F636" i="1"/>
  <c r="E636" i="1"/>
  <c r="D636" i="1"/>
  <c r="C636" i="1"/>
  <c r="F635" i="1"/>
  <c r="E635" i="1"/>
  <c r="D635" i="1"/>
  <c r="C635" i="1"/>
  <c r="F634" i="1"/>
  <c r="E634" i="1"/>
  <c r="D634" i="1"/>
  <c r="C634" i="1"/>
  <c r="F633" i="1"/>
  <c r="E633" i="1"/>
  <c r="D633" i="1"/>
  <c r="C633" i="1"/>
  <c r="F632" i="1"/>
  <c r="E632" i="1"/>
  <c r="D632" i="1"/>
  <c r="G632" i="1" s="1"/>
  <c r="C632" i="1"/>
  <c r="F631" i="1"/>
  <c r="E631" i="1"/>
  <c r="D631" i="1"/>
  <c r="C631" i="1"/>
  <c r="F630" i="1"/>
  <c r="E630" i="1"/>
  <c r="D630" i="1"/>
  <c r="C630" i="1"/>
  <c r="F629" i="1"/>
  <c r="E629" i="1"/>
  <c r="D629" i="1"/>
  <c r="C629" i="1"/>
  <c r="F628" i="1"/>
  <c r="E628" i="1"/>
  <c r="D628" i="1"/>
  <c r="C628" i="1"/>
  <c r="F627" i="1"/>
  <c r="E627" i="1"/>
  <c r="D627" i="1"/>
  <c r="C627" i="1"/>
  <c r="F626" i="1"/>
  <c r="E626" i="1"/>
  <c r="D626" i="1"/>
  <c r="C626" i="1"/>
  <c r="F625" i="1"/>
  <c r="E625" i="1"/>
  <c r="D625" i="1"/>
  <c r="C625" i="1"/>
  <c r="F624" i="1"/>
  <c r="E624" i="1"/>
  <c r="D624" i="1"/>
  <c r="C624" i="1"/>
  <c r="F623" i="1"/>
  <c r="E623" i="1"/>
  <c r="D623" i="1"/>
  <c r="C623" i="1"/>
  <c r="F622" i="1"/>
  <c r="E622" i="1"/>
  <c r="D622" i="1"/>
  <c r="C622" i="1"/>
  <c r="F621" i="1"/>
  <c r="E621" i="1"/>
  <c r="D621" i="1"/>
  <c r="C621" i="1"/>
  <c r="F620" i="1"/>
  <c r="E620" i="1"/>
  <c r="D620" i="1"/>
  <c r="C620" i="1"/>
  <c r="F619" i="1"/>
  <c r="E619" i="1"/>
  <c r="D619" i="1"/>
  <c r="C619" i="1"/>
  <c r="F618" i="1"/>
  <c r="E618" i="1"/>
  <c r="D618" i="1"/>
  <c r="C618" i="1"/>
  <c r="F617" i="1"/>
  <c r="E617" i="1"/>
  <c r="D617" i="1"/>
  <c r="C617" i="1"/>
  <c r="F616" i="1"/>
  <c r="E616" i="1"/>
  <c r="D616" i="1"/>
  <c r="G616" i="1" s="1"/>
  <c r="C616" i="1"/>
  <c r="F615" i="1"/>
  <c r="E615" i="1"/>
  <c r="D615" i="1"/>
  <c r="C615" i="1"/>
  <c r="F614" i="1"/>
  <c r="E614" i="1"/>
  <c r="D614" i="1"/>
  <c r="G614" i="1" s="1"/>
  <c r="C614" i="1"/>
  <c r="F613" i="1"/>
  <c r="E613" i="1"/>
  <c r="D613" i="1"/>
  <c r="C613" i="1"/>
  <c r="F612" i="1"/>
  <c r="E612" i="1"/>
  <c r="D612" i="1"/>
  <c r="C612" i="1"/>
  <c r="F611" i="1"/>
  <c r="E611" i="1"/>
  <c r="D611" i="1"/>
  <c r="C611" i="1"/>
  <c r="F610" i="1"/>
  <c r="E610" i="1"/>
  <c r="D610" i="1"/>
  <c r="C610" i="1"/>
  <c r="F609" i="1"/>
  <c r="E609" i="1"/>
  <c r="D609" i="1"/>
  <c r="C609" i="1"/>
  <c r="F608" i="1"/>
  <c r="E608" i="1"/>
  <c r="D608" i="1"/>
  <c r="C608" i="1"/>
  <c r="F607" i="1"/>
  <c r="E607" i="1"/>
  <c r="D607" i="1"/>
  <c r="C607" i="1"/>
  <c r="F606" i="1"/>
  <c r="E606" i="1"/>
  <c r="D606" i="1"/>
  <c r="C606" i="1"/>
  <c r="F605" i="1"/>
  <c r="E605" i="1"/>
  <c r="D605" i="1"/>
  <c r="C605" i="1"/>
  <c r="F604" i="1"/>
  <c r="E604" i="1"/>
  <c r="D604" i="1"/>
  <c r="C604" i="1"/>
  <c r="F603" i="1"/>
  <c r="E603" i="1"/>
  <c r="D603" i="1"/>
  <c r="C603" i="1"/>
  <c r="F602" i="1"/>
  <c r="E602" i="1"/>
  <c r="D602" i="1"/>
  <c r="C602" i="1"/>
  <c r="F601" i="1"/>
  <c r="E601" i="1"/>
  <c r="D601" i="1"/>
  <c r="C601" i="1"/>
  <c r="F600" i="1"/>
  <c r="E600" i="1"/>
  <c r="D600" i="1"/>
  <c r="C600" i="1"/>
  <c r="C599" i="1"/>
  <c r="G599" i="1" s="1"/>
  <c r="C598" i="1"/>
  <c r="G598" i="1" s="1"/>
  <c r="F597" i="1"/>
  <c r="E597" i="1"/>
  <c r="D597" i="1"/>
  <c r="C597" i="1"/>
  <c r="F596" i="1"/>
  <c r="E596" i="1"/>
  <c r="D596" i="1"/>
  <c r="C596" i="1"/>
  <c r="F595" i="1"/>
  <c r="E595" i="1"/>
  <c r="D595" i="1"/>
  <c r="C595" i="1"/>
  <c r="F594" i="1"/>
  <c r="E594" i="1"/>
  <c r="D594" i="1"/>
  <c r="C594" i="1"/>
  <c r="F593" i="1"/>
  <c r="E593" i="1"/>
  <c r="D593" i="1"/>
  <c r="C593" i="1"/>
  <c r="F592" i="1"/>
  <c r="E592" i="1"/>
  <c r="D592" i="1"/>
  <c r="C592" i="1"/>
  <c r="F591" i="1"/>
  <c r="E591" i="1"/>
  <c r="D591" i="1"/>
  <c r="C591" i="1"/>
  <c r="F590" i="1"/>
  <c r="E590" i="1"/>
  <c r="D590" i="1"/>
  <c r="C590" i="1"/>
  <c r="F589" i="1"/>
  <c r="E589" i="1"/>
  <c r="D589" i="1"/>
  <c r="C589" i="1"/>
  <c r="F588" i="1"/>
  <c r="E588" i="1"/>
  <c r="D588" i="1"/>
  <c r="C588" i="1"/>
  <c r="F587" i="1"/>
  <c r="E587" i="1"/>
  <c r="D587" i="1"/>
  <c r="C587" i="1"/>
  <c r="F586" i="1"/>
  <c r="E586" i="1"/>
  <c r="D586" i="1"/>
  <c r="C586" i="1"/>
  <c r="F585" i="1"/>
  <c r="E585" i="1"/>
  <c r="D585" i="1"/>
  <c r="C585" i="1"/>
  <c r="F584" i="1"/>
  <c r="E584" i="1"/>
  <c r="D584" i="1"/>
  <c r="C584" i="1"/>
  <c r="F583" i="1"/>
  <c r="E583" i="1"/>
  <c r="D583" i="1"/>
  <c r="C583" i="1"/>
  <c r="F582" i="1"/>
  <c r="E582" i="1"/>
  <c r="D582" i="1"/>
  <c r="C582" i="1"/>
  <c r="F581" i="1"/>
  <c r="E581" i="1"/>
  <c r="D581" i="1"/>
  <c r="C581" i="1"/>
  <c r="C580" i="1"/>
  <c r="G580" i="1" s="1"/>
  <c r="F579" i="1"/>
  <c r="E579" i="1"/>
  <c r="D579" i="1"/>
  <c r="C579" i="1"/>
  <c r="F578" i="1"/>
  <c r="E578" i="1"/>
  <c r="D578" i="1"/>
  <c r="C578" i="1"/>
  <c r="F577" i="1"/>
  <c r="E577" i="1"/>
  <c r="D577" i="1"/>
  <c r="C577" i="1"/>
  <c r="F576" i="1"/>
  <c r="E576" i="1"/>
  <c r="D576" i="1"/>
  <c r="C576" i="1"/>
  <c r="F575" i="1"/>
  <c r="E575" i="1"/>
  <c r="D575" i="1"/>
  <c r="C575" i="1"/>
  <c r="F574" i="1"/>
  <c r="E574" i="1"/>
  <c r="D574" i="1"/>
  <c r="C574" i="1"/>
  <c r="E573" i="1"/>
  <c r="D573" i="1"/>
  <c r="C573" i="1"/>
  <c r="F572" i="1"/>
  <c r="E572" i="1"/>
  <c r="D572" i="1"/>
  <c r="C572" i="1"/>
  <c r="F571" i="1"/>
  <c r="E571" i="1"/>
  <c r="D571" i="1"/>
  <c r="C571" i="1"/>
  <c r="F570" i="1"/>
  <c r="E570" i="1"/>
  <c r="D570" i="1"/>
  <c r="C570" i="1"/>
  <c r="F569" i="1"/>
  <c r="E569" i="1"/>
  <c r="D569" i="1"/>
  <c r="C569" i="1"/>
  <c r="C565" i="1"/>
  <c r="G565" i="1" s="1"/>
  <c r="C564" i="1"/>
  <c r="G564" i="1" s="1"/>
  <c r="C563" i="1"/>
  <c r="G563" i="1" s="1"/>
  <c r="C562" i="1"/>
  <c r="G562" i="1" s="1"/>
  <c r="C561" i="1"/>
  <c r="G561" i="1" s="1"/>
  <c r="C560" i="1"/>
  <c r="G560" i="1" s="1"/>
  <c r="C559" i="1"/>
  <c r="G559" i="1" s="1"/>
  <c r="C558" i="1"/>
  <c r="G558" i="1" s="1"/>
  <c r="C557" i="1"/>
  <c r="G557" i="1" s="1"/>
  <c r="C556" i="1"/>
  <c r="G556" i="1" s="1"/>
  <c r="F555" i="1"/>
  <c r="E555" i="1"/>
  <c r="D555" i="1"/>
  <c r="C555" i="1"/>
  <c r="F554" i="1"/>
  <c r="E554" i="1"/>
  <c r="D554" i="1"/>
  <c r="C554" i="1"/>
  <c r="F553" i="1"/>
  <c r="E553" i="1"/>
  <c r="D553" i="1"/>
  <c r="C553" i="1"/>
  <c r="F552" i="1"/>
  <c r="E552" i="1"/>
  <c r="D552" i="1"/>
  <c r="C552" i="1"/>
  <c r="F551" i="1"/>
  <c r="E551" i="1"/>
  <c r="D551" i="1"/>
  <c r="C551" i="1"/>
  <c r="F550" i="1"/>
  <c r="E550" i="1"/>
  <c r="D550" i="1"/>
  <c r="C550" i="1"/>
  <c r="F549" i="1"/>
  <c r="E549" i="1"/>
  <c r="D549" i="1"/>
  <c r="C549" i="1"/>
  <c r="F548" i="1"/>
  <c r="E548" i="1"/>
  <c r="D548" i="1"/>
  <c r="C548" i="1"/>
  <c r="F547" i="1"/>
  <c r="E547" i="1"/>
  <c r="D547" i="1"/>
  <c r="C547" i="1"/>
  <c r="F546" i="1"/>
  <c r="E546" i="1"/>
  <c r="D546" i="1"/>
  <c r="C546" i="1"/>
  <c r="F545" i="1"/>
  <c r="E545" i="1"/>
  <c r="D545" i="1"/>
  <c r="C545" i="1"/>
  <c r="F544" i="1"/>
  <c r="E544" i="1"/>
  <c r="D544" i="1"/>
  <c r="C544" i="1"/>
  <c r="F543" i="1"/>
  <c r="E543" i="1"/>
  <c r="D543" i="1"/>
  <c r="G543" i="1" s="1"/>
  <c r="C543" i="1"/>
  <c r="F542" i="1"/>
  <c r="E542" i="1"/>
  <c r="D542" i="1"/>
  <c r="C542" i="1"/>
  <c r="F541" i="1"/>
  <c r="E541" i="1"/>
  <c r="D541" i="1"/>
  <c r="C541" i="1"/>
  <c r="F540" i="1"/>
  <c r="E540" i="1"/>
  <c r="D540" i="1"/>
  <c r="C540" i="1"/>
  <c r="F539" i="1"/>
  <c r="E539" i="1"/>
  <c r="D539" i="1"/>
  <c r="C539" i="1"/>
  <c r="F538" i="1"/>
  <c r="E538" i="1"/>
  <c r="D538" i="1"/>
  <c r="C538" i="1"/>
  <c r="F537" i="1"/>
  <c r="E537" i="1"/>
  <c r="D537" i="1"/>
  <c r="C537" i="1"/>
  <c r="F536" i="1"/>
  <c r="E536" i="1"/>
  <c r="D536" i="1"/>
  <c r="C536" i="1"/>
  <c r="F535" i="1"/>
  <c r="E535" i="1"/>
  <c r="D535" i="1"/>
  <c r="G535" i="1" s="1"/>
  <c r="C535" i="1"/>
  <c r="F534" i="1"/>
  <c r="E534" i="1"/>
  <c r="D534" i="1"/>
  <c r="G534" i="1" s="1"/>
  <c r="C534" i="1"/>
  <c r="F533" i="1"/>
  <c r="E533" i="1"/>
  <c r="D533" i="1"/>
  <c r="C533" i="1"/>
  <c r="F532" i="1"/>
  <c r="E532" i="1"/>
  <c r="D532" i="1"/>
  <c r="C532" i="1"/>
  <c r="F531" i="1"/>
  <c r="E531" i="1"/>
  <c r="D531" i="1"/>
  <c r="C531" i="1"/>
  <c r="F530" i="1"/>
  <c r="E530" i="1"/>
  <c r="D530" i="1"/>
  <c r="C530" i="1"/>
  <c r="F529" i="1"/>
  <c r="E529" i="1"/>
  <c r="D529" i="1"/>
  <c r="C529" i="1"/>
  <c r="F528" i="1"/>
  <c r="E528" i="1"/>
  <c r="D528" i="1"/>
  <c r="C528" i="1"/>
  <c r="F527" i="1"/>
  <c r="E527" i="1"/>
  <c r="D527" i="1"/>
  <c r="C527" i="1"/>
  <c r="F526" i="1"/>
  <c r="E526" i="1"/>
  <c r="D526" i="1"/>
  <c r="C526" i="1"/>
  <c r="F525" i="1"/>
  <c r="E525" i="1"/>
  <c r="D525" i="1"/>
  <c r="C525" i="1"/>
  <c r="F524" i="1"/>
  <c r="E524" i="1"/>
  <c r="D524" i="1"/>
  <c r="C524" i="1"/>
  <c r="F523" i="1"/>
  <c r="E523" i="1"/>
  <c r="D523" i="1"/>
  <c r="C523" i="1"/>
  <c r="F522" i="1"/>
  <c r="E522" i="1"/>
  <c r="D522" i="1"/>
  <c r="C522" i="1"/>
  <c r="F521" i="1"/>
  <c r="E521" i="1"/>
  <c r="D521" i="1"/>
  <c r="C521" i="1"/>
  <c r="F520" i="1"/>
  <c r="E520" i="1"/>
  <c r="D520" i="1"/>
  <c r="C520" i="1"/>
  <c r="F519" i="1"/>
  <c r="E519" i="1"/>
  <c r="D519" i="1"/>
  <c r="C519" i="1"/>
  <c r="C518" i="1"/>
  <c r="G518" i="1" s="1"/>
  <c r="C517" i="1"/>
  <c r="G517" i="1" s="1"/>
  <c r="F516" i="1"/>
  <c r="E516" i="1"/>
  <c r="D516" i="1"/>
  <c r="C516" i="1"/>
  <c r="F515" i="1"/>
  <c r="E515" i="1"/>
  <c r="D515" i="1"/>
  <c r="C515" i="1"/>
  <c r="F514" i="1"/>
  <c r="E514" i="1"/>
  <c r="D514" i="1"/>
  <c r="C514" i="1"/>
  <c r="F513" i="1"/>
  <c r="E513" i="1"/>
  <c r="D513" i="1"/>
  <c r="C513" i="1"/>
  <c r="F512" i="1"/>
  <c r="E512" i="1"/>
  <c r="D512" i="1"/>
  <c r="C512" i="1"/>
  <c r="F511" i="1"/>
  <c r="E511" i="1"/>
  <c r="D511" i="1"/>
  <c r="C511" i="1"/>
  <c r="F510" i="1"/>
  <c r="G510" i="1" s="1"/>
  <c r="E510" i="1"/>
  <c r="D510" i="1"/>
  <c r="C510" i="1"/>
  <c r="F509" i="1"/>
  <c r="E509" i="1"/>
  <c r="D509" i="1"/>
  <c r="C509" i="1"/>
  <c r="F508" i="1"/>
  <c r="E508" i="1"/>
  <c r="D508" i="1"/>
  <c r="C508" i="1"/>
  <c r="F507" i="1"/>
  <c r="E507" i="1"/>
  <c r="D507" i="1"/>
  <c r="C507" i="1"/>
  <c r="F506" i="1"/>
  <c r="E506" i="1"/>
  <c r="D506" i="1"/>
  <c r="C506" i="1"/>
  <c r="F505" i="1"/>
  <c r="E505" i="1"/>
  <c r="D505" i="1"/>
  <c r="C505" i="1"/>
  <c r="F504" i="1"/>
  <c r="E504" i="1"/>
  <c r="D504" i="1"/>
  <c r="C504" i="1"/>
  <c r="F503" i="1"/>
  <c r="E503" i="1"/>
  <c r="D503" i="1"/>
  <c r="C503" i="1"/>
  <c r="F502" i="1"/>
  <c r="E502" i="1"/>
  <c r="D502" i="1"/>
  <c r="C502" i="1"/>
  <c r="F501" i="1"/>
  <c r="E501" i="1"/>
  <c r="D501" i="1"/>
  <c r="C501" i="1"/>
  <c r="F500" i="1"/>
  <c r="E500" i="1"/>
  <c r="D500" i="1"/>
  <c r="C500" i="1"/>
  <c r="C499" i="1"/>
  <c r="G499" i="1" s="1"/>
  <c r="F498" i="1"/>
  <c r="E498" i="1"/>
  <c r="D498" i="1"/>
  <c r="C498" i="1"/>
  <c r="F497" i="1"/>
  <c r="E497" i="1"/>
  <c r="D497" i="1"/>
  <c r="C497" i="1"/>
  <c r="F496" i="1"/>
  <c r="E496" i="1"/>
  <c r="D496" i="1"/>
  <c r="C496" i="1"/>
  <c r="F495" i="1"/>
  <c r="E495" i="1"/>
  <c r="D495" i="1"/>
  <c r="C495" i="1"/>
  <c r="F494" i="1"/>
  <c r="E494" i="1"/>
  <c r="D494" i="1"/>
  <c r="C494" i="1"/>
  <c r="F493" i="1"/>
  <c r="E493" i="1"/>
  <c r="D493" i="1"/>
  <c r="C493" i="1"/>
  <c r="E492" i="1"/>
  <c r="D492" i="1"/>
  <c r="C492" i="1"/>
  <c r="F491" i="1"/>
  <c r="E491" i="1"/>
  <c r="D491" i="1"/>
  <c r="C491" i="1"/>
  <c r="F490" i="1"/>
  <c r="E490" i="1"/>
  <c r="D490" i="1"/>
  <c r="C490" i="1"/>
  <c r="F489" i="1"/>
  <c r="E489" i="1"/>
  <c r="D489" i="1"/>
  <c r="C489" i="1"/>
  <c r="F488" i="1"/>
  <c r="E488" i="1"/>
  <c r="D488" i="1"/>
  <c r="C488" i="1"/>
  <c r="C484" i="1"/>
  <c r="G484" i="1" s="1"/>
  <c r="C483" i="1"/>
  <c r="G483" i="1" s="1"/>
  <c r="C482" i="1"/>
  <c r="G482" i="1" s="1"/>
  <c r="C481" i="1"/>
  <c r="G481" i="1" s="1"/>
  <c r="C480" i="1"/>
  <c r="G480" i="1" s="1"/>
  <c r="C479" i="1"/>
  <c r="G479" i="1" s="1"/>
  <c r="C478" i="1"/>
  <c r="G478" i="1" s="1"/>
  <c r="C477" i="1"/>
  <c r="G477" i="1" s="1"/>
  <c r="C476" i="1"/>
  <c r="G476" i="1" s="1"/>
  <c r="C475" i="1"/>
  <c r="G475" i="1" s="1"/>
  <c r="F474" i="1"/>
  <c r="E474" i="1"/>
  <c r="D474" i="1"/>
  <c r="G474" i="1" s="1"/>
  <c r="C474" i="1"/>
  <c r="F473" i="1"/>
  <c r="E473" i="1"/>
  <c r="D473" i="1"/>
  <c r="C473" i="1"/>
  <c r="F472" i="1"/>
  <c r="E472" i="1"/>
  <c r="D472" i="1"/>
  <c r="C472" i="1"/>
  <c r="F471" i="1"/>
  <c r="E471" i="1"/>
  <c r="D471" i="1"/>
  <c r="C471" i="1"/>
  <c r="F470" i="1"/>
  <c r="E470" i="1"/>
  <c r="D470" i="1"/>
  <c r="C470" i="1"/>
  <c r="F469" i="1"/>
  <c r="E469" i="1"/>
  <c r="D469" i="1"/>
  <c r="C469" i="1"/>
  <c r="F468" i="1"/>
  <c r="E468" i="1"/>
  <c r="D468" i="1"/>
  <c r="C468" i="1"/>
  <c r="F467" i="1"/>
  <c r="E467" i="1"/>
  <c r="D467" i="1"/>
  <c r="C467" i="1"/>
  <c r="F466" i="1"/>
  <c r="E466" i="1"/>
  <c r="D466" i="1"/>
  <c r="C466" i="1"/>
  <c r="F465" i="1"/>
  <c r="E465" i="1"/>
  <c r="D465" i="1"/>
  <c r="C465" i="1"/>
  <c r="F464" i="1"/>
  <c r="E464" i="1"/>
  <c r="D464" i="1"/>
  <c r="C464" i="1"/>
  <c r="F463" i="1"/>
  <c r="E463" i="1"/>
  <c r="D463" i="1"/>
  <c r="C463" i="1"/>
  <c r="F462" i="1"/>
  <c r="E462" i="1"/>
  <c r="D462" i="1"/>
  <c r="C462" i="1"/>
  <c r="F461" i="1"/>
  <c r="E461" i="1"/>
  <c r="D461" i="1"/>
  <c r="C461" i="1"/>
  <c r="F460" i="1"/>
  <c r="E460" i="1"/>
  <c r="D460" i="1"/>
  <c r="G460" i="1" s="1"/>
  <c r="C460" i="1"/>
  <c r="F459" i="1"/>
  <c r="E459" i="1"/>
  <c r="D459" i="1"/>
  <c r="C459" i="1"/>
  <c r="F458" i="1"/>
  <c r="E458" i="1"/>
  <c r="D458" i="1"/>
  <c r="C458" i="1"/>
  <c r="F457" i="1"/>
  <c r="E457" i="1"/>
  <c r="D457" i="1"/>
  <c r="C457" i="1"/>
  <c r="F456" i="1"/>
  <c r="E456" i="1"/>
  <c r="D456" i="1"/>
  <c r="C456" i="1"/>
  <c r="F455" i="1"/>
  <c r="E455" i="1"/>
  <c r="D455" i="1"/>
  <c r="C455" i="1"/>
  <c r="F454" i="1"/>
  <c r="E454" i="1"/>
  <c r="D454" i="1"/>
  <c r="C454" i="1"/>
  <c r="F453" i="1"/>
  <c r="E453" i="1"/>
  <c r="D453" i="1"/>
  <c r="C453" i="1"/>
  <c r="F452" i="1"/>
  <c r="E452" i="1"/>
  <c r="D452" i="1"/>
  <c r="C452" i="1"/>
  <c r="F451" i="1"/>
  <c r="E451" i="1"/>
  <c r="D451" i="1"/>
  <c r="C451" i="1"/>
  <c r="F450" i="1"/>
  <c r="E450" i="1"/>
  <c r="D450" i="1"/>
  <c r="C450" i="1"/>
  <c r="F449" i="1"/>
  <c r="E449" i="1"/>
  <c r="D449" i="1"/>
  <c r="C449" i="1"/>
  <c r="F448" i="1"/>
  <c r="E448" i="1"/>
  <c r="D448" i="1"/>
  <c r="C448" i="1"/>
  <c r="F447" i="1"/>
  <c r="E447" i="1"/>
  <c r="D447" i="1"/>
  <c r="C447" i="1"/>
  <c r="F446" i="1"/>
  <c r="E446" i="1"/>
  <c r="D446" i="1"/>
  <c r="C446" i="1"/>
  <c r="F445" i="1"/>
  <c r="E445" i="1"/>
  <c r="D445" i="1"/>
  <c r="C445" i="1"/>
  <c r="F444" i="1"/>
  <c r="E444" i="1"/>
  <c r="D444" i="1"/>
  <c r="C444" i="1"/>
  <c r="F443" i="1"/>
  <c r="E443" i="1"/>
  <c r="D443" i="1"/>
  <c r="C443" i="1"/>
  <c r="F442" i="1"/>
  <c r="E442" i="1"/>
  <c r="D442" i="1"/>
  <c r="C442" i="1"/>
  <c r="F441" i="1"/>
  <c r="E441" i="1"/>
  <c r="D441" i="1"/>
  <c r="C441" i="1"/>
  <c r="F440" i="1"/>
  <c r="E440" i="1"/>
  <c r="D440" i="1"/>
  <c r="C440" i="1"/>
  <c r="F439" i="1"/>
  <c r="E439" i="1"/>
  <c r="D439" i="1"/>
  <c r="C439" i="1"/>
  <c r="F438" i="1"/>
  <c r="E438" i="1"/>
  <c r="D438" i="1"/>
  <c r="C438" i="1"/>
  <c r="C437" i="1"/>
  <c r="G437" i="1" s="1"/>
  <c r="C436" i="1"/>
  <c r="G436" i="1" s="1"/>
  <c r="F435" i="1"/>
  <c r="E435" i="1"/>
  <c r="D435" i="1"/>
  <c r="C435" i="1"/>
  <c r="F434" i="1"/>
  <c r="E434" i="1"/>
  <c r="D434" i="1"/>
  <c r="C434" i="1"/>
  <c r="F433" i="1"/>
  <c r="E433" i="1"/>
  <c r="D433" i="1"/>
  <c r="C433" i="1"/>
  <c r="F432" i="1"/>
  <c r="E432" i="1"/>
  <c r="D432" i="1"/>
  <c r="C432" i="1"/>
  <c r="F431" i="1"/>
  <c r="E431" i="1"/>
  <c r="D431" i="1"/>
  <c r="C431" i="1"/>
  <c r="F430" i="1"/>
  <c r="E430" i="1"/>
  <c r="D430" i="1"/>
  <c r="C430" i="1"/>
  <c r="F429" i="1"/>
  <c r="E429" i="1"/>
  <c r="D429" i="1"/>
  <c r="C429" i="1"/>
  <c r="F428" i="1"/>
  <c r="E428" i="1"/>
  <c r="D428" i="1"/>
  <c r="C428" i="1"/>
  <c r="F427" i="1"/>
  <c r="E427" i="1"/>
  <c r="D427" i="1"/>
  <c r="C427" i="1"/>
  <c r="F426" i="1"/>
  <c r="E426" i="1"/>
  <c r="D426" i="1"/>
  <c r="C426" i="1"/>
  <c r="F425" i="1"/>
  <c r="E425" i="1"/>
  <c r="D425" i="1"/>
  <c r="C425" i="1"/>
  <c r="F424" i="1"/>
  <c r="E424" i="1"/>
  <c r="D424" i="1"/>
  <c r="C424" i="1"/>
  <c r="F423" i="1"/>
  <c r="E423" i="1"/>
  <c r="D423" i="1"/>
  <c r="C423" i="1"/>
  <c r="F422" i="1"/>
  <c r="E422" i="1"/>
  <c r="D422" i="1"/>
  <c r="C422" i="1"/>
  <c r="F421" i="1"/>
  <c r="E421" i="1"/>
  <c r="D421" i="1"/>
  <c r="C421" i="1"/>
  <c r="F420" i="1"/>
  <c r="E420" i="1"/>
  <c r="D420" i="1"/>
  <c r="C420" i="1"/>
  <c r="F419" i="1"/>
  <c r="E419" i="1"/>
  <c r="D419" i="1"/>
  <c r="C419" i="1"/>
  <c r="C418" i="1"/>
  <c r="G418" i="1" s="1"/>
  <c r="F417" i="1"/>
  <c r="E417" i="1"/>
  <c r="D417" i="1"/>
  <c r="C417" i="1"/>
  <c r="F416" i="1"/>
  <c r="E416" i="1"/>
  <c r="D416" i="1"/>
  <c r="C416" i="1"/>
  <c r="F415" i="1"/>
  <c r="E415" i="1"/>
  <c r="D415" i="1"/>
  <c r="C415" i="1"/>
  <c r="F414" i="1"/>
  <c r="E414" i="1"/>
  <c r="D414" i="1"/>
  <c r="C414" i="1"/>
  <c r="F413" i="1"/>
  <c r="E413" i="1"/>
  <c r="D413" i="1"/>
  <c r="C413" i="1"/>
  <c r="F412" i="1"/>
  <c r="E412" i="1"/>
  <c r="D412" i="1"/>
  <c r="C412" i="1"/>
  <c r="G412" i="1" s="1"/>
  <c r="E411" i="1"/>
  <c r="D411" i="1"/>
  <c r="C411" i="1"/>
  <c r="F410" i="1"/>
  <c r="E410" i="1"/>
  <c r="D410" i="1"/>
  <c r="C410" i="1"/>
  <c r="F409" i="1"/>
  <c r="E409" i="1"/>
  <c r="D409" i="1"/>
  <c r="C409" i="1"/>
  <c r="F408" i="1"/>
  <c r="E408" i="1"/>
  <c r="D408" i="1"/>
  <c r="C408" i="1"/>
  <c r="F407" i="1"/>
  <c r="E407" i="1"/>
  <c r="D407" i="1"/>
  <c r="C407" i="1"/>
  <c r="C403" i="1"/>
  <c r="G403" i="1" s="1"/>
  <c r="C402" i="1"/>
  <c r="G402" i="1" s="1"/>
  <c r="C401" i="1"/>
  <c r="G401" i="1" s="1"/>
  <c r="C400" i="1"/>
  <c r="G400" i="1" s="1"/>
  <c r="C399" i="1"/>
  <c r="G399" i="1" s="1"/>
  <c r="C398" i="1"/>
  <c r="G398" i="1" s="1"/>
  <c r="C397" i="1"/>
  <c r="G397" i="1" s="1"/>
  <c r="C396" i="1"/>
  <c r="G396" i="1" s="1"/>
  <c r="C395" i="1"/>
  <c r="G395" i="1" s="1"/>
  <c r="C394" i="1"/>
  <c r="G394" i="1" s="1"/>
  <c r="F393" i="1"/>
  <c r="E393" i="1"/>
  <c r="D393" i="1"/>
  <c r="C393" i="1"/>
  <c r="F392" i="1"/>
  <c r="E392" i="1"/>
  <c r="D392" i="1"/>
  <c r="C392" i="1"/>
  <c r="F391" i="1"/>
  <c r="E391" i="1"/>
  <c r="D391" i="1"/>
  <c r="C391" i="1"/>
  <c r="F390" i="1"/>
  <c r="E390" i="1"/>
  <c r="D390" i="1"/>
  <c r="C390" i="1"/>
  <c r="F389" i="1"/>
  <c r="E389" i="1"/>
  <c r="D389" i="1"/>
  <c r="C389" i="1"/>
  <c r="F388" i="1"/>
  <c r="E388" i="1"/>
  <c r="D388" i="1"/>
  <c r="C388" i="1"/>
  <c r="F387" i="1"/>
  <c r="E387" i="1"/>
  <c r="D387" i="1"/>
  <c r="C387" i="1"/>
  <c r="F386" i="1"/>
  <c r="E386" i="1"/>
  <c r="D386" i="1"/>
  <c r="C386" i="1"/>
  <c r="F385" i="1"/>
  <c r="E385" i="1"/>
  <c r="D385" i="1"/>
  <c r="C385" i="1"/>
  <c r="F384" i="1"/>
  <c r="E384" i="1"/>
  <c r="D384" i="1"/>
  <c r="C384" i="1"/>
  <c r="F383" i="1"/>
  <c r="E383" i="1"/>
  <c r="D383" i="1"/>
  <c r="C383" i="1"/>
  <c r="F382" i="1"/>
  <c r="E382" i="1"/>
  <c r="D382" i="1"/>
  <c r="C382" i="1"/>
  <c r="F381" i="1"/>
  <c r="E381" i="1"/>
  <c r="D381" i="1"/>
  <c r="C381" i="1"/>
  <c r="F380" i="1"/>
  <c r="E380" i="1"/>
  <c r="D380" i="1"/>
  <c r="C380" i="1"/>
  <c r="F379" i="1"/>
  <c r="E379" i="1"/>
  <c r="D379" i="1"/>
  <c r="C379" i="1"/>
  <c r="F378" i="1"/>
  <c r="E378" i="1"/>
  <c r="D378" i="1"/>
  <c r="C378" i="1"/>
  <c r="F377" i="1"/>
  <c r="E377" i="1"/>
  <c r="D377" i="1"/>
  <c r="C377" i="1"/>
  <c r="F376" i="1"/>
  <c r="E376" i="1"/>
  <c r="D376" i="1"/>
  <c r="G376" i="1" s="1"/>
  <c r="C376" i="1"/>
  <c r="F375" i="1"/>
  <c r="E375" i="1"/>
  <c r="D375" i="1"/>
  <c r="C375" i="1"/>
  <c r="F374" i="1"/>
  <c r="E374" i="1"/>
  <c r="D374" i="1"/>
  <c r="C374" i="1"/>
  <c r="F373" i="1"/>
  <c r="E373" i="1"/>
  <c r="D373" i="1"/>
  <c r="C373" i="1"/>
  <c r="F372" i="1"/>
  <c r="E372" i="1"/>
  <c r="D372" i="1"/>
  <c r="C372" i="1"/>
  <c r="F371" i="1"/>
  <c r="E371" i="1"/>
  <c r="D371" i="1"/>
  <c r="G371" i="1" s="1"/>
  <c r="C371" i="1"/>
  <c r="F370" i="1"/>
  <c r="E370" i="1"/>
  <c r="D370" i="1"/>
  <c r="C370" i="1"/>
  <c r="F369" i="1"/>
  <c r="E369" i="1"/>
  <c r="D369" i="1"/>
  <c r="C369" i="1"/>
  <c r="F368" i="1"/>
  <c r="E368" i="1"/>
  <c r="D368" i="1"/>
  <c r="C368" i="1"/>
  <c r="F367" i="1"/>
  <c r="E367" i="1"/>
  <c r="D367" i="1"/>
  <c r="C367" i="1"/>
  <c r="F366" i="1"/>
  <c r="E366" i="1"/>
  <c r="D366" i="1"/>
  <c r="C366" i="1"/>
  <c r="F365" i="1"/>
  <c r="E365" i="1"/>
  <c r="D365" i="1"/>
  <c r="G365" i="1" s="1"/>
  <c r="C365" i="1"/>
  <c r="F364" i="1"/>
  <c r="E364" i="1"/>
  <c r="D364" i="1"/>
  <c r="C364" i="1"/>
  <c r="F363" i="1"/>
  <c r="E363" i="1"/>
  <c r="D363" i="1"/>
  <c r="C363" i="1"/>
  <c r="F362" i="1"/>
  <c r="E362" i="1"/>
  <c r="D362" i="1"/>
  <c r="C362" i="1"/>
  <c r="F361" i="1"/>
  <c r="E361" i="1"/>
  <c r="D361" i="1"/>
  <c r="C361" i="1"/>
  <c r="F360" i="1"/>
  <c r="E360" i="1"/>
  <c r="D360" i="1"/>
  <c r="C360" i="1"/>
  <c r="F359" i="1"/>
  <c r="E359" i="1"/>
  <c r="D359" i="1"/>
  <c r="C359" i="1"/>
  <c r="F358" i="1"/>
  <c r="E358" i="1"/>
  <c r="D358" i="1"/>
  <c r="C358" i="1"/>
  <c r="F357" i="1"/>
  <c r="E357" i="1"/>
  <c r="D357" i="1"/>
  <c r="C357" i="1"/>
  <c r="C356" i="1"/>
  <c r="G356" i="1" s="1"/>
  <c r="C355" i="1"/>
  <c r="G355" i="1" s="1"/>
  <c r="F354" i="1"/>
  <c r="E354" i="1"/>
  <c r="D354" i="1"/>
  <c r="C354" i="1"/>
  <c r="F353" i="1"/>
  <c r="E353" i="1"/>
  <c r="D353" i="1"/>
  <c r="C353" i="1"/>
  <c r="F352" i="1"/>
  <c r="E352" i="1"/>
  <c r="D352" i="1"/>
  <c r="C352" i="1"/>
  <c r="F351" i="1"/>
  <c r="E351" i="1"/>
  <c r="D351" i="1"/>
  <c r="C351" i="1"/>
  <c r="F350" i="1"/>
  <c r="E350" i="1"/>
  <c r="D350" i="1"/>
  <c r="C350" i="1"/>
  <c r="F349" i="1"/>
  <c r="E349" i="1"/>
  <c r="D349" i="1"/>
  <c r="C349" i="1"/>
  <c r="F348" i="1"/>
  <c r="E348" i="1"/>
  <c r="D348" i="1"/>
  <c r="C348" i="1"/>
  <c r="F347" i="1"/>
  <c r="E347" i="1"/>
  <c r="D347" i="1"/>
  <c r="C347" i="1"/>
  <c r="F346" i="1"/>
  <c r="E346" i="1"/>
  <c r="D346" i="1"/>
  <c r="C346" i="1"/>
  <c r="F345" i="1"/>
  <c r="G345" i="1" s="1"/>
  <c r="E345" i="1"/>
  <c r="D345" i="1"/>
  <c r="C345" i="1"/>
  <c r="F344" i="1"/>
  <c r="E344" i="1"/>
  <c r="D344" i="1"/>
  <c r="C344" i="1"/>
  <c r="F343" i="1"/>
  <c r="E343" i="1"/>
  <c r="D343" i="1"/>
  <c r="C343" i="1"/>
  <c r="F342" i="1"/>
  <c r="E342" i="1"/>
  <c r="D342" i="1"/>
  <c r="C342" i="1"/>
  <c r="F341" i="1"/>
  <c r="E341" i="1"/>
  <c r="D341" i="1"/>
  <c r="C341" i="1"/>
  <c r="F340" i="1"/>
  <c r="E340" i="1"/>
  <c r="D340" i="1"/>
  <c r="C340" i="1"/>
  <c r="F339" i="1"/>
  <c r="E339" i="1"/>
  <c r="D339" i="1"/>
  <c r="C339" i="1"/>
  <c r="F338" i="1"/>
  <c r="E338" i="1"/>
  <c r="D338" i="1"/>
  <c r="C338" i="1"/>
  <c r="C337" i="1"/>
  <c r="G337" i="1" s="1"/>
  <c r="F336" i="1"/>
  <c r="E336" i="1"/>
  <c r="D336" i="1"/>
  <c r="C336" i="1"/>
  <c r="F335" i="1"/>
  <c r="E335" i="1"/>
  <c r="D335" i="1"/>
  <c r="C335" i="1"/>
  <c r="F334" i="1"/>
  <c r="E334" i="1"/>
  <c r="D334" i="1"/>
  <c r="C334" i="1"/>
  <c r="F333" i="1"/>
  <c r="E333" i="1"/>
  <c r="D333" i="1"/>
  <c r="C333" i="1"/>
  <c r="F332" i="1"/>
  <c r="E332" i="1"/>
  <c r="D332" i="1"/>
  <c r="C332" i="1"/>
  <c r="F331" i="1"/>
  <c r="E331" i="1"/>
  <c r="D331" i="1"/>
  <c r="C331" i="1"/>
  <c r="E330" i="1"/>
  <c r="D330" i="1"/>
  <c r="C330" i="1"/>
  <c r="F329" i="1"/>
  <c r="E329" i="1"/>
  <c r="D329" i="1"/>
  <c r="C329" i="1"/>
  <c r="F328" i="1"/>
  <c r="E328" i="1"/>
  <c r="D328" i="1"/>
  <c r="C328" i="1"/>
  <c r="F327" i="1"/>
  <c r="E327" i="1"/>
  <c r="D327" i="1"/>
  <c r="C327" i="1"/>
  <c r="F326" i="1"/>
  <c r="G326" i="1" s="1"/>
  <c r="E326" i="1"/>
  <c r="D326" i="1"/>
  <c r="C326" i="1"/>
  <c r="C322" i="1"/>
  <c r="G322" i="1" s="1"/>
  <c r="C321" i="1"/>
  <c r="G321" i="1" s="1"/>
  <c r="C320" i="1"/>
  <c r="G320" i="1" s="1"/>
  <c r="C319" i="1"/>
  <c r="G319" i="1" s="1"/>
  <c r="C318" i="1"/>
  <c r="G318" i="1" s="1"/>
  <c r="C317" i="1"/>
  <c r="G317" i="1" s="1"/>
  <c r="C316" i="1"/>
  <c r="G316" i="1" s="1"/>
  <c r="C315" i="1"/>
  <c r="G315" i="1" s="1"/>
  <c r="C314" i="1"/>
  <c r="G314" i="1" s="1"/>
  <c r="C313" i="1"/>
  <c r="G313" i="1" s="1"/>
  <c r="F312" i="1"/>
  <c r="E312" i="1"/>
  <c r="D312" i="1"/>
  <c r="C312" i="1"/>
  <c r="F311" i="1"/>
  <c r="E311" i="1"/>
  <c r="D311" i="1"/>
  <c r="C311" i="1"/>
  <c r="F310" i="1"/>
  <c r="E310" i="1"/>
  <c r="D310" i="1"/>
  <c r="C310" i="1"/>
  <c r="F309" i="1"/>
  <c r="E309" i="1"/>
  <c r="D309" i="1"/>
  <c r="C309" i="1"/>
  <c r="F308" i="1"/>
  <c r="E308" i="1"/>
  <c r="D308" i="1"/>
  <c r="C308" i="1"/>
  <c r="F307" i="1"/>
  <c r="E307" i="1"/>
  <c r="D307" i="1"/>
  <c r="C307" i="1"/>
  <c r="F306" i="1"/>
  <c r="E306" i="1"/>
  <c r="D306" i="1"/>
  <c r="C306" i="1"/>
  <c r="F305" i="1"/>
  <c r="E305" i="1"/>
  <c r="D305" i="1"/>
  <c r="C305" i="1"/>
  <c r="F304" i="1"/>
  <c r="E304" i="1"/>
  <c r="D304" i="1"/>
  <c r="C304" i="1"/>
  <c r="F303" i="1"/>
  <c r="E303" i="1"/>
  <c r="D303" i="1"/>
  <c r="C303" i="1"/>
  <c r="F302" i="1"/>
  <c r="E302" i="1"/>
  <c r="D302" i="1"/>
  <c r="G302" i="1" s="1"/>
  <c r="C302" i="1"/>
  <c r="F301" i="1"/>
  <c r="E301" i="1"/>
  <c r="D301" i="1"/>
  <c r="C301" i="1"/>
  <c r="F300" i="1"/>
  <c r="E300" i="1"/>
  <c r="D300" i="1"/>
  <c r="C300" i="1"/>
  <c r="F299" i="1"/>
  <c r="E299" i="1"/>
  <c r="D299" i="1"/>
  <c r="C299" i="1"/>
  <c r="F298" i="1"/>
  <c r="E298" i="1"/>
  <c r="D298" i="1"/>
  <c r="G298" i="1" s="1"/>
  <c r="C298" i="1"/>
  <c r="F297" i="1"/>
  <c r="E297" i="1"/>
  <c r="D297" i="1"/>
  <c r="C297" i="1"/>
  <c r="F296" i="1"/>
  <c r="E296" i="1"/>
  <c r="D296" i="1"/>
  <c r="C296" i="1"/>
  <c r="F295" i="1"/>
  <c r="E295" i="1"/>
  <c r="D295" i="1"/>
  <c r="C295" i="1"/>
  <c r="F294" i="1"/>
  <c r="E294" i="1"/>
  <c r="D294" i="1"/>
  <c r="C294" i="1"/>
  <c r="F293" i="1"/>
  <c r="E293" i="1"/>
  <c r="D293" i="1"/>
  <c r="C293" i="1"/>
  <c r="F292" i="1"/>
  <c r="E292" i="1"/>
  <c r="D292" i="1"/>
  <c r="C292" i="1"/>
  <c r="F291" i="1"/>
  <c r="E291" i="1"/>
  <c r="D291" i="1"/>
  <c r="C291" i="1"/>
  <c r="F290" i="1"/>
  <c r="E290" i="1"/>
  <c r="D290" i="1"/>
  <c r="C290" i="1"/>
  <c r="F289" i="1"/>
  <c r="E289" i="1"/>
  <c r="D289" i="1"/>
  <c r="C289" i="1"/>
  <c r="F288" i="1"/>
  <c r="E288" i="1"/>
  <c r="D288" i="1"/>
  <c r="C288" i="1"/>
  <c r="F287" i="1"/>
  <c r="E287" i="1"/>
  <c r="D287" i="1"/>
  <c r="C287" i="1"/>
  <c r="F286" i="1"/>
  <c r="E286" i="1"/>
  <c r="D286" i="1"/>
  <c r="C286" i="1"/>
  <c r="F285" i="1"/>
  <c r="E285" i="1"/>
  <c r="D285" i="1"/>
  <c r="C285" i="1"/>
  <c r="F284" i="1"/>
  <c r="E284" i="1"/>
  <c r="D284" i="1"/>
  <c r="G284" i="1" s="1"/>
  <c r="C284" i="1"/>
  <c r="F283" i="1"/>
  <c r="E283" i="1"/>
  <c r="D283" i="1"/>
  <c r="C283" i="1"/>
  <c r="F282" i="1"/>
  <c r="E282" i="1"/>
  <c r="D282" i="1"/>
  <c r="C282" i="1"/>
  <c r="F281" i="1"/>
  <c r="E281" i="1"/>
  <c r="D281" i="1"/>
  <c r="C281" i="1"/>
  <c r="F280" i="1"/>
  <c r="E280" i="1"/>
  <c r="D280" i="1"/>
  <c r="C280" i="1"/>
  <c r="F279" i="1"/>
  <c r="E279" i="1"/>
  <c r="D279" i="1"/>
  <c r="C279" i="1"/>
  <c r="F278" i="1"/>
  <c r="E278" i="1"/>
  <c r="D278" i="1"/>
  <c r="C278" i="1"/>
  <c r="F277" i="1"/>
  <c r="E277" i="1"/>
  <c r="D277" i="1"/>
  <c r="C277" i="1"/>
  <c r="F276" i="1"/>
  <c r="E276" i="1"/>
  <c r="D276" i="1"/>
  <c r="C276" i="1"/>
  <c r="C275" i="1"/>
  <c r="G275" i="1" s="1"/>
  <c r="C274" i="1"/>
  <c r="G274" i="1" s="1"/>
  <c r="F273" i="1"/>
  <c r="E273" i="1"/>
  <c r="D273" i="1"/>
  <c r="C273" i="1"/>
  <c r="F272" i="1"/>
  <c r="E272" i="1"/>
  <c r="D272" i="1"/>
  <c r="C272" i="1"/>
  <c r="F271" i="1"/>
  <c r="E271" i="1"/>
  <c r="D271" i="1"/>
  <c r="C271" i="1"/>
  <c r="F270" i="1"/>
  <c r="E270" i="1"/>
  <c r="D270" i="1"/>
  <c r="C270" i="1"/>
  <c r="F269" i="1"/>
  <c r="E269" i="1"/>
  <c r="D269" i="1"/>
  <c r="C269" i="1"/>
  <c r="F268" i="1"/>
  <c r="E268" i="1"/>
  <c r="D268" i="1"/>
  <c r="C268" i="1"/>
  <c r="F267" i="1"/>
  <c r="E267" i="1"/>
  <c r="D267" i="1"/>
  <c r="C267" i="1"/>
  <c r="F266" i="1"/>
  <c r="E266" i="1"/>
  <c r="D266" i="1"/>
  <c r="C266" i="1"/>
  <c r="F265" i="1"/>
  <c r="E265" i="1"/>
  <c r="D265" i="1"/>
  <c r="C265" i="1"/>
  <c r="F264" i="1"/>
  <c r="G264" i="1" s="1"/>
  <c r="E264" i="1"/>
  <c r="D264" i="1"/>
  <c r="C264" i="1"/>
  <c r="F263" i="1"/>
  <c r="E263" i="1"/>
  <c r="D263" i="1"/>
  <c r="C263" i="1"/>
  <c r="F262" i="1"/>
  <c r="E262" i="1"/>
  <c r="D262" i="1"/>
  <c r="C262" i="1"/>
  <c r="F261" i="1"/>
  <c r="E261" i="1"/>
  <c r="D261" i="1"/>
  <c r="C261" i="1"/>
  <c r="F260" i="1"/>
  <c r="E260" i="1"/>
  <c r="D260" i="1"/>
  <c r="C260" i="1"/>
  <c r="F259" i="1"/>
  <c r="E259" i="1"/>
  <c r="D259" i="1"/>
  <c r="C259" i="1"/>
  <c r="F258" i="1"/>
  <c r="E258" i="1"/>
  <c r="D258" i="1"/>
  <c r="C258" i="1"/>
  <c r="F257" i="1"/>
  <c r="E257" i="1"/>
  <c r="D257" i="1"/>
  <c r="C257" i="1"/>
  <c r="C256" i="1"/>
  <c r="G256" i="1" s="1"/>
  <c r="F255" i="1"/>
  <c r="E255" i="1"/>
  <c r="D255" i="1"/>
  <c r="C255" i="1"/>
  <c r="F254" i="1"/>
  <c r="E254" i="1"/>
  <c r="D254" i="1"/>
  <c r="C254" i="1"/>
  <c r="G254" i="1" s="1"/>
  <c r="F253" i="1"/>
  <c r="E253" i="1"/>
  <c r="D253" i="1"/>
  <c r="C253" i="1"/>
  <c r="F252" i="1"/>
  <c r="E252" i="1"/>
  <c r="D252" i="1"/>
  <c r="C252" i="1"/>
  <c r="F251" i="1"/>
  <c r="E251" i="1"/>
  <c r="D251" i="1"/>
  <c r="C251" i="1"/>
  <c r="F250" i="1"/>
  <c r="E250" i="1"/>
  <c r="D250" i="1"/>
  <c r="C250" i="1"/>
  <c r="E249" i="1"/>
  <c r="D249" i="1"/>
  <c r="C249" i="1"/>
  <c r="F248" i="1"/>
  <c r="E248" i="1"/>
  <c r="D248" i="1"/>
  <c r="C248" i="1"/>
  <c r="F247" i="1"/>
  <c r="E247" i="1"/>
  <c r="D247" i="1"/>
  <c r="C247" i="1"/>
  <c r="F246" i="1"/>
  <c r="E246" i="1"/>
  <c r="D246" i="1"/>
  <c r="C246" i="1"/>
  <c r="F245" i="1"/>
  <c r="E245" i="1"/>
  <c r="D245" i="1"/>
  <c r="C245" i="1"/>
  <c r="C241" i="1"/>
  <c r="G241" i="1" s="1"/>
  <c r="C240" i="1"/>
  <c r="G240" i="1" s="1"/>
  <c r="C239" i="1"/>
  <c r="G239" i="1" s="1"/>
  <c r="C238" i="1"/>
  <c r="G238" i="1" s="1"/>
  <c r="C237" i="1"/>
  <c r="G237" i="1" s="1"/>
  <c r="C236" i="1"/>
  <c r="G236" i="1" s="1"/>
  <c r="C235" i="1"/>
  <c r="G235" i="1" s="1"/>
  <c r="C234" i="1"/>
  <c r="G234" i="1" s="1"/>
  <c r="C233" i="1"/>
  <c r="G233" i="1" s="1"/>
  <c r="C232" i="1"/>
  <c r="G232" i="1" s="1"/>
  <c r="F231" i="1"/>
  <c r="E231" i="1"/>
  <c r="D231" i="1"/>
  <c r="C231" i="1"/>
  <c r="F230" i="1"/>
  <c r="E230" i="1"/>
  <c r="D230" i="1"/>
  <c r="C230" i="1"/>
  <c r="F229" i="1"/>
  <c r="E229" i="1"/>
  <c r="D229" i="1"/>
  <c r="C229" i="1"/>
  <c r="F228" i="1"/>
  <c r="E228" i="1"/>
  <c r="D228" i="1"/>
  <c r="C228" i="1"/>
  <c r="F227" i="1"/>
  <c r="E227" i="1"/>
  <c r="D227" i="1"/>
  <c r="C227" i="1"/>
  <c r="F226" i="1"/>
  <c r="E226" i="1"/>
  <c r="D226" i="1"/>
  <c r="C226" i="1"/>
  <c r="F225" i="1"/>
  <c r="E225" i="1"/>
  <c r="D225" i="1"/>
  <c r="C225" i="1"/>
  <c r="F224" i="1"/>
  <c r="E224" i="1"/>
  <c r="D224" i="1"/>
  <c r="C224" i="1"/>
  <c r="F223" i="1"/>
  <c r="E223" i="1"/>
  <c r="D223" i="1"/>
  <c r="C223" i="1"/>
  <c r="F222" i="1"/>
  <c r="E222" i="1"/>
  <c r="D222" i="1"/>
  <c r="C222" i="1"/>
  <c r="F221" i="1"/>
  <c r="E221" i="1"/>
  <c r="D221" i="1"/>
  <c r="C221" i="1"/>
  <c r="F220" i="1"/>
  <c r="E220" i="1"/>
  <c r="D220" i="1"/>
  <c r="C220" i="1"/>
  <c r="F219" i="1"/>
  <c r="E219" i="1"/>
  <c r="D219" i="1"/>
  <c r="C219" i="1"/>
  <c r="F218" i="1"/>
  <c r="E218" i="1"/>
  <c r="D218" i="1"/>
  <c r="C218" i="1"/>
  <c r="F217" i="1"/>
  <c r="E217" i="1"/>
  <c r="D217" i="1"/>
  <c r="C217" i="1"/>
  <c r="F216" i="1"/>
  <c r="E216" i="1"/>
  <c r="D216" i="1"/>
  <c r="C216" i="1"/>
  <c r="F215" i="1"/>
  <c r="E215" i="1"/>
  <c r="D215" i="1"/>
  <c r="C215" i="1"/>
  <c r="F214" i="1"/>
  <c r="E214" i="1"/>
  <c r="D214" i="1"/>
  <c r="C214" i="1"/>
  <c r="F213" i="1"/>
  <c r="E213" i="1"/>
  <c r="D213" i="1"/>
  <c r="G213" i="1" s="1"/>
  <c r="C213" i="1"/>
  <c r="F212" i="1"/>
  <c r="E212" i="1"/>
  <c r="D212" i="1"/>
  <c r="C212" i="1"/>
  <c r="F211" i="1"/>
  <c r="E211" i="1"/>
  <c r="D211" i="1"/>
  <c r="C211" i="1"/>
  <c r="F210" i="1"/>
  <c r="E210" i="1"/>
  <c r="D210" i="1"/>
  <c r="C210" i="1"/>
  <c r="F209" i="1"/>
  <c r="E209" i="1"/>
  <c r="D209" i="1"/>
  <c r="C209" i="1"/>
  <c r="F208" i="1"/>
  <c r="E208" i="1"/>
  <c r="D208" i="1"/>
  <c r="C208" i="1"/>
  <c r="F207" i="1"/>
  <c r="E207" i="1"/>
  <c r="D207" i="1"/>
  <c r="C207" i="1"/>
  <c r="F206" i="1"/>
  <c r="E206" i="1"/>
  <c r="D206" i="1"/>
  <c r="C206" i="1"/>
  <c r="F205" i="1"/>
  <c r="E205" i="1"/>
  <c r="D205" i="1"/>
  <c r="C205" i="1"/>
  <c r="F204" i="1"/>
  <c r="E204" i="1"/>
  <c r="D204" i="1"/>
  <c r="C204" i="1"/>
  <c r="F203" i="1"/>
  <c r="E203" i="1"/>
  <c r="D203" i="1"/>
  <c r="C203" i="1"/>
  <c r="F202" i="1"/>
  <c r="E202" i="1"/>
  <c r="D202" i="1"/>
  <c r="C202" i="1"/>
  <c r="F201" i="1"/>
  <c r="E201" i="1"/>
  <c r="D201" i="1"/>
  <c r="G201" i="1" s="1"/>
  <c r="C201" i="1"/>
  <c r="F200" i="1"/>
  <c r="E200" i="1"/>
  <c r="D200" i="1"/>
  <c r="C200" i="1"/>
  <c r="F199" i="1"/>
  <c r="E199" i="1"/>
  <c r="D199" i="1"/>
  <c r="C199" i="1"/>
  <c r="F198" i="1"/>
  <c r="E198" i="1"/>
  <c r="D198" i="1"/>
  <c r="C198" i="1"/>
  <c r="F197" i="1"/>
  <c r="E197" i="1"/>
  <c r="D197" i="1"/>
  <c r="C197" i="1"/>
  <c r="F196" i="1"/>
  <c r="E196" i="1"/>
  <c r="D196" i="1"/>
  <c r="C196" i="1"/>
  <c r="F195" i="1"/>
  <c r="E195" i="1"/>
  <c r="D195" i="1"/>
  <c r="C195" i="1"/>
  <c r="C194" i="1"/>
  <c r="G194" i="1" s="1"/>
  <c r="C193" i="1"/>
  <c r="G193" i="1" s="1"/>
  <c r="F192" i="1"/>
  <c r="E192" i="1"/>
  <c r="D192" i="1"/>
  <c r="C192" i="1"/>
  <c r="F191" i="1"/>
  <c r="E191" i="1"/>
  <c r="D191" i="1"/>
  <c r="C191" i="1"/>
  <c r="F190" i="1"/>
  <c r="E190" i="1"/>
  <c r="D190" i="1"/>
  <c r="C190" i="1"/>
  <c r="F189" i="1"/>
  <c r="E189" i="1"/>
  <c r="D189" i="1"/>
  <c r="C189" i="1"/>
  <c r="F188" i="1"/>
  <c r="E188" i="1"/>
  <c r="D188" i="1"/>
  <c r="C188" i="1"/>
  <c r="F187" i="1"/>
  <c r="E187" i="1"/>
  <c r="D187" i="1"/>
  <c r="C187" i="1"/>
  <c r="F186" i="1"/>
  <c r="E186" i="1"/>
  <c r="D186" i="1"/>
  <c r="C186" i="1"/>
  <c r="F185" i="1"/>
  <c r="E185" i="1"/>
  <c r="D185" i="1"/>
  <c r="C185" i="1"/>
  <c r="F184" i="1"/>
  <c r="E184" i="1"/>
  <c r="D184" i="1"/>
  <c r="C184" i="1"/>
  <c r="F183" i="1"/>
  <c r="E183" i="1"/>
  <c r="D183" i="1"/>
  <c r="C183" i="1"/>
  <c r="F182" i="1"/>
  <c r="E182" i="1"/>
  <c r="D182" i="1"/>
  <c r="C182" i="1"/>
  <c r="F181" i="1"/>
  <c r="E181" i="1"/>
  <c r="D181" i="1"/>
  <c r="C181" i="1"/>
  <c r="F180" i="1"/>
  <c r="E180" i="1"/>
  <c r="D180" i="1"/>
  <c r="C180" i="1"/>
  <c r="F179" i="1"/>
  <c r="E179" i="1"/>
  <c r="D179" i="1"/>
  <c r="C179" i="1"/>
  <c r="F178" i="1"/>
  <c r="E178" i="1"/>
  <c r="D178" i="1"/>
  <c r="C178" i="1"/>
  <c r="F177" i="1"/>
  <c r="E177" i="1"/>
  <c r="D177" i="1"/>
  <c r="C177" i="1"/>
  <c r="F176" i="1"/>
  <c r="E176" i="1"/>
  <c r="D176" i="1"/>
  <c r="C176" i="1"/>
  <c r="C175" i="1"/>
  <c r="G175" i="1" s="1"/>
  <c r="F174" i="1"/>
  <c r="E174" i="1"/>
  <c r="D174" i="1"/>
  <c r="C174" i="1"/>
  <c r="F173" i="1"/>
  <c r="E173" i="1"/>
  <c r="D173" i="1"/>
  <c r="C173" i="1"/>
  <c r="F172" i="1"/>
  <c r="E172" i="1"/>
  <c r="D172" i="1"/>
  <c r="C172" i="1"/>
  <c r="F171" i="1"/>
  <c r="E171" i="1"/>
  <c r="D171" i="1"/>
  <c r="C171" i="1"/>
  <c r="F170" i="1"/>
  <c r="E170" i="1"/>
  <c r="D170" i="1"/>
  <c r="C170" i="1"/>
  <c r="F169" i="1"/>
  <c r="E169" i="1"/>
  <c r="D169" i="1"/>
  <c r="C169" i="1"/>
  <c r="E168" i="1"/>
  <c r="D168" i="1"/>
  <c r="C168" i="1"/>
  <c r="F167" i="1"/>
  <c r="E167" i="1"/>
  <c r="D167" i="1"/>
  <c r="C167" i="1"/>
  <c r="F166" i="1"/>
  <c r="E166" i="1"/>
  <c r="D166" i="1"/>
  <c r="C166" i="1"/>
  <c r="F165" i="1"/>
  <c r="E165" i="1"/>
  <c r="D165" i="1"/>
  <c r="C165" i="1"/>
  <c r="F164" i="1"/>
  <c r="E164" i="1"/>
  <c r="D164" i="1"/>
  <c r="C164" i="1"/>
  <c r="C160" i="1"/>
  <c r="G160" i="1" s="1"/>
  <c r="C159" i="1"/>
  <c r="G159" i="1" s="1"/>
  <c r="C158" i="1"/>
  <c r="G158" i="1" s="1"/>
  <c r="C157" i="1"/>
  <c r="G157" i="1" s="1"/>
  <c r="C156" i="1"/>
  <c r="G156" i="1" s="1"/>
  <c r="C155" i="1"/>
  <c r="G155" i="1" s="1"/>
  <c r="C154" i="1"/>
  <c r="G154" i="1" s="1"/>
  <c r="C153" i="1"/>
  <c r="G153" i="1" s="1"/>
  <c r="C152" i="1"/>
  <c r="G152" i="1" s="1"/>
  <c r="C151" i="1"/>
  <c r="G151" i="1" s="1"/>
  <c r="F150" i="1"/>
  <c r="E150" i="1"/>
  <c r="D150" i="1"/>
  <c r="C150" i="1"/>
  <c r="F149" i="1"/>
  <c r="E149" i="1"/>
  <c r="D149" i="1"/>
  <c r="C149" i="1"/>
  <c r="F148" i="1"/>
  <c r="E148" i="1"/>
  <c r="D148" i="1"/>
  <c r="C148" i="1"/>
  <c r="F147" i="1"/>
  <c r="E147" i="1"/>
  <c r="D147" i="1"/>
  <c r="C147" i="1"/>
  <c r="F146" i="1"/>
  <c r="E146" i="1"/>
  <c r="D146" i="1"/>
  <c r="C146" i="1"/>
  <c r="F145" i="1"/>
  <c r="E145" i="1"/>
  <c r="D145" i="1"/>
  <c r="C145" i="1"/>
  <c r="F144" i="1"/>
  <c r="E144" i="1"/>
  <c r="D144" i="1"/>
  <c r="C144" i="1"/>
  <c r="F143" i="1"/>
  <c r="E143" i="1"/>
  <c r="D143" i="1"/>
  <c r="C143" i="1"/>
  <c r="F142" i="1"/>
  <c r="E142" i="1"/>
  <c r="D142" i="1"/>
  <c r="C142" i="1"/>
  <c r="F141" i="1"/>
  <c r="E141" i="1"/>
  <c r="D141" i="1"/>
  <c r="C141" i="1"/>
  <c r="F140" i="1"/>
  <c r="E140" i="1"/>
  <c r="D140" i="1"/>
  <c r="C140" i="1"/>
  <c r="F139" i="1"/>
  <c r="E139" i="1"/>
  <c r="D139" i="1"/>
  <c r="C139" i="1"/>
  <c r="F138" i="1"/>
  <c r="E138" i="1"/>
  <c r="D138" i="1"/>
  <c r="C138" i="1"/>
  <c r="F137" i="1"/>
  <c r="E137" i="1"/>
  <c r="D137" i="1"/>
  <c r="C137" i="1"/>
  <c r="F136" i="1"/>
  <c r="E136" i="1"/>
  <c r="D136" i="1"/>
  <c r="C136" i="1"/>
  <c r="F135" i="1"/>
  <c r="E135" i="1"/>
  <c r="D135" i="1"/>
  <c r="C135" i="1"/>
  <c r="F134" i="1"/>
  <c r="E134" i="1"/>
  <c r="D134" i="1"/>
  <c r="C134" i="1"/>
  <c r="F133" i="1"/>
  <c r="E133" i="1"/>
  <c r="D133" i="1"/>
  <c r="C133" i="1"/>
  <c r="F132" i="1"/>
  <c r="E132" i="1"/>
  <c r="D132" i="1"/>
  <c r="C132" i="1"/>
  <c r="F131" i="1"/>
  <c r="E131" i="1"/>
  <c r="D131" i="1"/>
  <c r="C131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C113" i="1"/>
  <c r="G113" i="1" s="1"/>
  <c r="C112" i="1"/>
  <c r="G112" i="1" s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C94" i="1"/>
  <c r="G94" i="1" s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C79" i="1"/>
  <c r="G79" i="1" s="1"/>
  <c r="C78" i="1"/>
  <c r="G78" i="1" s="1"/>
  <c r="C77" i="1"/>
  <c r="G77" i="1" s="1"/>
  <c r="C76" i="1"/>
  <c r="G76" i="1" s="1"/>
  <c r="C75" i="1"/>
  <c r="G75" i="1" s="1"/>
  <c r="C74" i="1"/>
  <c r="G74" i="1" s="1"/>
  <c r="C73" i="1"/>
  <c r="G73" i="1" s="1"/>
  <c r="C72" i="1"/>
  <c r="G72" i="1" s="1"/>
  <c r="C71" i="1"/>
  <c r="G71" i="1" s="1"/>
  <c r="C70" i="1"/>
  <c r="G70" i="1" s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C32" i="1"/>
  <c r="G32" i="1" s="1"/>
  <c r="C31" i="1"/>
  <c r="G31" i="1" s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C13" i="1"/>
  <c r="G13" i="1" s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  <c r="G4027" i="1"/>
  <c r="G4001" i="1"/>
  <c r="G4047" i="1"/>
  <c r="G4046" i="1"/>
  <c r="G4043" i="1"/>
  <c r="G4042" i="1"/>
  <c r="G4039" i="1"/>
  <c r="G3966" i="1"/>
  <c r="G3965" i="1"/>
  <c r="G3962" i="1"/>
  <c r="G3961" i="1"/>
  <c r="G3839" i="1"/>
  <c r="G3884" i="1"/>
  <c r="G3881" i="1"/>
  <c r="G3877" i="1"/>
  <c r="G3838" i="1"/>
  <c r="G3758" i="1"/>
  <c r="G3804" i="1"/>
  <c r="G3803" i="1"/>
  <c r="G3800" i="1"/>
  <c r="G3799" i="1"/>
  <c r="G3796" i="1"/>
  <c r="G3723" i="1"/>
  <c r="G3722" i="1"/>
  <c r="G3719" i="1"/>
  <c r="G3718" i="1"/>
  <c r="G3596" i="1"/>
  <c r="G3641" i="1"/>
  <c r="G3638" i="1"/>
  <c r="G3634" i="1"/>
  <c r="G3515" i="1"/>
  <c r="G3561" i="1"/>
  <c r="G3560" i="1"/>
  <c r="G3557" i="1"/>
  <c r="G3556" i="1"/>
  <c r="G3553" i="1"/>
  <c r="G3434" i="1"/>
  <c r="G3480" i="1"/>
  <c r="G3479" i="1"/>
  <c r="G3476" i="1"/>
  <c r="G3475" i="1"/>
  <c r="G3353" i="1"/>
  <c r="G3398" i="1"/>
  <c r="G3395" i="1"/>
  <c r="G3394" i="1"/>
  <c r="G3391" i="1"/>
  <c r="G3318" i="1"/>
  <c r="G3317" i="1"/>
  <c r="G3314" i="1"/>
  <c r="G3313" i="1"/>
  <c r="G3310" i="1"/>
  <c r="G3272" i="1"/>
  <c r="G3237" i="1"/>
  <c r="G3236" i="1"/>
  <c r="G3233" i="1"/>
  <c r="G3232" i="1"/>
  <c r="G3110" i="1"/>
  <c r="G3155" i="1"/>
  <c r="G3152" i="1"/>
  <c r="G3151" i="1"/>
  <c r="G3148" i="1"/>
  <c r="G3029" i="1"/>
  <c r="G3075" i="1"/>
  <c r="G3074" i="1"/>
  <c r="G3071" i="1"/>
  <c r="G3070" i="1"/>
  <c r="G3067" i="1"/>
  <c r="G2948" i="1"/>
  <c r="G2994" i="1"/>
  <c r="G2993" i="1"/>
  <c r="G2990" i="1"/>
  <c r="G2989" i="1"/>
  <c r="G2867" i="1"/>
  <c r="G2912" i="1"/>
  <c r="G2909" i="1"/>
  <c r="G2905" i="1"/>
  <c r="G2786" i="1"/>
  <c r="G2832" i="1"/>
  <c r="G2831" i="1"/>
  <c r="G2828" i="1"/>
  <c r="G2827" i="1"/>
  <c r="G2824" i="1"/>
  <c r="G2751" i="1"/>
  <c r="G2750" i="1"/>
  <c r="G2747" i="1"/>
  <c r="G2746" i="1"/>
  <c r="G2624" i="1"/>
  <c r="G2669" i="1"/>
  <c r="G2666" i="1"/>
  <c r="G2665" i="1"/>
  <c r="G2662" i="1"/>
  <c r="G2543" i="1"/>
  <c r="G2589" i="1"/>
  <c r="G2588" i="1"/>
  <c r="G2585" i="1"/>
  <c r="G2584" i="1"/>
  <c r="G2581" i="1"/>
  <c r="G2508" i="1"/>
  <c r="G2507" i="1"/>
  <c r="G2504" i="1"/>
  <c r="G2503" i="1"/>
  <c r="G2423" i="1"/>
  <c r="G2419" i="1"/>
  <c r="G2346" i="1"/>
  <c r="G2342" i="1"/>
  <c r="G2338" i="1"/>
  <c r="G2219" i="1"/>
  <c r="G2265" i="1"/>
  <c r="G2261" i="1"/>
  <c r="G2176" i="1"/>
  <c r="G2098" i="1"/>
  <c r="G2095" i="1"/>
  <c r="G1937" i="1"/>
  <c r="G1860" i="1"/>
  <c r="G1779" i="1"/>
  <c r="G1690" i="1"/>
  <c r="G1447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8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2" i="1"/>
  <c r="G2356" i="1" l="1"/>
  <c r="G3350" i="1"/>
  <c r="G3354" i="1"/>
  <c r="G3356" i="1"/>
  <c r="G3358" i="1"/>
  <c r="G3359" i="1"/>
  <c r="G3360" i="1"/>
  <c r="G3361" i="1"/>
  <c r="G3362" i="1"/>
  <c r="G3364" i="1"/>
  <c r="G3365" i="1"/>
  <c r="G3366" i="1"/>
  <c r="G3368" i="1"/>
  <c r="G3370" i="1"/>
  <c r="G3371" i="1"/>
  <c r="G3372" i="1"/>
  <c r="G3374" i="1"/>
  <c r="G3376" i="1"/>
  <c r="G3377" i="1"/>
  <c r="G3378" i="1"/>
  <c r="G3380" i="1"/>
  <c r="G3382" i="1"/>
  <c r="G3383" i="1"/>
  <c r="G3384" i="1"/>
  <c r="G3386" i="1"/>
  <c r="G3388" i="1"/>
  <c r="G3389" i="1"/>
  <c r="G3390" i="1"/>
  <c r="G3405" i="1"/>
  <c r="G3411" i="1"/>
  <c r="G3412" i="1"/>
  <c r="G3413" i="1"/>
  <c r="G3418" i="1"/>
  <c r="G3435" i="1"/>
  <c r="G3437" i="1"/>
  <c r="G3438" i="1"/>
  <c r="G3439" i="1"/>
  <c r="G3441" i="1"/>
  <c r="G3443" i="1"/>
  <c r="G3444" i="1"/>
  <c r="G3445" i="1"/>
  <c r="G3447" i="1"/>
  <c r="G3449" i="1"/>
  <c r="G3450" i="1"/>
  <c r="G3451" i="1"/>
  <c r="G3453" i="1"/>
  <c r="G3455" i="1"/>
  <c r="G3456" i="1"/>
  <c r="G3457" i="1"/>
  <c r="G3459" i="1"/>
  <c r="G3461" i="1"/>
  <c r="G3462" i="1"/>
  <c r="G3463" i="1"/>
  <c r="G3465" i="1"/>
  <c r="G3467" i="1"/>
  <c r="G3468" i="1"/>
  <c r="G3469" i="1"/>
  <c r="G3471" i="1"/>
  <c r="G3486" i="1"/>
  <c r="G3490" i="1"/>
  <c r="G3491" i="1"/>
  <c r="G3492" i="1"/>
  <c r="G3517" i="1"/>
  <c r="G3518" i="1"/>
  <c r="G3520" i="1"/>
  <c r="G3522" i="1"/>
  <c r="G3523" i="1"/>
  <c r="G3524" i="1"/>
  <c r="G3526" i="1"/>
  <c r="G3528" i="1"/>
  <c r="G3529" i="1"/>
  <c r="G3530" i="1"/>
  <c r="G3532" i="1"/>
  <c r="G3534" i="1"/>
  <c r="G3535" i="1"/>
  <c r="G3536" i="1"/>
  <c r="G3538" i="1"/>
  <c r="G3540" i="1"/>
  <c r="G3541" i="1"/>
  <c r="G3542" i="1"/>
  <c r="G3544" i="1"/>
  <c r="G3546" i="1"/>
  <c r="G3547" i="1"/>
  <c r="G3548" i="1"/>
  <c r="G3550" i="1"/>
  <c r="G3552" i="1"/>
  <c r="G3568" i="1"/>
  <c r="G3571" i="1"/>
  <c r="G3575" i="1"/>
  <c r="G3583" i="1"/>
  <c r="G3597" i="1"/>
  <c r="G3599" i="1"/>
  <c r="G3601" i="1"/>
  <c r="G3603" i="1"/>
  <c r="G3605" i="1"/>
  <c r="G3607" i="1"/>
  <c r="G3609" i="1"/>
  <c r="G3611" i="1"/>
  <c r="G3612" i="1"/>
  <c r="G3613" i="1"/>
  <c r="G3615" i="1"/>
  <c r="G3617" i="1"/>
  <c r="G3619" i="1"/>
  <c r="G3621" i="1"/>
  <c r="G3623" i="1"/>
  <c r="G3625" i="1"/>
  <c r="G3627" i="1"/>
  <c r="G3629" i="1"/>
  <c r="G3631" i="1"/>
  <c r="G3633" i="1"/>
  <c r="G3654" i="1"/>
  <c r="G3655" i="1"/>
  <c r="G3656" i="1"/>
  <c r="G3661" i="1"/>
  <c r="G3672" i="1"/>
  <c r="G3678" i="1"/>
  <c r="G3680" i="1"/>
  <c r="G3681" i="1"/>
  <c r="G3682" i="1"/>
  <c r="G3684" i="1"/>
  <c r="G3686" i="1"/>
  <c r="G3687" i="1"/>
  <c r="G3688" i="1"/>
  <c r="G3690" i="1"/>
  <c r="G3691" i="1"/>
  <c r="G3692" i="1"/>
  <c r="G3693" i="1"/>
  <c r="G3694" i="1"/>
  <c r="G3696" i="1"/>
  <c r="G3698" i="1"/>
  <c r="G3699" i="1"/>
  <c r="G3700" i="1"/>
  <c r="G3702" i="1"/>
  <c r="G3704" i="1"/>
  <c r="G3705" i="1"/>
  <c r="G3706" i="1"/>
  <c r="G3708" i="1"/>
  <c r="G3710" i="1"/>
  <c r="G3711" i="1"/>
  <c r="G3712" i="1"/>
  <c r="G3714" i="1"/>
  <c r="G3729" i="1"/>
  <c r="G3733" i="1"/>
  <c r="G3735" i="1"/>
  <c r="G3759" i="1"/>
  <c r="G3761" i="1"/>
  <c r="G3763" i="1"/>
  <c r="G3765" i="1"/>
  <c r="G3766" i="1"/>
  <c r="G3767" i="1"/>
  <c r="G3769" i="1"/>
  <c r="G3771" i="1"/>
  <c r="G3773" i="1"/>
  <c r="G3777" i="1"/>
  <c r="G3778" i="1"/>
  <c r="G3779" i="1"/>
  <c r="G3783" i="1"/>
  <c r="G3784" i="1"/>
  <c r="G3785" i="1"/>
  <c r="G3787" i="1"/>
  <c r="G3789" i="1"/>
  <c r="G3790" i="1"/>
  <c r="G3791" i="1"/>
  <c r="G3795" i="1"/>
  <c r="G3814" i="1"/>
  <c r="G3819" i="1"/>
  <c r="G3824" i="1"/>
  <c r="G3840" i="1"/>
  <c r="G3841" i="1"/>
  <c r="G3842" i="1"/>
  <c r="G3844" i="1"/>
  <c r="G3845" i="1"/>
  <c r="G3846" i="1"/>
  <c r="G3848" i="1"/>
  <c r="G3850" i="1"/>
  <c r="G3851" i="1"/>
  <c r="G3852" i="1"/>
  <c r="G3854" i="1"/>
  <c r="G3856" i="1"/>
  <c r="G3857" i="1"/>
  <c r="G3858" i="1"/>
  <c r="G3860" i="1"/>
  <c r="G3862" i="1"/>
  <c r="G3863" i="1"/>
  <c r="G3864" i="1"/>
  <c r="G3866" i="1"/>
  <c r="G3868" i="1"/>
  <c r="G3869" i="1"/>
  <c r="G3870" i="1"/>
  <c r="G3872" i="1"/>
  <c r="G3874" i="1"/>
  <c r="G3875" i="1"/>
  <c r="G3876" i="1"/>
  <c r="G3897" i="1"/>
  <c r="G3898" i="1"/>
  <c r="G3899" i="1"/>
  <c r="G3904" i="1"/>
  <c r="G3909" i="1"/>
  <c r="G3912" i="1"/>
  <c r="G3916" i="1"/>
  <c r="G3921" i="1"/>
  <c r="G3923" i="1"/>
  <c r="G3924" i="1"/>
  <c r="G3925" i="1"/>
  <c r="G3927" i="1"/>
  <c r="G3929" i="1"/>
  <c r="G3930" i="1"/>
  <c r="G3931" i="1"/>
  <c r="G3933" i="1"/>
  <c r="G3935" i="1"/>
  <c r="G3936" i="1"/>
  <c r="G3937" i="1"/>
  <c r="G3939" i="1"/>
  <c r="G3941" i="1"/>
  <c r="G3942" i="1"/>
  <c r="G3943" i="1"/>
  <c r="G3945" i="1"/>
  <c r="G3947" i="1"/>
  <c r="G3948" i="1"/>
  <c r="G3949" i="1"/>
  <c r="G3951" i="1"/>
  <c r="G3953" i="1"/>
  <c r="G3954" i="1"/>
  <c r="G3955" i="1"/>
  <c r="G3957" i="1"/>
  <c r="G3976" i="1"/>
  <c r="G3977" i="1"/>
  <c r="G3978" i="1"/>
  <c r="G3985" i="1"/>
  <c r="G3990" i="1"/>
  <c r="G3991" i="1"/>
  <c r="G4002" i="1"/>
  <c r="G4003" i="1"/>
  <c r="G4004" i="1"/>
  <c r="G4008" i="1"/>
  <c r="G4009" i="1"/>
  <c r="G4010" i="1"/>
  <c r="G4013" i="1"/>
  <c r="G4014" i="1"/>
  <c r="G4015" i="1"/>
  <c r="G4016" i="1"/>
  <c r="G4020" i="1"/>
  <c r="G4021" i="1"/>
  <c r="G4022" i="1"/>
  <c r="G4026" i="1"/>
  <c r="G4028" i="1"/>
  <c r="G4032" i="1"/>
  <c r="G4033" i="1"/>
  <c r="G4034" i="1"/>
  <c r="G4038" i="1"/>
  <c r="G1961" i="1"/>
  <c r="G2458" i="1"/>
  <c r="G1383" i="1"/>
  <c r="G1545" i="1"/>
  <c r="G1626" i="1"/>
  <c r="G1788" i="1"/>
  <c r="G1869" i="1"/>
  <c r="G2031" i="1"/>
  <c r="G2112" i="1"/>
  <c r="G2274" i="1"/>
  <c r="G2355" i="1"/>
  <c r="G2517" i="1"/>
  <c r="G2598" i="1"/>
  <c r="G2760" i="1"/>
  <c r="G2841" i="1"/>
  <c r="G3003" i="1"/>
  <c r="G3084" i="1"/>
  <c r="G3246" i="1"/>
  <c r="G3327" i="1"/>
  <c r="G3489" i="1"/>
  <c r="G3570" i="1"/>
  <c r="G3732" i="1"/>
  <c r="G3813" i="1"/>
  <c r="G2780" i="1"/>
  <c r="G3243" i="1"/>
  <c r="G2773" i="1"/>
  <c r="G3174" i="1"/>
  <c r="G2945" i="1"/>
  <c r="G3012" i="1"/>
  <c r="G3107" i="1"/>
  <c r="G3161" i="1"/>
  <c r="G3417" i="1"/>
  <c r="G3728" i="1"/>
  <c r="G3837" i="1"/>
  <c r="G1302" i="1"/>
  <c r="G2432" i="1"/>
  <c r="G2701" i="1"/>
  <c r="G3019" i="1"/>
  <c r="G425" i="1"/>
  <c r="G1724" i="1"/>
  <c r="G1460" i="1"/>
  <c r="G1808" i="1"/>
  <c r="G2372" i="1"/>
  <c r="G2435" i="1"/>
  <c r="G2459" i="1"/>
  <c r="G2514" i="1"/>
  <c r="G2676" i="1"/>
  <c r="G2689" i="1"/>
  <c r="G2695" i="1"/>
  <c r="G2769" i="1"/>
  <c r="G2775" i="1"/>
  <c r="G2779" i="1"/>
  <c r="G2840" i="1"/>
  <c r="G2853" i="1"/>
  <c r="G2858" i="1"/>
  <c r="G2859" i="1"/>
  <c r="G2861" i="1"/>
  <c r="G2919" i="1"/>
  <c r="G2931" i="1"/>
  <c r="G2933" i="1"/>
  <c r="G2937" i="1"/>
  <c r="G2939" i="1"/>
  <c r="G2940" i="1"/>
  <c r="G2944" i="1"/>
  <c r="G3000" i="1"/>
  <c r="G3013" i="1"/>
  <c r="G3022" i="1"/>
  <c r="G3024" i="1"/>
  <c r="G3083" i="1"/>
  <c r="G3096" i="1"/>
  <c r="G3102" i="1"/>
  <c r="G3104" i="1"/>
  <c r="G3163" i="1"/>
  <c r="G3176" i="1"/>
  <c r="G3180" i="1"/>
  <c r="G3183" i="1"/>
  <c r="G3186" i="1"/>
  <c r="G3242" i="1"/>
  <c r="G3255" i="1"/>
  <c r="G3256" i="1"/>
  <c r="G3265" i="1"/>
  <c r="G3268" i="1"/>
  <c r="G3325" i="1"/>
  <c r="G3326" i="1"/>
  <c r="G3338" i="1"/>
  <c r="G3339" i="1"/>
  <c r="G3340" i="1"/>
  <c r="G3346" i="1"/>
  <c r="G3407" i="1"/>
  <c r="G3426" i="1"/>
  <c r="G3429" i="1"/>
  <c r="G3430" i="1"/>
  <c r="G3431" i="1"/>
  <c r="G3498" i="1"/>
  <c r="G3509" i="1"/>
  <c r="G3578" i="1"/>
  <c r="G3581" i="1"/>
  <c r="G3593" i="1"/>
  <c r="G3650" i="1"/>
  <c r="G3669" i="1"/>
  <c r="G3745" i="1"/>
  <c r="G3754" i="1"/>
  <c r="G3832" i="1"/>
  <c r="G3972" i="1"/>
  <c r="G1316" i="1"/>
  <c r="G1401" i="1"/>
  <c r="G1485" i="1"/>
  <c r="G2208" i="1"/>
  <c r="G1480" i="1"/>
  <c r="G1644" i="1"/>
  <c r="G1706" i="1"/>
  <c r="G2053" i="1"/>
  <c r="G2132" i="1"/>
  <c r="G2776" i="1"/>
  <c r="G2860" i="1"/>
  <c r="G2920" i="1"/>
  <c r="G3103" i="1"/>
  <c r="G3162" i="1"/>
  <c r="G3182" i="1"/>
  <c r="G3187" i="1"/>
  <c r="G3341" i="1"/>
  <c r="G3344" i="1"/>
  <c r="G3349" i="1"/>
  <c r="G3424" i="1"/>
  <c r="G3432" i="1"/>
  <c r="G3499" i="1"/>
  <c r="G3503" i="1"/>
  <c r="G3505" i="1"/>
  <c r="G3508" i="1"/>
  <c r="G3511" i="1"/>
  <c r="G3584" i="1"/>
  <c r="G3587" i="1"/>
  <c r="G3663" i="1"/>
  <c r="G3666" i="1"/>
  <c r="G3674" i="1"/>
  <c r="G3742" i="1"/>
  <c r="G3747" i="1"/>
  <c r="G3753" i="1"/>
  <c r="G3812" i="1"/>
  <c r="G3821" i="1"/>
  <c r="G3826" i="1"/>
  <c r="G3830" i="1"/>
  <c r="G3833" i="1"/>
  <c r="G3836" i="1"/>
  <c r="G3890" i="1"/>
  <c r="G3892" i="1"/>
  <c r="G3903" i="1"/>
  <c r="G3905" i="1"/>
  <c r="G3910" i="1"/>
  <c r="G3918" i="1"/>
  <c r="G3971" i="1"/>
  <c r="G3983" i="1"/>
  <c r="G3984" i="1"/>
  <c r="G3988" i="1"/>
  <c r="G3989" i="1"/>
  <c r="G3994" i="1"/>
  <c r="G3995" i="1"/>
  <c r="G3996" i="1"/>
  <c r="G3997" i="1"/>
  <c r="G2290" i="1"/>
  <c r="G2688" i="1"/>
  <c r="G2691" i="1"/>
  <c r="G3016" i="1"/>
  <c r="G3023" i="1"/>
  <c r="G3177" i="1"/>
  <c r="G3185" i="1"/>
  <c r="G3188" i="1"/>
  <c r="G3244" i="1"/>
  <c r="G3259" i="1"/>
  <c r="G3351" i="1"/>
  <c r="G3404" i="1"/>
  <c r="G3420" i="1"/>
  <c r="G3425" i="1"/>
  <c r="G3485" i="1"/>
  <c r="G3497" i="1"/>
  <c r="G3504" i="1"/>
  <c r="G3590" i="1"/>
  <c r="G3648" i="1"/>
  <c r="G3660" i="1"/>
  <c r="G3662" i="1"/>
  <c r="G3665" i="1"/>
  <c r="G3668" i="1"/>
  <c r="G3673" i="1"/>
  <c r="G3741" i="1"/>
  <c r="G3751" i="1"/>
  <c r="G3822" i="1"/>
  <c r="G3825" i="1"/>
  <c r="G3893" i="1"/>
  <c r="G3906" i="1"/>
  <c r="G3911" i="1"/>
  <c r="G3917" i="1"/>
  <c r="G2531" i="1"/>
  <c r="G2774" i="1"/>
  <c r="G2838" i="1"/>
  <c r="G2854" i="1"/>
  <c r="G2918" i="1"/>
  <c r="G2934" i="1"/>
  <c r="G2946" i="1"/>
  <c r="G3011" i="1"/>
  <c r="G3021" i="1"/>
  <c r="G3101" i="1"/>
  <c r="G3164" i="1"/>
  <c r="G3175" i="1"/>
  <c r="G3262" i="1"/>
  <c r="G3406" i="1"/>
  <c r="G3419" i="1"/>
  <c r="G3423" i="1"/>
  <c r="G3510" i="1"/>
  <c r="G3589" i="1"/>
  <c r="G3647" i="1"/>
  <c r="G3667" i="1"/>
  <c r="G3675" i="1"/>
  <c r="G3748" i="1"/>
  <c r="G3811" i="1"/>
  <c r="G3827" i="1"/>
  <c r="G3831" i="1"/>
  <c r="G3915" i="1"/>
  <c r="G225" i="1"/>
  <c r="G270" i="1"/>
  <c r="G280" i="1"/>
  <c r="G282" i="1"/>
  <c r="G290" i="1"/>
  <c r="G308" i="1"/>
  <c r="G312" i="1"/>
  <c r="G344" i="1"/>
  <c r="G346" i="1"/>
  <c r="G369" i="1"/>
  <c r="G393" i="1"/>
  <c r="G430" i="1"/>
  <c r="G435" i="1"/>
  <c r="G452" i="1"/>
  <c r="G468" i="1"/>
  <c r="G490" i="1"/>
  <c r="G491" i="1"/>
  <c r="G495" i="1"/>
  <c r="G522" i="1"/>
  <c r="G533" i="1"/>
  <c r="G569" i="1"/>
  <c r="G593" i="1"/>
  <c r="G595" i="1"/>
  <c r="G652" i="1"/>
  <c r="G655" i="1"/>
  <c r="G674" i="1"/>
  <c r="G709" i="1"/>
  <c r="G711" i="1"/>
  <c r="G776" i="1"/>
  <c r="G778" i="1"/>
  <c r="G783" i="1"/>
  <c r="G826" i="1"/>
  <c r="G835" i="1"/>
  <c r="G851" i="1"/>
  <c r="G856" i="1"/>
  <c r="G921" i="1"/>
  <c r="G953" i="1"/>
  <c r="G976" i="1"/>
  <c r="G977" i="1"/>
  <c r="G1035" i="1"/>
  <c r="G1096" i="1"/>
  <c r="G1102" i="1"/>
  <c r="G1138" i="1"/>
  <c r="G1152" i="1"/>
  <c r="G1159" i="1"/>
  <c r="G1185" i="1"/>
  <c r="G1202" i="1"/>
  <c r="G1219" i="1"/>
  <c r="G1226" i="1"/>
  <c r="E131" i="69"/>
  <c r="D131" i="69"/>
  <c r="H36" i="69"/>
  <c r="D36" i="69"/>
  <c r="H40" i="69"/>
  <c r="D40" i="69"/>
  <c r="H44" i="69"/>
  <c r="D44" i="69"/>
  <c r="H48" i="69"/>
  <c r="D48" i="69"/>
  <c r="H37" i="69"/>
  <c r="D37" i="69"/>
  <c r="H41" i="69"/>
  <c r="D41" i="69"/>
  <c r="E121" i="69"/>
  <c r="D121" i="69"/>
  <c r="H129" i="69"/>
  <c r="D129" i="69"/>
  <c r="H137" i="69"/>
  <c r="D137" i="69"/>
  <c r="H145" i="69"/>
  <c r="D145" i="69"/>
  <c r="H149" i="69"/>
  <c r="D149" i="69"/>
  <c r="H153" i="69"/>
  <c r="D153" i="69"/>
  <c r="H157" i="69"/>
  <c r="D157" i="69"/>
  <c r="H161" i="69"/>
  <c r="D161" i="69"/>
  <c r="H165" i="69"/>
  <c r="D165" i="69"/>
  <c r="H169" i="69"/>
  <c r="D169" i="69"/>
  <c r="H173" i="69"/>
  <c r="D173" i="69"/>
  <c r="H177" i="69"/>
  <c r="D177" i="69"/>
  <c r="H181" i="69"/>
  <c r="D181" i="69"/>
  <c r="H185" i="69"/>
  <c r="D185" i="69"/>
  <c r="H189" i="69"/>
  <c r="D189" i="69"/>
  <c r="H193" i="69"/>
  <c r="D193" i="69"/>
  <c r="H197" i="69"/>
  <c r="D197" i="69"/>
  <c r="E40" i="69"/>
  <c r="H38" i="69"/>
  <c r="D38" i="69"/>
  <c r="H42" i="69"/>
  <c r="D42" i="69"/>
  <c r="H46" i="69"/>
  <c r="D46" i="69"/>
  <c r="H50" i="69"/>
  <c r="D50" i="69"/>
  <c r="E58" i="69"/>
  <c r="D58" i="69"/>
  <c r="E66" i="69"/>
  <c r="D66" i="69"/>
  <c r="E74" i="69"/>
  <c r="D74" i="69"/>
  <c r="E82" i="69"/>
  <c r="D82" i="69"/>
  <c r="E90" i="69"/>
  <c r="D90" i="69"/>
  <c r="E98" i="69"/>
  <c r="D98" i="69"/>
  <c r="E106" i="69"/>
  <c r="D106" i="69"/>
  <c r="E114" i="69"/>
  <c r="D114" i="69"/>
  <c r="E122" i="69"/>
  <c r="D122" i="69"/>
  <c r="E42" i="69"/>
  <c r="H33" i="69"/>
  <c r="D33" i="69"/>
  <c r="H32" i="69"/>
  <c r="D32" i="69"/>
  <c r="H30" i="69"/>
  <c r="D30" i="69"/>
  <c r="H29" i="69"/>
  <c r="D29" i="69"/>
  <c r="H28" i="69"/>
  <c r="D28" i="69"/>
  <c r="H26" i="69"/>
  <c r="D26" i="69"/>
  <c r="H25" i="69"/>
  <c r="D25" i="69"/>
  <c r="H24" i="69"/>
  <c r="D24" i="69"/>
  <c r="H22" i="69"/>
  <c r="D22" i="69"/>
  <c r="H21" i="69"/>
  <c r="D21" i="69"/>
  <c r="H18" i="69"/>
  <c r="D18" i="69"/>
  <c r="K22" i="69" s="1"/>
  <c r="E24" i="69"/>
  <c r="E32" i="69"/>
  <c r="E30" i="69"/>
  <c r="E26" i="69"/>
  <c r="E22" i="69"/>
  <c r="G897" i="1"/>
  <c r="G183" i="1"/>
  <c r="G184" i="1"/>
  <c r="G187" i="1"/>
  <c r="G245" i="1"/>
  <c r="G247" i="1"/>
  <c r="G248" i="1"/>
  <c r="G255" i="1"/>
  <c r="G258" i="1"/>
  <c r="G266" i="1"/>
  <c r="G268" i="1"/>
  <c r="G272" i="1"/>
  <c r="G273" i="1"/>
  <c r="G281" i="1"/>
  <c r="G287" i="1"/>
  <c r="G305" i="1"/>
  <c r="G311" i="1"/>
  <c r="G327" i="1"/>
  <c r="G328" i="1"/>
  <c r="G343" i="1"/>
  <c r="G347" i="1"/>
  <c r="G349" i="1"/>
  <c r="G350" i="1"/>
  <c r="G351" i="1"/>
  <c r="G352" i="1"/>
  <c r="G353" i="1"/>
  <c r="G372" i="1"/>
  <c r="G378" i="1"/>
  <c r="G388" i="1"/>
  <c r="G409" i="1"/>
  <c r="G410" i="1"/>
  <c r="G420" i="1"/>
  <c r="G424" i="1"/>
  <c r="G426" i="1"/>
  <c r="G428" i="1"/>
  <c r="G429" i="1"/>
  <c r="G431" i="1"/>
  <c r="G432" i="1"/>
  <c r="G433" i="1"/>
  <c r="G434" i="1"/>
  <c r="G444" i="1"/>
  <c r="G445" i="1"/>
  <c r="G451" i="1"/>
  <c r="G456" i="1"/>
  <c r="G469" i="1"/>
  <c r="G488" i="1"/>
  <c r="G489" i="1"/>
  <c r="G492" i="1"/>
  <c r="G498" i="1"/>
  <c r="G501" i="1"/>
  <c r="G502" i="1"/>
  <c r="G505" i="1"/>
  <c r="G509" i="1"/>
  <c r="G511" i="1"/>
  <c r="G513" i="1"/>
  <c r="G514" i="1"/>
  <c r="G515" i="1"/>
  <c r="G516" i="1"/>
  <c r="G523" i="1"/>
  <c r="G524" i="1"/>
  <c r="G531" i="1"/>
  <c r="G536" i="1"/>
  <c r="G546" i="1"/>
  <c r="G547" i="1"/>
  <c r="G548" i="1"/>
  <c r="G549" i="1"/>
  <c r="G570" i="1"/>
  <c r="G571" i="1"/>
  <c r="G582" i="1"/>
  <c r="G583" i="1"/>
  <c r="G587" i="1"/>
  <c r="G588" i="1"/>
  <c r="G589" i="1"/>
  <c r="G590" i="1"/>
  <c r="G594" i="1"/>
  <c r="G596" i="1"/>
  <c r="G600" i="1"/>
  <c r="G607" i="1"/>
  <c r="G608" i="1"/>
  <c r="G609" i="1"/>
  <c r="G613" i="1"/>
  <c r="G615" i="1"/>
  <c r="G619" i="1"/>
  <c r="G620" i="1"/>
  <c r="G621" i="1"/>
  <c r="G622" i="1"/>
  <c r="G631" i="1"/>
  <c r="G650" i="1"/>
  <c r="G653" i="1"/>
  <c r="G660" i="1"/>
  <c r="G663" i="1"/>
  <c r="G665" i="1"/>
  <c r="G668" i="1"/>
  <c r="G669" i="1"/>
  <c r="G671" i="1"/>
  <c r="G673" i="1"/>
  <c r="G675" i="1"/>
  <c r="G677" i="1"/>
  <c r="G678" i="1"/>
  <c r="G686" i="1"/>
  <c r="G687" i="1"/>
  <c r="G688" i="1"/>
  <c r="G689" i="1"/>
  <c r="G691" i="1"/>
  <c r="G694" i="1"/>
  <c r="G695" i="1"/>
  <c r="G697" i="1"/>
  <c r="G699" i="1"/>
  <c r="G700" i="1"/>
  <c r="G701" i="1"/>
  <c r="G703" i="1"/>
  <c r="G705" i="1"/>
  <c r="G710" i="1"/>
  <c r="G712" i="1"/>
  <c r="G713" i="1"/>
  <c r="G715" i="1"/>
  <c r="G717" i="1"/>
  <c r="G732" i="1"/>
  <c r="G733" i="1"/>
  <c r="G734" i="1"/>
  <c r="G741" i="1"/>
  <c r="G748" i="1"/>
  <c r="G751" i="1"/>
  <c r="G752" i="1"/>
  <c r="G753" i="1"/>
  <c r="G759" i="1"/>
  <c r="G766" i="1"/>
  <c r="G767" i="1"/>
  <c r="G771" i="1"/>
  <c r="G774" i="1"/>
  <c r="G779" i="1"/>
  <c r="G780" i="1"/>
  <c r="G784" i="1"/>
  <c r="G790" i="1"/>
  <c r="G791" i="1"/>
  <c r="G792" i="1"/>
  <c r="G795" i="1"/>
  <c r="G798" i="1"/>
  <c r="G813" i="1"/>
  <c r="G816" i="1"/>
  <c r="G817" i="1"/>
  <c r="G824" i="1"/>
  <c r="G825" i="1"/>
  <c r="G833" i="1"/>
  <c r="G836" i="1"/>
  <c r="G837" i="1"/>
  <c r="G838" i="1"/>
  <c r="G839" i="1"/>
  <c r="G840" i="1"/>
  <c r="G847" i="1"/>
  <c r="G849" i="1"/>
  <c r="G850" i="1"/>
  <c r="G852" i="1"/>
  <c r="G855" i="1"/>
  <c r="G857" i="1"/>
  <c r="G858" i="1"/>
  <c r="G859" i="1"/>
  <c r="G861" i="1"/>
  <c r="G862" i="1"/>
  <c r="G863" i="1"/>
  <c r="G864" i="1"/>
  <c r="G865" i="1"/>
  <c r="G873" i="1"/>
  <c r="G875" i="1"/>
  <c r="G876" i="1"/>
  <c r="G879" i="1"/>
  <c r="G893" i="1"/>
  <c r="G895" i="1"/>
  <c r="G896" i="1"/>
  <c r="G899" i="1"/>
  <c r="G905" i="1"/>
  <c r="G906" i="1"/>
  <c r="G908" i="1"/>
  <c r="G911" i="1"/>
  <c r="G912" i="1"/>
  <c r="G914" i="1"/>
  <c r="G917" i="1"/>
  <c r="G918" i="1"/>
  <c r="G920" i="1"/>
  <c r="G929" i="1"/>
  <c r="G930" i="1"/>
  <c r="G931" i="1"/>
  <c r="G932" i="1"/>
  <c r="G934" i="1"/>
  <c r="G937" i="1"/>
  <c r="G938" i="1"/>
  <c r="G940" i="1"/>
  <c r="G943" i="1"/>
  <c r="G944" i="1"/>
  <c r="G946" i="1"/>
  <c r="G947" i="1"/>
  <c r="G955" i="1"/>
  <c r="G956" i="1"/>
  <c r="G958" i="1"/>
  <c r="G960" i="1"/>
  <c r="G975" i="1"/>
  <c r="G978" i="1"/>
  <c r="G986" i="1"/>
  <c r="G989" i="1"/>
  <c r="G990" i="1"/>
  <c r="G995" i="1"/>
  <c r="G997" i="1"/>
  <c r="G999" i="1"/>
  <c r="G1000" i="1"/>
  <c r="G1001" i="1"/>
  <c r="G1002" i="1"/>
  <c r="G1010" i="1"/>
  <c r="G1015" i="1"/>
  <c r="G1016" i="1"/>
  <c r="G1019" i="1"/>
  <c r="G1020" i="1"/>
  <c r="G1021" i="1"/>
  <c r="G1023" i="1"/>
  <c r="G1025" i="1"/>
  <c r="G1026" i="1"/>
  <c r="G1027" i="1"/>
  <c r="G1034" i="1"/>
  <c r="G1039" i="1"/>
  <c r="G1040" i="1"/>
  <c r="G1041" i="1"/>
  <c r="G1057" i="1"/>
  <c r="G1068" i="1"/>
  <c r="G1070" i="1"/>
  <c r="G1079" i="1"/>
  <c r="G1081" i="1"/>
  <c r="G1082" i="1"/>
  <c r="G1092" i="1"/>
  <c r="G1101" i="1"/>
  <c r="G1105" i="1"/>
  <c r="G1108" i="1"/>
  <c r="G1118" i="1"/>
  <c r="G1136" i="1"/>
  <c r="G1145" i="1"/>
  <c r="G1146" i="1"/>
  <c r="G1148" i="1"/>
  <c r="G1161" i="1"/>
  <c r="G1163" i="1"/>
  <c r="G1164" i="1"/>
  <c r="G1174" i="1"/>
  <c r="G1178" i="1"/>
  <c r="G1179" i="1"/>
  <c r="G1183" i="1"/>
  <c r="G1189" i="1"/>
  <c r="G1193" i="1"/>
  <c r="G1196" i="1"/>
  <c r="G1198" i="1"/>
  <c r="G1218" i="1"/>
  <c r="G1220" i="1"/>
  <c r="G1227" i="1"/>
  <c r="G1230" i="1"/>
  <c r="G1232" i="1"/>
  <c r="G1236" i="1"/>
  <c r="G1238" i="1"/>
  <c r="G1240" i="1"/>
  <c r="G1243" i="1"/>
  <c r="G1250" i="1"/>
  <c r="G1254" i="1"/>
  <c r="G1258" i="1"/>
  <c r="G1259" i="1"/>
  <c r="G1262" i="1"/>
  <c r="G1263" i="1"/>
  <c r="G1270" i="1"/>
  <c r="G1274" i="1"/>
  <c r="G1275" i="1"/>
  <c r="G1277" i="1"/>
  <c r="G1278" i="1"/>
  <c r="G1282" i="1"/>
  <c r="G1283" i="1"/>
  <c r="G1284" i="1"/>
  <c r="G1298" i="1"/>
  <c r="G1299" i="1"/>
  <c r="G1300" i="1"/>
  <c r="G1312" i="1"/>
  <c r="G1313" i="1"/>
  <c r="G1325" i="1"/>
  <c r="G1332" i="1"/>
  <c r="G1338" i="1"/>
  <c r="G1344" i="1"/>
  <c r="G1350" i="1"/>
  <c r="G1356" i="1"/>
  <c r="G1362" i="1"/>
  <c r="G1379" i="1"/>
  <c r="G1404" i="1"/>
  <c r="G1423" i="1"/>
  <c r="G1477" i="1"/>
  <c r="G1496" i="1"/>
  <c r="G1520" i="1"/>
  <c r="G1526" i="1"/>
  <c r="G1562" i="1"/>
  <c r="G1568" i="1"/>
  <c r="G1581" i="1"/>
  <c r="G1587" i="1"/>
  <c r="G1593" i="1"/>
  <c r="G1599" i="1"/>
  <c r="G1605" i="1"/>
  <c r="G1622" i="1"/>
  <c r="G1628" i="1"/>
  <c r="G1635" i="1"/>
  <c r="G1641" i="1"/>
  <c r="G1647" i="1"/>
  <c r="G1654" i="1"/>
  <c r="G1660" i="1"/>
  <c r="G231" i="1"/>
  <c r="G292" i="1"/>
  <c r="G294" i="1"/>
  <c r="G296" i="1"/>
  <c r="G297" i="1"/>
  <c r="G304" i="1"/>
  <c r="G306" i="1"/>
  <c r="G364" i="1"/>
  <c r="G375" i="1"/>
  <c r="G377" i="1"/>
  <c r="G389" i="1"/>
  <c r="G1666" i="1"/>
  <c r="G1672" i="1"/>
  <c r="G1678" i="1"/>
  <c r="G1684" i="1"/>
  <c r="G1713" i="1"/>
  <c r="G1720" i="1"/>
  <c r="G1726" i="1"/>
  <c r="G1739" i="1"/>
  <c r="G1751" i="1"/>
  <c r="G1757" i="1"/>
  <c r="G1763" i="1"/>
  <c r="G1769" i="1"/>
  <c r="G1786" i="1"/>
  <c r="G1792" i="1"/>
  <c r="G1805" i="1"/>
  <c r="G1811" i="1"/>
  <c r="G1818" i="1"/>
  <c r="G1824" i="1"/>
  <c r="G1830" i="1"/>
  <c r="G1836" i="1"/>
  <c r="G1842" i="1"/>
  <c r="G1848" i="1"/>
  <c r="G1865" i="1"/>
  <c r="G1871" i="1"/>
  <c r="G1878" i="1"/>
  <c r="G1884" i="1"/>
  <c r="G1890" i="1"/>
  <c r="G1897" i="1"/>
  <c r="G1903" i="1"/>
  <c r="G1909" i="1"/>
  <c r="G1915" i="1"/>
  <c r="G1921" i="1"/>
  <c r="G1927" i="1"/>
  <c r="G1956" i="1"/>
  <c r="G1963" i="1"/>
  <c r="G1969" i="1"/>
  <c r="G1982" i="1"/>
  <c r="G1988" i="1"/>
  <c r="G1994" i="1"/>
  <c r="G2000" i="1"/>
  <c r="G2006" i="1"/>
  <c r="G2012" i="1"/>
  <c r="G2029" i="1"/>
  <c r="G2035" i="1"/>
  <c r="G2042" i="1"/>
  <c r="G2048" i="1"/>
  <c r="G2054" i="1"/>
  <c r="G2061" i="1"/>
  <c r="G2067" i="1"/>
  <c r="G2073" i="1"/>
  <c r="G2079" i="1"/>
  <c r="G2085" i="1"/>
  <c r="G2091" i="1"/>
  <c r="G2108" i="1"/>
  <c r="G2114" i="1"/>
  <c r="G2121" i="1"/>
  <c r="G2127" i="1"/>
  <c r="G2133" i="1"/>
  <c r="G2140" i="1"/>
  <c r="G2146" i="1"/>
  <c r="G2152" i="1"/>
  <c r="G2158" i="1"/>
  <c r="G2164" i="1"/>
  <c r="G2170" i="1"/>
  <c r="G2206" i="1"/>
  <c r="G2212" i="1"/>
  <c r="G2225" i="1"/>
  <c r="G2231" i="1"/>
  <c r="G2237" i="1"/>
  <c r="G2243" i="1"/>
  <c r="G2249" i="1"/>
  <c r="G2255" i="1"/>
  <c r="G2272" i="1"/>
  <c r="G2278" i="1"/>
  <c r="G2285" i="1"/>
  <c r="G2291" i="1"/>
  <c r="G2297" i="1"/>
  <c r="G2304" i="1"/>
  <c r="G2310" i="1"/>
  <c r="G2316" i="1"/>
  <c r="G2322" i="1"/>
  <c r="G2328" i="1"/>
  <c r="G2334" i="1"/>
  <c r="G2351" i="1"/>
  <c r="G2357" i="1"/>
  <c r="G2364" i="1"/>
  <c r="G2370" i="1"/>
  <c r="G2376" i="1"/>
  <c r="G2383" i="1"/>
  <c r="G2389" i="1"/>
  <c r="G2395" i="1"/>
  <c r="G2401" i="1"/>
  <c r="G2407" i="1"/>
  <c r="G2413" i="1"/>
  <c r="G2442" i="1"/>
  <c r="G2449" i="1"/>
  <c r="G2455" i="1"/>
  <c r="G2468" i="1"/>
  <c r="G2474" i="1"/>
  <c r="G2480" i="1"/>
  <c r="G2486" i="1"/>
  <c r="G2492" i="1"/>
  <c r="G2498" i="1"/>
  <c r="G2515" i="1"/>
  <c r="G2521" i="1"/>
  <c r="G2528" i="1"/>
  <c r="G2534" i="1"/>
  <c r="G2540" i="1"/>
  <c r="G2547" i="1"/>
  <c r="G2553" i="1"/>
  <c r="G2559" i="1"/>
  <c r="G2565" i="1"/>
  <c r="G2571" i="1"/>
  <c r="G2577" i="1"/>
  <c r="G2594" i="1"/>
  <c r="G2600" i="1"/>
  <c r="G2607" i="1"/>
  <c r="G2613" i="1"/>
  <c r="G2619" i="1"/>
  <c r="G2626" i="1"/>
  <c r="G2632" i="1"/>
  <c r="G2638" i="1"/>
  <c r="G2644" i="1"/>
  <c r="G2650" i="1"/>
  <c r="G2656" i="1"/>
  <c r="G2685" i="1"/>
  <c r="G2692" i="1"/>
  <c r="G2698" i="1"/>
  <c r="G2711" i="1"/>
  <c r="G2717" i="1"/>
  <c r="G2723" i="1"/>
  <c r="G2729" i="1"/>
  <c r="G2735" i="1"/>
  <c r="G2741" i="1"/>
  <c r="G2758" i="1"/>
  <c r="G2764" i="1"/>
  <c r="G2771" i="1"/>
  <c r="G2777" i="1"/>
  <c r="G2783" i="1"/>
  <c r="G2790" i="1"/>
  <c r="G2796" i="1"/>
  <c r="G2802" i="1"/>
  <c r="G2808" i="1"/>
  <c r="G2814" i="1"/>
  <c r="G2820" i="1"/>
  <c r="G2837" i="1"/>
  <c r="G2843" i="1"/>
  <c r="G2850" i="1"/>
  <c r="G2856" i="1"/>
  <c r="G2862" i="1"/>
  <c r="G2869" i="1"/>
  <c r="G2875" i="1"/>
  <c r="G2881" i="1"/>
  <c r="G2887" i="1"/>
  <c r="G2893" i="1"/>
  <c r="G2899" i="1"/>
  <c r="G2928" i="1"/>
  <c r="G2935" i="1"/>
  <c r="G2941" i="1"/>
  <c r="G2954" i="1"/>
  <c r="G2960" i="1"/>
  <c r="G2966" i="1"/>
  <c r="G2972" i="1"/>
  <c r="G2978" i="1"/>
  <c r="G2984" i="1"/>
  <c r="G3001" i="1"/>
  <c r="G3014" i="1"/>
  <c r="G3020" i="1"/>
  <c r="G3026" i="1"/>
  <c r="G3033" i="1"/>
  <c r="G3039" i="1"/>
  <c r="G3045" i="1"/>
  <c r="G3051" i="1"/>
  <c r="G3057" i="1"/>
  <c r="G3080" i="1"/>
  <c r="G3086" i="1"/>
  <c r="G3093" i="1"/>
  <c r="G3099" i="1"/>
  <c r="G3105" i="1"/>
  <c r="G3112" i="1"/>
  <c r="G3118" i="1"/>
  <c r="G3124" i="1"/>
  <c r="G3130" i="1"/>
  <c r="G3136" i="1"/>
  <c r="G3142" i="1"/>
  <c r="G3171" i="1"/>
  <c r="G3178" i="1"/>
  <c r="G3184" i="1"/>
  <c r="G3197" i="1"/>
  <c r="G3203" i="1"/>
  <c r="G3209" i="1"/>
  <c r="G3215" i="1"/>
  <c r="G3227" i="1"/>
  <c r="G3250" i="1"/>
  <c r="G3257" i="1"/>
  <c r="G3263" i="1"/>
  <c r="G3269" i="1"/>
  <c r="G3276" i="1"/>
  <c r="G3282" i="1"/>
  <c r="G3288" i="1"/>
  <c r="G3294" i="1"/>
  <c r="G3300" i="1"/>
  <c r="G3306" i="1"/>
  <c r="G3323" i="1"/>
  <c r="G3329" i="1"/>
  <c r="G3336" i="1"/>
  <c r="G3342" i="1"/>
  <c r="G3348" i="1"/>
  <c r="G3355" i="1"/>
  <c r="G3367" i="1"/>
  <c r="G3373" i="1"/>
  <c r="G3379" i="1"/>
  <c r="G3385" i="1"/>
  <c r="G3414" i="1"/>
  <c r="G3421" i="1"/>
  <c r="G3427" i="1"/>
  <c r="G3440" i="1"/>
  <c r="G3446" i="1"/>
  <c r="G3452" i="1"/>
  <c r="G3458" i="1"/>
  <c r="G3464" i="1"/>
  <c r="G3470" i="1"/>
  <c r="G3487" i="1"/>
  <c r="G3493" i="1"/>
  <c r="G3500" i="1"/>
  <c r="G3506" i="1"/>
  <c r="G3512" i="1"/>
  <c r="G3519" i="1"/>
  <c r="G3525" i="1"/>
  <c r="G3531" i="1"/>
  <c r="G3537" i="1"/>
  <c r="G3543" i="1"/>
  <c r="G3549" i="1"/>
  <c r="G3566" i="1"/>
  <c r="G3572" i="1"/>
  <c r="G3579" i="1"/>
  <c r="G3585" i="1"/>
  <c r="G3591" i="1"/>
  <c r="G3598" i="1"/>
  <c r="G3604" i="1"/>
  <c r="G3610" i="1"/>
  <c r="G3616" i="1"/>
  <c r="G3622" i="1"/>
  <c r="G3628" i="1"/>
  <c r="G3657" i="1"/>
  <c r="G3664" i="1"/>
  <c r="G3670" i="1"/>
  <c r="G3683" i="1"/>
  <c r="G3689" i="1"/>
  <c r="G3695" i="1"/>
  <c r="G3701" i="1"/>
  <c r="G3707" i="1"/>
  <c r="G3713" i="1"/>
  <c r="H51" i="69"/>
  <c r="E19" i="69"/>
  <c r="H19" i="69"/>
  <c r="H23" i="69"/>
  <c r="H27" i="69"/>
  <c r="H31" i="69"/>
  <c r="E35" i="69"/>
  <c r="H35" i="69"/>
  <c r="H39" i="69"/>
  <c r="H43" i="69"/>
  <c r="E47" i="69"/>
  <c r="H67" i="69"/>
  <c r="H83" i="69"/>
  <c r="H99" i="69"/>
  <c r="H131" i="69"/>
  <c r="H147" i="69"/>
  <c r="H163" i="69"/>
  <c r="H195" i="69"/>
  <c r="H179" i="69"/>
  <c r="H115" i="69"/>
  <c r="E20" i="69"/>
  <c r="E28" i="69"/>
  <c r="E36" i="69"/>
  <c r="E44" i="69"/>
  <c r="E132" i="69"/>
  <c r="G3730" i="1"/>
  <c r="G3736" i="1"/>
  <c r="G3743" i="1"/>
  <c r="G3749" i="1"/>
  <c r="G3755" i="1"/>
  <c r="G3762" i="1"/>
  <c r="G3768" i="1"/>
  <c r="G3774" i="1"/>
  <c r="G3780" i="1"/>
  <c r="G3786" i="1"/>
  <c r="G3792" i="1"/>
  <c r="G3809" i="1"/>
  <c r="G3815" i="1"/>
  <c r="G3828" i="1"/>
  <c r="G3834" i="1"/>
  <c r="G3847" i="1"/>
  <c r="G3853" i="1"/>
  <c r="G3859" i="1"/>
  <c r="G3865" i="1"/>
  <c r="G3871" i="1"/>
  <c r="G3900" i="1"/>
  <c r="G3907" i="1"/>
  <c r="G3913" i="1"/>
  <c r="G3926" i="1"/>
  <c r="G3932" i="1"/>
  <c r="G3938" i="1"/>
  <c r="G3944" i="1"/>
  <c r="G3950" i="1"/>
  <c r="G3956" i="1"/>
  <c r="G4005" i="1"/>
  <c r="G4011" i="1"/>
  <c r="G4017" i="1"/>
  <c r="G4023" i="1"/>
  <c r="G4029" i="1"/>
  <c r="G4035" i="1"/>
  <c r="E126" i="69"/>
  <c r="H45" i="69"/>
  <c r="H53" i="69"/>
  <c r="H61" i="69"/>
  <c r="H69" i="69"/>
  <c r="H77" i="69"/>
  <c r="H85" i="69"/>
  <c r="H93" i="69"/>
  <c r="H97" i="69"/>
  <c r="H101" i="69"/>
  <c r="H109" i="69"/>
  <c r="H117" i="69"/>
  <c r="H133" i="69"/>
  <c r="E133" i="69"/>
  <c r="E53" i="69"/>
  <c r="E61" i="69"/>
  <c r="E69" i="69"/>
  <c r="E77" i="69"/>
  <c r="E85" i="69"/>
  <c r="E93" i="69"/>
  <c r="E101" i="69"/>
  <c r="E109" i="69"/>
  <c r="E117" i="69"/>
  <c r="H54" i="69"/>
  <c r="E54" i="69"/>
  <c r="H62" i="69"/>
  <c r="E62" i="69"/>
  <c r="H70" i="69"/>
  <c r="E70" i="69"/>
  <c r="H78" i="69"/>
  <c r="E78" i="69"/>
  <c r="H86" i="69"/>
  <c r="E86" i="69"/>
  <c r="H94" i="69"/>
  <c r="E94" i="69"/>
  <c r="H102" i="69"/>
  <c r="E102" i="69"/>
  <c r="H110" i="69"/>
  <c r="E110" i="69"/>
  <c r="H118" i="69"/>
  <c r="E118" i="69"/>
  <c r="H126" i="69"/>
  <c r="E130" i="69"/>
  <c r="H134" i="69"/>
  <c r="E138" i="69"/>
  <c r="H142" i="69"/>
  <c r="E146" i="69"/>
  <c r="E150" i="69"/>
  <c r="H150" i="69"/>
  <c r="E154" i="69"/>
  <c r="E158" i="69"/>
  <c r="H158" i="69"/>
  <c r="E162" i="69"/>
  <c r="E166" i="69"/>
  <c r="H166" i="69"/>
  <c r="E170" i="69"/>
  <c r="E174" i="69"/>
  <c r="H174" i="69"/>
  <c r="E178" i="69"/>
  <c r="E182" i="69"/>
  <c r="H182" i="69"/>
  <c r="E186" i="69"/>
  <c r="E190" i="69"/>
  <c r="H190" i="69"/>
  <c r="E194" i="69"/>
  <c r="E198" i="69"/>
  <c r="H198" i="69"/>
  <c r="E45" i="69"/>
  <c r="E50" i="69"/>
  <c r="E137" i="69"/>
  <c r="E149" i="69"/>
  <c r="E157" i="69"/>
  <c r="E165" i="69"/>
  <c r="E173" i="69"/>
  <c r="E181" i="69"/>
  <c r="E189" i="69"/>
  <c r="E197" i="69"/>
  <c r="H194" i="69"/>
  <c r="H178" i="69"/>
  <c r="H162" i="69"/>
  <c r="H146" i="69"/>
  <c r="H130" i="69"/>
  <c r="H114" i="69"/>
  <c r="H98" i="69"/>
  <c r="H82" i="69"/>
  <c r="H66" i="69"/>
  <c r="H34" i="69"/>
  <c r="H47" i="69"/>
  <c r="H55" i="69"/>
  <c r="H63" i="69"/>
  <c r="H71" i="69"/>
  <c r="H79" i="69"/>
  <c r="H87" i="69"/>
  <c r="H95" i="69"/>
  <c r="H103" i="69"/>
  <c r="H111" i="69"/>
  <c r="H119" i="69"/>
  <c r="H127" i="69"/>
  <c r="E127" i="69"/>
  <c r="H135" i="69"/>
  <c r="E135" i="69"/>
  <c r="H143" i="69"/>
  <c r="E143" i="69"/>
  <c r="E147" i="69"/>
  <c r="E151" i="69"/>
  <c r="H151" i="69"/>
  <c r="E155" i="69"/>
  <c r="E159" i="69"/>
  <c r="H159" i="69"/>
  <c r="E163" i="69"/>
  <c r="E167" i="69"/>
  <c r="H167" i="69"/>
  <c r="E171" i="69"/>
  <c r="E175" i="69"/>
  <c r="H175" i="69"/>
  <c r="E179" i="69"/>
  <c r="E183" i="69"/>
  <c r="H183" i="69"/>
  <c r="E187" i="69"/>
  <c r="E191" i="69"/>
  <c r="H191" i="69"/>
  <c r="E195" i="69"/>
  <c r="E199" i="69"/>
  <c r="H199" i="69"/>
  <c r="E21" i="69"/>
  <c r="E23" i="69"/>
  <c r="E25" i="69"/>
  <c r="E27" i="69"/>
  <c r="E29" i="69"/>
  <c r="E31" i="69"/>
  <c r="E33" i="69"/>
  <c r="E37" i="69"/>
  <c r="E39" i="69"/>
  <c r="E41" i="69"/>
  <c r="E43" i="69"/>
  <c r="E48" i="69"/>
  <c r="E51" i="69"/>
  <c r="E55" i="69"/>
  <c r="E59" i="69"/>
  <c r="E63" i="69"/>
  <c r="E67" i="69"/>
  <c r="E71" i="69"/>
  <c r="E75" i="69"/>
  <c r="E79" i="69"/>
  <c r="E83" i="69"/>
  <c r="E87" i="69"/>
  <c r="E91" i="69"/>
  <c r="E95" i="69"/>
  <c r="E99" i="69"/>
  <c r="E103" i="69"/>
  <c r="E107" i="69"/>
  <c r="E111" i="69"/>
  <c r="E115" i="69"/>
  <c r="E119" i="69"/>
  <c r="E123" i="69"/>
  <c r="E134" i="69"/>
  <c r="E139" i="69"/>
  <c r="H187" i="69"/>
  <c r="H171" i="69"/>
  <c r="H155" i="69"/>
  <c r="H139" i="69"/>
  <c r="H123" i="69"/>
  <c r="H107" i="69"/>
  <c r="H91" i="69"/>
  <c r="H75" i="69"/>
  <c r="H59" i="69"/>
  <c r="H49" i="69"/>
  <c r="H57" i="69"/>
  <c r="H65" i="69"/>
  <c r="H73" i="69"/>
  <c r="H81" i="69"/>
  <c r="H89" i="69"/>
  <c r="H105" i="69"/>
  <c r="H113" i="69"/>
  <c r="H121" i="69"/>
  <c r="H125" i="69"/>
  <c r="E125" i="69"/>
  <c r="H141" i="69"/>
  <c r="E141" i="69"/>
  <c r="E57" i="69"/>
  <c r="E65" i="69"/>
  <c r="E73" i="69"/>
  <c r="E81" i="69"/>
  <c r="E89" i="69"/>
  <c r="E97" i="69"/>
  <c r="E105" i="69"/>
  <c r="E113" i="69"/>
  <c r="H20" i="69"/>
  <c r="H52" i="69"/>
  <c r="E52" i="69"/>
  <c r="H56" i="69"/>
  <c r="E56" i="69"/>
  <c r="H60" i="69"/>
  <c r="E60" i="69"/>
  <c r="H64" i="69"/>
  <c r="E64" i="69"/>
  <c r="H68" i="69"/>
  <c r="E68" i="69"/>
  <c r="H72" i="69"/>
  <c r="E72" i="69"/>
  <c r="H76" i="69"/>
  <c r="E76" i="69"/>
  <c r="H80" i="69"/>
  <c r="E80" i="69"/>
  <c r="H84" i="69"/>
  <c r="E84" i="69"/>
  <c r="H88" i="69"/>
  <c r="E88" i="69"/>
  <c r="H92" i="69"/>
  <c r="E92" i="69"/>
  <c r="H96" i="69"/>
  <c r="E96" i="69"/>
  <c r="H100" i="69"/>
  <c r="E100" i="69"/>
  <c r="H104" i="69"/>
  <c r="E104" i="69"/>
  <c r="H108" i="69"/>
  <c r="E108" i="69"/>
  <c r="H112" i="69"/>
  <c r="E112" i="69"/>
  <c r="H116" i="69"/>
  <c r="E116" i="69"/>
  <c r="H120" i="69"/>
  <c r="E120" i="69"/>
  <c r="H124" i="69"/>
  <c r="H128" i="69"/>
  <c r="E128" i="69"/>
  <c r="H132" i="69"/>
  <c r="H136" i="69"/>
  <c r="E136" i="69"/>
  <c r="H140" i="69"/>
  <c r="H144" i="69"/>
  <c r="E144" i="69"/>
  <c r="H148" i="69"/>
  <c r="E148" i="69"/>
  <c r="H152" i="69"/>
  <c r="E152" i="69"/>
  <c r="H156" i="69"/>
  <c r="E156" i="69"/>
  <c r="H160" i="69"/>
  <c r="E160" i="69"/>
  <c r="H164" i="69"/>
  <c r="E164" i="69"/>
  <c r="H168" i="69"/>
  <c r="E168" i="69"/>
  <c r="H172" i="69"/>
  <c r="E172" i="69"/>
  <c r="H176" i="69"/>
  <c r="E176" i="69"/>
  <c r="H180" i="69"/>
  <c r="E180" i="69"/>
  <c r="H184" i="69"/>
  <c r="E184" i="69"/>
  <c r="H188" i="69"/>
  <c r="E188" i="69"/>
  <c r="H192" i="69"/>
  <c r="E192" i="69"/>
  <c r="H196" i="69"/>
  <c r="E196" i="69"/>
  <c r="H200" i="69"/>
  <c r="E200" i="69"/>
  <c r="E46" i="69"/>
  <c r="E49" i="69"/>
  <c r="E124" i="69"/>
  <c r="E129" i="69"/>
  <c r="E140" i="69"/>
  <c r="E145" i="69"/>
  <c r="E153" i="69"/>
  <c r="E161" i="69"/>
  <c r="E169" i="69"/>
  <c r="E177" i="69"/>
  <c r="E185" i="69"/>
  <c r="E193" i="69"/>
  <c r="H186" i="69"/>
  <c r="H170" i="69"/>
  <c r="H154" i="69"/>
  <c r="H138" i="69"/>
  <c r="H122" i="69"/>
  <c r="H106" i="69"/>
  <c r="H90" i="69"/>
  <c r="H74" i="69"/>
  <c r="H58" i="69"/>
  <c r="H17" i="69"/>
  <c r="E17" i="69"/>
  <c r="E18" i="69"/>
  <c r="K20" i="69"/>
  <c r="F2" i="66"/>
  <c r="G246" i="1"/>
  <c r="G253" i="1"/>
  <c r="G265" i="1"/>
  <c r="G271" i="1"/>
  <c r="G279" i="1"/>
  <c r="G291" i="1"/>
  <c r="G303" i="1"/>
  <c r="G361" i="1"/>
  <c r="G370" i="1"/>
  <c r="G373" i="1"/>
  <c r="G379" i="1"/>
  <c r="G385" i="1"/>
  <c r="G417" i="1"/>
  <c r="G446" i="1"/>
  <c r="G454" i="1"/>
  <c r="G455" i="1"/>
  <c r="G458" i="1"/>
  <c r="G466" i="1"/>
  <c r="G470" i="1"/>
  <c r="G497" i="1"/>
  <c r="G519" i="1"/>
  <c r="G525" i="1"/>
  <c r="G527" i="1"/>
  <c r="G528" i="1"/>
  <c r="G537" i="1"/>
  <c r="G539" i="1"/>
  <c r="G540" i="1"/>
  <c r="G541" i="1"/>
  <c r="G551" i="1"/>
  <c r="G552" i="1"/>
  <c r="G555" i="1"/>
  <c r="G574" i="1"/>
  <c r="G330" i="1"/>
  <c r="G735" i="1"/>
  <c r="G411" i="1"/>
  <c r="G654" i="1"/>
  <c r="G1059" i="1"/>
  <c r="G770" i="1"/>
  <c r="G782" i="1"/>
  <c r="G794" i="1"/>
  <c r="G1551" i="1"/>
  <c r="G1709" i="1"/>
  <c r="G1873" i="1"/>
  <c r="G1952" i="1"/>
  <c r="G2037" i="1"/>
  <c r="G2116" i="1"/>
  <c r="G2190" i="1"/>
  <c r="G2209" i="1"/>
  <c r="G2215" i="1"/>
  <c r="G2223" i="1"/>
  <c r="G2229" i="1"/>
  <c r="G2235" i="1"/>
  <c r="G2241" i="1"/>
  <c r="G2247" i="1"/>
  <c r="G2253" i="1"/>
  <c r="G2359" i="1"/>
  <c r="G2438" i="1"/>
  <c r="G2523" i="1"/>
  <c r="G2602" i="1"/>
  <c r="G2766" i="1"/>
  <c r="G2845" i="1"/>
  <c r="G1464" i="1"/>
  <c r="G1140" i="1"/>
  <c r="G166" i="1"/>
  <c r="G592" i="1"/>
  <c r="G165" i="1"/>
  <c r="G191" i="1"/>
  <c r="G229" i="1"/>
  <c r="G257" i="1"/>
  <c r="G263" i="1"/>
  <c r="G269" i="1"/>
  <c r="G283" i="1"/>
  <c r="G289" i="1"/>
  <c r="G295" i="1"/>
  <c r="G307" i="1"/>
  <c r="G329" i="1"/>
  <c r="G342" i="1"/>
  <c r="G354" i="1"/>
  <c r="G362" i="1"/>
  <c r="G368" i="1"/>
  <c r="G392" i="1"/>
  <c r="G421" i="1"/>
  <c r="G427" i="1"/>
  <c r="G447" i="1"/>
  <c r="G453" i="1"/>
  <c r="G459" i="1"/>
  <c r="G471" i="1"/>
  <c r="G493" i="1"/>
  <c r="G500" i="1"/>
  <c r="G506" i="1"/>
  <c r="G512" i="1"/>
  <c r="G520" i="1"/>
  <c r="G526" i="1"/>
  <c r="G532" i="1"/>
  <c r="G538" i="1"/>
  <c r="G544" i="1"/>
  <c r="G550" i="1"/>
  <c r="G578" i="1"/>
  <c r="G606" i="1"/>
  <c r="G618" i="1"/>
  <c r="G624" i="1"/>
  <c r="G651" i="1"/>
  <c r="G664" i="1"/>
  <c r="G670" i="1"/>
  <c r="G676" i="1"/>
  <c r="G690" i="1"/>
  <c r="G696" i="1"/>
  <c r="G702" i="1"/>
  <c r="G714" i="1"/>
  <c r="G736" i="1"/>
  <c r="G743" i="1"/>
  <c r="G749" i="1"/>
  <c r="G755" i="1"/>
  <c r="G763" i="1"/>
  <c r="G769" i="1"/>
  <c r="G775" i="1"/>
  <c r="G781" i="1"/>
  <c r="G787" i="1"/>
  <c r="G793" i="1"/>
  <c r="G815" i="1"/>
  <c r="G821" i="1"/>
  <c r="G834" i="1"/>
  <c r="G848" i="1"/>
  <c r="G860" i="1"/>
  <c r="G872" i="1"/>
  <c r="G894" i="1"/>
  <c r="G907" i="1"/>
  <c r="G913" i="1"/>
  <c r="G919" i="1"/>
  <c r="G933" i="1"/>
  <c r="G939" i="1"/>
  <c r="G945" i="1"/>
  <c r="G957" i="1"/>
  <c r="G1012" i="1"/>
  <c r="G1018" i="1"/>
  <c r="G1024" i="1"/>
  <c r="G1036" i="1"/>
  <c r="G1083" i="1"/>
  <c r="G1097" i="1"/>
  <c r="G1121" i="1"/>
  <c r="G1137" i="1"/>
  <c r="G1143" i="1"/>
  <c r="G1156" i="1"/>
  <c r="G1162" i="1"/>
  <c r="G1170" i="1"/>
  <c r="G1182" i="1"/>
  <c r="G1188" i="1"/>
  <c r="G1194" i="1"/>
  <c r="G1235" i="1"/>
  <c r="G1255" i="1"/>
  <c r="G1267" i="1"/>
  <c r="G1279" i="1"/>
  <c r="G1301" i="1"/>
  <c r="G1307" i="1"/>
  <c r="G1320" i="1"/>
  <c r="G1326" i="1"/>
  <c r="G1346" i="1"/>
  <c r="G1358" i="1"/>
  <c r="G1364" i="1"/>
  <c r="G1380" i="1"/>
  <c r="G1419" i="1"/>
  <c r="G1431" i="1"/>
  <c r="G1443" i="1"/>
  <c r="G1472" i="1"/>
  <c r="G1484" i="1"/>
  <c r="G1498" i="1"/>
  <c r="G1510" i="1"/>
  <c r="G1522" i="1"/>
  <c r="G1623" i="1"/>
  <c r="G1629" i="1"/>
  <c r="G1636" i="1"/>
  <c r="G1642" i="1"/>
  <c r="G1648" i="1"/>
  <c r="G1656" i="1"/>
  <c r="G1662" i="1"/>
  <c r="G1668" i="1"/>
  <c r="G1674" i="1"/>
  <c r="G1680" i="1"/>
  <c r="G1686" i="1"/>
  <c r="G1708" i="1"/>
  <c r="G1715" i="1"/>
  <c r="G1721" i="1"/>
  <c r="G1727" i="1"/>
  <c r="G1735" i="1"/>
  <c r="G1741" i="1"/>
  <c r="G1747" i="1"/>
  <c r="G1753" i="1"/>
  <c r="G1759" i="1"/>
  <c r="G1765" i="1"/>
  <c r="G1787" i="1"/>
  <c r="G1793" i="1"/>
  <c r="G1800" i="1"/>
  <c r="G1806" i="1"/>
  <c r="G1820" i="1"/>
  <c r="G1826" i="1"/>
  <c r="G1832" i="1"/>
  <c r="G1838" i="1"/>
  <c r="G1844" i="1"/>
  <c r="G1850" i="1"/>
  <c r="G1866" i="1"/>
  <c r="G1872" i="1"/>
  <c r="G1879" i="1"/>
  <c r="G1885" i="1"/>
  <c r="G1891" i="1"/>
  <c r="G1899" i="1"/>
  <c r="G1905" i="1"/>
  <c r="G1911" i="1"/>
  <c r="G1917" i="1"/>
  <c r="G1923" i="1"/>
  <c r="G1929" i="1"/>
  <c r="G1951" i="1"/>
  <c r="G1958" i="1"/>
  <c r="G1964" i="1"/>
  <c r="G1978" i="1"/>
  <c r="G2924" i="1"/>
  <c r="G3009" i="1"/>
  <c r="G3088" i="1"/>
  <c r="G3248" i="1"/>
  <c r="G1984" i="1"/>
  <c r="G1990" i="1"/>
  <c r="G1996" i="1"/>
  <c r="G2002" i="1"/>
  <c r="G2008" i="1"/>
  <c r="G2030" i="1"/>
  <c r="G2036" i="1"/>
  <c r="G2043" i="1"/>
  <c r="G2049" i="1"/>
  <c r="G2055" i="1"/>
  <c r="G2063" i="1"/>
  <c r="G2069" i="1"/>
  <c r="G2075" i="1"/>
  <c r="G2081" i="1"/>
  <c r="G2087" i="1"/>
  <c r="G2093" i="1"/>
  <c r="G2109" i="1"/>
  <c r="G2115" i="1"/>
  <c r="G2122" i="1"/>
  <c r="G2134" i="1"/>
  <c r="G2142" i="1"/>
  <c r="G2148" i="1"/>
  <c r="G2154" i="1"/>
  <c r="G2160" i="1"/>
  <c r="G2166" i="1"/>
  <c r="G2172" i="1"/>
  <c r="G2194" i="1"/>
  <c r="G2201" i="1"/>
  <c r="G2207" i="1"/>
  <c r="G2213" i="1"/>
  <c r="G2221" i="1"/>
  <c r="G2227" i="1"/>
  <c r="G2233" i="1"/>
  <c r="G2239" i="1"/>
  <c r="G2273" i="1"/>
  <c r="G2279" i="1"/>
  <c r="G2286" i="1"/>
  <c r="G2292" i="1"/>
  <c r="G2298" i="1"/>
  <c r="G2306" i="1"/>
  <c r="G2312" i="1"/>
  <c r="G2318" i="1"/>
  <c r="G2324" i="1"/>
  <c r="G2330" i="1"/>
  <c r="G2336" i="1"/>
  <c r="G2352" i="1"/>
  <c r="G2358" i="1"/>
  <c r="G2365" i="1"/>
  <c r="G2371" i="1"/>
  <c r="G2377" i="1"/>
  <c r="G2385" i="1"/>
  <c r="G2391" i="1"/>
  <c r="G2397" i="1"/>
  <c r="G2403" i="1"/>
  <c r="G2409" i="1"/>
  <c r="G2415" i="1"/>
  <c r="G2437" i="1"/>
  <c r="G2444" i="1"/>
  <c r="G2450" i="1"/>
  <c r="G2456" i="1"/>
  <c r="G2464" i="1"/>
  <c r="G2470" i="1"/>
  <c r="G2476" i="1"/>
  <c r="G2482" i="1"/>
  <c r="G2488" i="1"/>
  <c r="G2494" i="1"/>
  <c r="G2516" i="1"/>
  <c r="G2522" i="1"/>
  <c r="G2529" i="1"/>
  <c r="G2535" i="1"/>
  <c r="G2541" i="1"/>
  <c r="G2549" i="1"/>
  <c r="G2555" i="1"/>
  <c r="G2561" i="1"/>
  <c r="G2567" i="1"/>
  <c r="G2573" i="1"/>
  <c r="G2579" i="1"/>
  <c r="G2595" i="1"/>
  <c r="G2601" i="1"/>
  <c r="G2608" i="1"/>
  <c r="G2614" i="1"/>
  <c r="G2620" i="1"/>
  <c r="G2628" i="1"/>
  <c r="G2634" i="1"/>
  <c r="G2640" i="1"/>
  <c r="G2646" i="1"/>
  <c r="G2652" i="1"/>
  <c r="G2658" i="1"/>
  <c r="G2680" i="1"/>
  <c r="G2687" i="1"/>
  <c r="G2693" i="1"/>
  <c r="G2699" i="1"/>
  <c r="G2719" i="1"/>
  <c r="G2725" i="1"/>
  <c r="G2731" i="1"/>
  <c r="G2737" i="1"/>
  <c r="G2759" i="1"/>
  <c r="G2765" i="1"/>
  <c r="G2772" i="1"/>
  <c r="G2778" i="1"/>
  <c r="G2784" i="1"/>
  <c r="G2792" i="1"/>
  <c r="G2798" i="1"/>
  <c r="G2804" i="1"/>
  <c r="G2810" i="1"/>
  <c r="G2816" i="1"/>
  <c r="G2822" i="1"/>
  <c r="G2844" i="1"/>
  <c r="G2851" i="1"/>
  <c r="G2857" i="1"/>
  <c r="G2863" i="1"/>
  <c r="G2871" i="1"/>
  <c r="G2877" i="1"/>
  <c r="G2883" i="1"/>
  <c r="G2889" i="1"/>
  <c r="G2895" i="1"/>
  <c r="G2901" i="1"/>
  <c r="G2923" i="1"/>
  <c r="G2930" i="1"/>
  <c r="G2936" i="1"/>
  <c r="G2942" i="1"/>
  <c r="G2950" i="1"/>
  <c r="G2956" i="1"/>
  <c r="G2962" i="1"/>
  <c r="G2968" i="1"/>
  <c r="G2974" i="1"/>
  <c r="G2980" i="1"/>
  <c r="G3002" i="1"/>
  <c r="G3008" i="1"/>
  <c r="G3015" i="1"/>
  <c r="G3027" i="1"/>
  <c r="G3035" i="1"/>
  <c r="G3041" i="1"/>
  <c r="G3047" i="1"/>
  <c r="G3053" i="1"/>
  <c r="G3059" i="1"/>
  <c r="G3065" i="1"/>
  <c r="G3081" i="1"/>
  <c r="G3087" i="1"/>
  <c r="G3094" i="1"/>
  <c r="G3100" i="1"/>
  <c r="G3106" i="1"/>
  <c r="G3114" i="1"/>
  <c r="G3120" i="1"/>
  <c r="G3126" i="1"/>
  <c r="G3132" i="1"/>
  <c r="G3138" i="1"/>
  <c r="G3144" i="1"/>
  <c r="G3166" i="1"/>
  <c r="G3173" i="1"/>
  <c r="G3179" i="1"/>
  <c r="G3193" i="1"/>
  <c r="G3199" i="1"/>
  <c r="G3205" i="1"/>
  <c r="G3211" i="1"/>
  <c r="G3217" i="1"/>
  <c r="G3223" i="1"/>
  <c r="G3245" i="1"/>
  <c r="G3258" i="1"/>
  <c r="G3264" i="1"/>
  <c r="G3270" i="1"/>
  <c r="G3278" i="1"/>
  <c r="G3284" i="1"/>
  <c r="G3290" i="1"/>
  <c r="G3296" i="1"/>
  <c r="G3302" i="1"/>
  <c r="G3308" i="1"/>
  <c r="G3324" i="1"/>
  <c r="G3330" i="1"/>
  <c r="G3337" i="1"/>
  <c r="G3254" i="1"/>
  <c r="G3260" i="1"/>
  <c r="G3266" i="1"/>
  <c r="G3274" i="1"/>
  <c r="G3280" i="1"/>
  <c r="G3286" i="1"/>
  <c r="G3292" i="1"/>
  <c r="G3298" i="1"/>
  <c r="G3304" i="1"/>
  <c r="G3331" i="1"/>
  <c r="G3410" i="1"/>
  <c r="G3495" i="1"/>
  <c r="G3569" i="1"/>
  <c r="G3574" i="1"/>
  <c r="G3582" i="1"/>
  <c r="G3588" i="1"/>
  <c r="G3594" i="1"/>
  <c r="G3602" i="1"/>
  <c r="G3608" i="1"/>
  <c r="G3614" i="1"/>
  <c r="G3620" i="1"/>
  <c r="G3626" i="1"/>
  <c r="G3632" i="1"/>
  <c r="G3738" i="1"/>
  <c r="G3740" i="1"/>
  <c r="G3746" i="1"/>
  <c r="G3752" i="1"/>
  <c r="G3760" i="1"/>
  <c r="G3817" i="1"/>
  <c r="G3896" i="1"/>
  <c r="G3343" i="1"/>
  <c r="G3357" i="1"/>
  <c r="G3363" i="1"/>
  <c r="G3369" i="1"/>
  <c r="G3375" i="1"/>
  <c r="G3381" i="1"/>
  <c r="G3387" i="1"/>
  <c r="G3409" i="1"/>
  <c r="G3416" i="1"/>
  <c r="G3422" i="1"/>
  <c r="G3428" i="1"/>
  <c r="G3436" i="1"/>
  <c r="G3442" i="1"/>
  <c r="G3448" i="1"/>
  <c r="G3454" i="1"/>
  <c r="G3460" i="1"/>
  <c r="G3466" i="1"/>
  <c r="G3488" i="1"/>
  <c r="G3494" i="1"/>
  <c r="G3501" i="1"/>
  <c r="G3507" i="1"/>
  <c r="G3513" i="1"/>
  <c r="G3521" i="1"/>
  <c r="G3527" i="1"/>
  <c r="G3533" i="1"/>
  <c r="G3539" i="1"/>
  <c r="G3545" i="1"/>
  <c r="G3551" i="1"/>
  <c r="G3567" i="1"/>
  <c r="G3573" i="1"/>
  <c r="G3580" i="1"/>
  <c r="G3586" i="1"/>
  <c r="G3600" i="1"/>
  <c r="G3606" i="1"/>
  <c r="G3618" i="1"/>
  <c r="G3624" i="1"/>
  <c r="G3630" i="1"/>
  <c r="G3652" i="1"/>
  <c r="G3659" i="1"/>
  <c r="G3671" i="1"/>
  <c r="G3679" i="1"/>
  <c r="G3685" i="1"/>
  <c r="G3697" i="1"/>
  <c r="G3703" i="1"/>
  <c r="G3709" i="1"/>
  <c r="G3764" i="1"/>
  <c r="G3770" i="1"/>
  <c r="G3776" i="1"/>
  <c r="G3782" i="1"/>
  <c r="G3788" i="1"/>
  <c r="G3794" i="1"/>
  <c r="G3810" i="1"/>
  <c r="G3816" i="1"/>
  <c r="G3823" i="1"/>
  <c r="G3829" i="1"/>
  <c r="G3835" i="1"/>
  <c r="G3843" i="1"/>
  <c r="G3849" i="1"/>
  <c r="G3855" i="1"/>
  <c r="G3861" i="1"/>
  <c r="G3867" i="1"/>
  <c r="G3873" i="1"/>
  <c r="G3895" i="1"/>
  <c r="G3902" i="1"/>
  <c r="G3908" i="1"/>
  <c r="G3914" i="1"/>
  <c r="G3922" i="1"/>
  <c r="G3928" i="1"/>
  <c r="G3934" i="1"/>
  <c r="G3940" i="1"/>
  <c r="G3946" i="1"/>
  <c r="G3952" i="1"/>
  <c r="G3987" i="1"/>
  <c r="G3993" i="1"/>
  <c r="G3999" i="1"/>
  <c r="G4006" i="1"/>
  <c r="G4007" i="1"/>
  <c r="G4012" i="1"/>
  <c r="G4018" i="1"/>
  <c r="G4019" i="1"/>
  <c r="G4024" i="1"/>
  <c r="G4025" i="1"/>
  <c r="G4030" i="1"/>
  <c r="G4031" i="1"/>
  <c r="G4037" i="1"/>
  <c r="F8" i="66"/>
  <c r="F14" i="66"/>
  <c r="F4" i="66"/>
  <c r="F24" i="66"/>
  <c r="F10" i="66"/>
  <c r="F21" i="66"/>
  <c r="F22" i="66"/>
  <c r="F11" i="66"/>
  <c r="F3" i="66"/>
  <c r="F5" i="66"/>
  <c r="F20" i="66"/>
  <c r="F25" i="66"/>
  <c r="F12" i="66"/>
  <c r="F17" i="66"/>
  <c r="F19" i="66"/>
  <c r="F23" i="66"/>
  <c r="F13" i="66"/>
  <c r="F16" i="66"/>
  <c r="F18" i="66"/>
  <c r="F6" i="66"/>
  <c r="F7" i="66"/>
  <c r="F15" i="66"/>
  <c r="G179" i="1"/>
  <c r="G185" i="1"/>
  <c r="G216" i="1"/>
  <c r="G197" i="1"/>
  <c r="G221" i="1"/>
  <c r="G217" i="1"/>
  <c r="G192" i="1"/>
  <c r="G1707" i="1"/>
  <c r="G1950" i="1"/>
  <c r="G2193" i="1"/>
  <c r="G2436" i="1"/>
  <c r="G2679" i="1"/>
  <c r="G2922" i="1"/>
  <c r="G3165" i="1"/>
  <c r="G3408" i="1"/>
  <c r="G3651" i="1"/>
  <c r="G3894" i="1"/>
  <c r="G227" i="1"/>
  <c r="G288" i="1"/>
  <c r="G3775" i="1"/>
  <c r="G3781" i="1"/>
  <c r="G3793" i="1"/>
  <c r="G4036" i="1"/>
  <c r="G573" i="1"/>
  <c r="G630" i="1"/>
  <c r="G636" i="1"/>
  <c r="G731" i="1"/>
  <c r="G744" i="1"/>
  <c r="G750" i="1"/>
  <c r="G756" i="1"/>
  <c r="G3502" i="1"/>
  <c r="G3516" i="1"/>
  <c r="G3818" i="1"/>
  <c r="G3576" i="1"/>
  <c r="G3734" i="1"/>
  <c r="G3772" i="1"/>
  <c r="G3891" i="1"/>
  <c r="G3649" i="1"/>
  <c r="G3973" i="1"/>
  <c r="G3979" i="1"/>
  <c r="G3986" i="1"/>
  <c r="G3992" i="1"/>
  <c r="G3998" i="1"/>
  <c r="G3980" i="1"/>
  <c r="G3981" i="1"/>
  <c r="G3974" i="1"/>
  <c r="G3731" i="1"/>
  <c r="G3737" i="1"/>
  <c r="G3744" i="1"/>
  <c r="G3750" i="1"/>
  <c r="G3756" i="1"/>
  <c r="G3653" i="1"/>
  <c r="G3592" i="1"/>
  <c r="G3167" i="1"/>
  <c r="G2681" i="1"/>
  <c r="G2195" i="1"/>
  <c r="G1794" i="1"/>
  <c r="G1544" i="1"/>
  <c r="G1563" i="1"/>
  <c r="G1569" i="1"/>
  <c r="G1577" i="1"/>
  <c r="G1589" i="1"/>
  <c r="G1601" i="1"/>
  <c r="G1308" i="1"/>
  <c r="G1144" i="1"/>
  <c r="G998" i="1"/>
  <c r="G572" i="1"/>
  <c r="G591" i="1"/>
  <c r="G597" i="1"/>
  <c r="G617" i="1"/>
  <c r="G408" i="1"/>
  <c r="G167" i="1"/>
  <c r="G180" i="1"/>
  <c r="G188" i="1"/>
  <c r="G206" i="1"/>
  <c r="G210" i="1"/>
  <c r="G214" i="1"/>
  <c r="G230" i="1"/>
  <c r="G262" i="1"/>
  <c r="G252" i="1"/>
  <c r="G276" i="1"/>
  <c r="G300" i="1"/>
  <c r="G334" i="1"/>
  <c r="G170" i="1"/>
  <c r="G174" i="1"/>
  <c r="G218" i="1"/>
  <c r="G261" i="1"/>
  <c r="G285" i="1"/>
  <c r="G309" i="1"/>
  <c r="G169" i="1"/>
  <c r="G178" i="1"/>
  <c r="G182" i="1"/>
  <c r="G186" i="1"/>
  <c r="G190" i="1"/>
  <c r="G204" i="1"/>
  <c r="G208" i="1"/>
  <c r="G212" i="1"/>
  <c r="G228" i="1"/>
  <c r="G195" i="1"/>
  <c r="G219" i="1"/>
  <c r="G260" i="1"/>
  <c r="G278" i="1"/>
  <c r="G286" i="1"/>
  <c r="G310" i="1"/>
  <c r="G164" i="1"/>
  <c r="G181" i="1"/>
  <c r="G189" i="1"/>
  <c r="G207" i="1"/>
  <c r="G215" i="1"/>
  <c r="G224" i="1"/>
  <c r="G250" i="1"/>
  <c r="G259" i="1"/>
  <c r="G267" i="1"/>
  <c r="G277" i="1"/>
  <c r="G293" i="1"/>
  <c r="G301" i="1"/>
  <c r="G251" i="1"/>
  <c r="G299" i="1"/>
  <c r="G331" i="1"/>
  <c r="G340" i="1"/>
  <c r="G348" i="1"/>
  <c r="G366" i="1"/>
  <c r="G374" i="1"/>
  <c r="G386" i="1"/>
  <c r="G390" i="1"/>
  <c r="G338" i="1"/>
  <c r="G358" i="1"/>
  <c r="G382" i="1"/>
  <c r="G414" i="1"/>
  <c r="G438" i="1"/>
  <c r="G442" i="1"/>
  <c r="G462" i="1"/>
  <c r="G494" i="1"/>
  <c r="G542" i="1"/>
  <c r="G575" i="1"/>
  <c r="G579" i="1"/>
  <c r="G603" i="1"/>
  <c r="G623" i="1"/>
  <c r="G627" i="1"/>
  <c r="G659" i="1"/>
  <c r="G683" i="1"/>
  <c r="G707" i="1"/>
  <c r="G737" i="1"/>
  <c r="G757" i="1"/>
  <c r="G777" i="1"/>
  <c r="G785" i="1"/>
  <c r="G335" i="1"/>
  <c r="G339" i="1"/>
  <c r="G359" i="1"/>
  <c r="G363" i="1"/>
  <c r="G383" i="1"/>
  <c r="G387" i="1"/>
  <c r="G415" i="1"/>
  <c r="G419" i="1"/>
  <c r="G439" i="1"/>
  <c r="G443" i="1"/>
  <c r="G463" i="1"/>
  <c r="G467" i="1"/>
  <c r="G604" i="1"/>
  <c r="G628" i="1"/>
  <c r="G656" i="1"/>
  <c r="G704" i="1"/>
  <c r="G738" i="1"/>
  <c r="G754" i="1"/>
  <c r="G758" i="1"/>
  <c r="G762" i="1"/>
  <c r="G814" i="1"/>
  <c r="G341" i="1"/>
  <c r="G367" i="1"/>
  <c r="G391" i="1"/>
  <c r="G332" i="1"/>
  <c r="G336" i="1"/>
  <c r="G360" i="1"/>
  <c r="G380" i="1"/>
  <c r="G384" i="1"/>
  <c r="G423" i="1"/>
  <c r="G441" i="1"/>
  <c r="G449" i="1"/>
  <c r="G450" i="1"/>
  <c r="G457" i="1"/>
  <c r="G465" i="1"/>
  <c r="G473" i="1"/>
  <c r="G416" i="1"/>
  <c r="G440" i="1"/>
  <c r="G464" i="1"/>
  <c r="G504" i="1"/>
  <c r="G508" i="1"/>
  <c r="G530" i="1"/>
  <c r="G554" i="1"/>
  <c r="G496" i="1"/>
  <c r="G576" i="1"/>
  <c r="G611" i="1"/>
  <c r="G612" i="1"/>
  <c r="G635" i="1"/>
  <c r="G577" i="1"/>
  <c r="G581" i="1"/>
  <c r="G585" i="1"/>
  <c r="G601" i="1"/>
  <c r="G605" i="1"/>
  <c r="G625" i="1"/>
  <c r="G629" i="1"/>
  <c r="G633" i="1"/>
  <c r="G667" i="1"/>
  <c r="G685" i="1"/>
  <c r="G693" i="1"/>
  <c r="G657" i="1"/>
  <c r="G681" i="1"/>
  <c r="G333" i="1"/>
  <c r="G357" i="1"/>
  <c r="G381" i="1"/>
  <c r="G422" i="1"/>
  <c r="G448" i="1"/>
  <c r="G472" i="1"/>
  <c r="G413" i="1"/>
  <c r="G461" i="1"/>
  <c r="G503" i="1"/>
  <c r="G507" i="1"/>
  <c r="G521" i="1"/>
  <c r="G529" i="1"/>
  <c r="G545" i="1"/>
  <c r="G553" i="1"/>
  <c r="G584" i="1"/>
  <c r="G602" i="1"/>
  <c r="G610" i="1"/>
  <c r="G626" i="1"/>
  <c r="G586" i="1"/>
  <c r="G634" i="1"/>
  <c r="G666" i="1"/>
  <c r="G684" i="1"/>
  <c r="G692" i="1"/>
  <c r="G708" i="1"/>
  <c r="G716" i="1"/>
  <c r="G658" i="1"/>
  <c r="G662" i="1"/>
  <c r="G682" i="1"/>
  <c r="G706" i="1"/>
  <c r="G786" i="1"/>
  <c r="G819" i="1"/>
  <c r="G843" i="1"/>
  <c r="G867" i="1"/>
  <c r="G903" i="1"/>
  <c r="G927" i="1"/>
  <c r="G951" i="1"/>
  <c r="G987" i="1"/>
  <c r="G1013" i="1"/>
  <c r="G1037" i="1"/>
  <c r="G983" i="1"/>
  <c r="G1007" i="1"/>
  <c r="G1031" i="1"/>
  <c r="G1064" i="1"/>
  <c r="G1076" i="1"/>
  <c r="G1483" i="1"/>
  <c r="G1487" i="1"/>
  <c r="G1491" i="1"/>
  <c r="G1495" i="1"/>
  <c r="G1499" i="1"/>
  <c r="G1511" i="1"/>
  <c r="G1515" i="1"/>
  <c r="G1519" i="1"/>
  <c r="G1523" i="1"/>
  <c r="G1543" i="1"/>
  <c r="G1559" i="1"/>
  <c r="G1579" i="1"/>
  <c r="G747" i="1"/>
  <c r="G765" i="1"/>
  <c r="G773" i="1"/>
  <c r="G789" i="1"/>
  <c r="G797" i="1"/>
  <c r="G739" i="1"/>
  <c r="G828" i="1"/>
  <c r="G832" i="1"/>
  <c r="G820" i="1"/>
  <c r="G844" i="1"/>
  <c r="G868" i="1"/>
  <c r="G910" i="1"/>
  <c r="G915" i="1"/>
  <c r="G928" i="1"/>
  <c r="G936" i="1"/>
  <c r="G941" i="1"/>
  <c r="G900" i="1"/>
  <c r="G924" i="1"/>
  <c r="G948" i="1"/>
  <c r="G979" i="1"/>
  <c r="G988" i="1"/>
  <c r="G992" i="1"/>
  <c r="G996" i="1"/>
  <c r="G1014" i="1"/>
  <c r="G1022" i="1"/>
  <c r="G1038" i="1"/>
  <c r="G980" i="1"/>
  <c r="G984" i="1"/>
  <c r="G1008" i="1"/>
  <c r="G1028" i="1"/>
  <c r="G1032" i="1"/>
  <c r="G1056" i="1"/>
  <c r="G1107" i="1"/>
  <c r="G1109" i="1"/>
  <c r="G1167" i="1"/>
  <c r="G1171" i="1"/>
  <c r="G1175" i="1"/>
  <c r="G1187" i="1"/>
  <c r="G1191" i="1"/>
  <c r="G1195" i="1"/>
  <c r="G746" i="1"/>
  <c r="G772" i="1"/>
  <c r="G796" i="1"/>
  <c r="G740" i="1"/>
  <c r="G764" i="1"/>
  <c r="G788" i="1"/>
  <c r="G827" i="1"/>
  <c r="G831" i="1"/>
  <c r="G845" i="1"/>
  <c r="G853" i="1"/>
  <c r="G869" i="1"/>
  <c r="G877" i="1"/>
  <c r="G829" i="1"/>
  <c r="G909" i="1"/>
  <c r="G935" i="1"/>
  <c r="G959" i="1"/>
  <c r="G901" i="1"/>
  <c r="G925" i="1"/>
  <c r="G949" i="1"/>
  <c r="G991" i="1"/>
  <c r="G1017" i="1"/>
  <c r="G981" i="1"/>
  <c r="G1005" i="1"/>
  <c r="G1009" i="1"/>
  <c r="G1029" i="1"/>
  <c r="G1033" i="1"/>
  <c r="G1055" i="1"/>
  <c r="G1080" i="1"/>
  <c r="G1086" i="1"/>
  <c r="G1094" i="1"/>
  <c r="G1110" i="1"/>
  <c r="G1381" i="1"/>
  <c r="G1385" i="1"/>
  <c r="G1389" i="1"/>
  <c r="G1393" i="1"/>
  <c r="G1405" i="1"/>
  <c r="G1413" i="1"/>
  <c r="G1417" i="1"/>
  <c r="G1425" i="1"/>
  <c r="G1433" i="1"/>
  <c r="G1437" i="1"/>
  <c r="G1441" i="1"/>
  <c r="G818" i="1"/>
  <c r="G822" i="1"/>
  <c r="G830" i="1"/>
  <c r="G846" i="1"/>
  <c r="G854" i="1"/>
  <c r="G866" i="1"/>
  <c r="G870" i="1"/>
  <c r="G878" i="1"/>
  <c r="G902" i="1"/>
  <c r="G926" i="1"/>
  <c r="G950" i="1"/>
  <c r="G982" i="1"/>
  <c r="G1006" i="1"/>
  <c r="G1030" i="1"/>
  <c r="G1091" i="1"/>
  <c r="G1115" i="1"/>
  <c r="G1217" i="1"/>
  <c r="G1221" i="1"/>
  <c r="G1225" i="1"/>
  <c r="G1229" i="1"/>
  <c r="G1237" i="1"/>
  <c r="G1241" i="1"/>
  <c r="G1245" i="1"/>
  <c r="G1249" i="1"/>
  <c r="G1253" i="1"/>
  <c r="G1261" i="1"/>
  <c r="G1273" i="1"/>
  <c r="G1311" i="1"/>
  <c r="G1319" i="1"/>
  <c r="G1323" i="1"/>
  <c r="G1335" i="1"/>
  <c r="G1343" i="1"/>
  <c r="G1347" i="1"/>
  <c r="G1351" i="1"/>
  <c r="G1359" i="1"/>
  <c r="G1461" i="1"/>
  <c r="G1547" i="1"/>
  <c r="G1595" i="1"/>
  <c r="G1260" i="1"/>
  <c r="G1303" i="1"/>
  <c r="G1304" i="1"/>
  <c r="G1352" i="1"/>
  <c r="G1396" i="1"/>
  <c r="G1422" i="1"/>
  <c r="G1446" i="1"/>
  <c r="G1386" i="1"/>
  <c r="G1394" i="1"/>
  <c r="G1410" i="1"/>
  <c r="G1414" i="1"/>
  <c r="G1418" i="1"/>
  <c r="G1434" i="1"/>
  <c r="G1438" i="1"/>
  <c r="G1442" i="1"/>
  <c r="G1476" i="1"/>
  <c r="G1502" i="1"/>
  <c r="G1468" i="1"/>
  <c r="G1492" i="1"/>
  <c r="G1516" i="1"/>
  <c r="G1558" i="1"/>
  <c r="G1564" i="1"/>
  <c r="G1590" i="1"/>
  <c r="G1548" i="1"/>
  <c r="G1572" i="1"/>
  <c r="G1576" i="1"/>
  <c r="G1596" i="1"/>
  <c r="G1600" i="1"/>
  <c r="G1151" i="1"/>
  <c r="G1155" i="1"/>
  <c r="G1160" i="1"/>
  <c r="G1169" i="1"/>
  <c r="G1177" i="1"/>
  <c r="G1186" i="1"/>
  <c r="G1201" i="1"/>
  <c r="G1149" i="1"/>
  <c r="G1173" i="1"/>
  <c r="G1197" i="1"/>
  <c r="G1222" i="1"/>
  <c r="G1231" i="1"/>
  <c r="G1239" i="1"/>
  <c r="G1257" i="1"/>
  <c r="G1265" i="1"/>
  <c r="G1281" i="1"/>
  <c r="G1223" i="1"/>
  <c r="G1271" i="1"/>
  <c r="G1306" i="1"/>
  <c r="G1315" i="1"/>
  <c r="G1395" i="1"/>
  <c r="G1399" i="1"/>
  <c r="G1403" i="1"/>
  <c r="G1421" i="1"/>
  <c r="G1429" i="1"/>
  <c r="G1445" i="1"/>
  <c r="G1387" i="1"/>
  <c r="G1391" i="1"/>
  <c r="G1411" i="1"/>
  <c r="G1415" i="1"/>
  <c r="G1435" i="1"/>
  <c r="G1439" i="1"/>
  <c r="G1475" i="1"/>
  <c r="G1479" i="1"/>
  <c r="G1493" i="1"/>
  <c r="G1497" i="1"/>
  <c r="G1501" i="1"/>
  <c r="G1517" i="1"/>
  <c r="G1521" i="1"/>
  <c r="G1525" i="1"/>
  <c r="G1557" i="1"/>
  <c r="G1575" i="1"/>
  <c r="G1583" i="1"/>
  <c r="G1607" i="1"/>
  <c r="G1549" i="1"/>
  <c r="G1573" i="1"/>
  <c r="G1597" i="1"/>
  <c r="G1141" i="1"/>
  <c r="G1150" i="1"/>
  <c r="G1154" i="1"/>
  <c r="G1158" i="1"/>
  <c r="G1168" i="1"/>
  <c r="G1176" i="1"/>
  <c r="G1180" i="1"/>
  <c r="G1184" i="1"/>
  <c r="G1192" i="1"/>
  <c r="G1200" i="1"/>
  <c r="G1142" i="1"/>
  <c r="G1190" i="1"/>
  <c r="G1234" i="1"/>
  <c r="G1224" i="1"/>
  <c r="G1248" i="1"/>
  <c r="G1305" i="1"/>
  <c r="G1314" i="1"/>
  <c r="G1340" i="1"/>
  <c r="G1398" i="1"/>
  <c r="G1420" i="1"/>
  <c r="G1428" i="1"/>
  <c r="G1444" i="1"/>
  <c r="G1388" i="1"/>
  <c r="G1392" i="1"/>
  <c r="G1412" i="1"/>
  <c r="G1416" i="1"/>
  <c r="G1436" i="1"/>
  <c r="G1440" i="1"/>
  <c r="G1465" i="1"/>
  <c r="G1474" i="1"/>
  <c r="G1478" i="1"/>
  <c r="G1482" i="1"/>
  <c r="G1500" i="1"/>
  <c r="G1504" i="1"/>
  <c r="G1508" i="1"/>
  <c r="G1524" i="1"/>
  <c r="G1466" i="1"/>
  <c r="G1470" i="1"/>
  <c r="G1494" i="1"/>
  <c r="G1514" i="1"/>
  <c r="G1556" i="1"/>
  <c r="G1574" i="1"/>
  <c r="G1582" i="1"/>
  <c r="G1598" i="1"/>
  <c r="G1606" i="1"/>
  <c r="G1550" i="1"/>
  <c r="G141" i="1"/>
  <c r="G1072" i="1"/>
  <c r="G1098" i="1"/>
  <c r="G1106" i="1"/>
  <c r="G1122" i="1"/>
  <c r="G1100" i="1"/>
  <c r="G1074" i="1"/>
  <c r="G1062" i="1"/>
  <c r="G1065" i="1"/>
  <c r="G1117" i="1"/>
  <c r="G1060" i="1"/>
  <c r="G1069" i="1"/>
  <c r="G1077" i="1"/>
  <c r="G1087" i="1"/>
  <c r="G1103" i="1"/>
  <c r="G1111" i="1"/>
  <c r="G1061" i="1"/>
  <c r="G1078" i="1"/>
  <c r="G1104" i="1"/>
  <c r="G1120" i="1"/>
  <c r="G1089" i="1"/>
  <c r="G1113" i="1"/>
  <c r="G1090" i="1"/>
  <c r="G1114" i="1"/>
  <c r="G1063" i="1"/>
  <c r="G1071" i="1"/>
  <c r="G1095" i="1"/>
  <c r="G1119" i="1"/>
  <c r="G1073" i="1"/>
  <c r="G1099" i="1"/>
  <c r="G1112" i="1"/>
  <c r="G1088" i="1"/>
  <c r="G1058" i="1"/>
  <c r="G1067" i="1"/>
  <c r="G1075" i="1"/>
  <c r="G1093" i="1"/>
  <c r="G36" i="1"/>
  <c r="G42" i="1"/>
  <c r="G48" i="1"/>
  <c r="G54" i="1"/>
  <c r="G60" i="1"/>
  <c r="G66" i="1"/>
  <c r="G16" i="1"/>
  <c r="G22" i="1"/>
  <c r="G37" i="1"/>
  <c r="G38" i="1"/>
  <c r="G10" i="1"/>
  <c r="G43" i="1"/>
  <c r="G50" i="1"/>
  <c r="G33" i="1"/>
  <c r="G39" i="1"/>
  <c r="G45" i="1"/>
  <c r="G26" i="1"/>
  <c r="G35" i="1"/>
  <c r="G41" i="1"/>
  <c r="G47" i="1"/>
  <c r="G53" i="1"/>
  <c r="G59" i="1"/>
  <c r="G65" i="1"/>
  <c r="G9" i="1"/>
  <c r="G28" i="1"/>
  <c r="G3" i="1"/>
  <c r="G4" i="1"/>
  <c r="G17" i="1"/>
  <c r="G23" i="1"/>
  <c r="G29" i="1"/>
  <c r="G49" i="1"/>
  <c r="G55" i="1"/>
  <c r="G61" i="1"/>
  <c r="G67" i="1"/>
  <c r="G11" i="1"/>
  <c r="G5" i="1"/>
  <c r="G18" i="1"/>
  <c r="G24" i="1"/>
  <c r="G30" i="1"/>
  <c r="G44" i="1"/>
  <c r="G56" i="1"/>
  <c r="G62" i="1"/>
  <c r="G68" i="1"/>
  <c r="G12" i="1"/>
  <c r="G6" i="1"/>
  <c r="G19" i="1"/>
  <c r="G25" i="1"/>
  <c r="G51" i="1"/>
  <c r="G57" i="1"/>
  <c r="G63" i="1"/>
  <c r="G7" i="1"/>
  <c r="G69" i="1"/>
  <c r="G14" i="1"/>
  <c r="G20" i="1"/>
  <c r="G34" i="1"/>
  <c r="G40" i="1"/>
  <c r="G46" i="1"/>
  <c r="G52" i="1"/>
  <c r="G58" i="1"/>
  <c r="G64" i="1"/>
  <c r="G8" i="1"/>
  <c r="G15" i="1"/>
  <c r="G21" i="1"/>
  <c r="G27" i="1"/>
  <c r="G407" i="1"/>
  <c r="G249" i="1"/>
  <c r="G209" i="1"/>
  <c r="G177" i="1"/>
  <c r="G211" i="1"/>
  <c r="G205" i="1"/>
  <c r="G199" i="1"/>
  <c r="G223" i="1"/>
  <c r="G202" i="1"/>
  <c r="G203" i="1"/>
  <c r="G168" i="1"/>
  <c r="G172" i="1"/>
  <c r="G173" i="1"/>
  <c r="G200" i="1"/>
  <c r="G171" i="1"/>
  <c r="G196" i="1"/>
  <c r="G220" i="1"/>
  <c r="G198" i="1"/>
  <c r="G222" i="1"/>
  <c r="G176" i="1"/>
  <c r="G226" i="1"/>
  <c r="G123" i="1"/>
  <c r="G135" i="1"/>
  <c r="G147" i="1"/>
  <c r="G129" i="1"/>
  <c r="G117" i="1"/>
  <c r="G118" i="1"/>
  <c r="G124" i="1"/>
  <c r="G88" i="1"/>
  <c r="G95" i="1"/>
  <c r="G101" i="1"/>
  <c r="G107" i="1"/>
  <c r="G90" i="1"/>
  <c r="G114" i="1"/>
  <c r="G132" i="1"/>
  <c r="G138" i="1"/>
  <c r="G144" i="1"/>
  <c r="G115" i="1"/>
  <c r="G127" i="1"/>
  <c r="G133" i="1"/>
  <c r="G102" i="1"/>
  <c r="G122" i="1"/>
  <c r="G128" i="1"/>
  <c r="G134" i="1"/>
  <c r="G97" i="1"/>
  <c r="G103" i="1"/>
  <c r="G140" i="1"/>
  <c r="G98" i="1"/>
  <c r="G104" i="1"/>
  <c r="G86" i="1"/>
  <c r="G99" i="1"/>
  <c r="G105" i="1"/>
  <c r="G120" i="1"/>
  <c r="G126" i="1"/>
  <c r="G83" i="1"/>
  <c r="G89" i="1"/>
  <c r="G150" i="1"/>
  <c r="G96" i="1"/>
  <c r="G108" i="1"/>
  <c r="G139" i="1"/>
  <c r="G84" i="1"/>
  <c r="G121" i="1"/>
  <c r="G145" i="1"/>
  <c r="G109" i="1"/>
  <c r="G146" i="1"/>
  <c r="G85" i="1"/>
  <c r="G91" i="1"/>
  <c r="G116" i="1"/>
  <c r="G92" i="1"/>
  <c r="G110" i="1"/>
  <c r="G111" i="1"/>
  <c r="G130" i="1"/>
  <c r="G136" i="1"/>
  <c r="G142" i="1"/>
  <c r="G148" i="1"/>
  <c r="G93" i="1"/>
  <c r="G100" i="1"/>
  <c r="G119" i="1"/>
  <c r="G125" i="1"/>
  <c r="G131" i="1"/>
  <c r="G106" i="1"/>
  <c r="G137" i="1"/>
  <c r="G143" i="1"/>
  <c r="G149" i="1"/>
  <c r="G87" i="1"/>
  <c r="G2" i="1"/>
  <c r="K18" i="69" l="1"/>
  <c r="V2" i="69" s="1"/>
  <c r="K16" i="69"/>
  <c r="K29" i="69" l="1"/>
  <c r="K30" i="69"/>
  <c r="L22" i="69"/>
  <c r="K27" i="69"/>
  <c r="K26" i="69"/>
  <c r="V1" i="69"/>
  <c r="K24" i="69" l="1"/>
  <c r="L24" i="69" s="1"/>
</calcChain>
</file>

<file path=xl/sharedStrings.xml><?xml version="1.0" encoding="utf-8"?>
<sst xmlns="http://schemas.openxmlformats.org/spreadsheetml/2006/main" count="6158" uniqueCount="556">
  <si>
    <t>MG</t>
  </si>
  <si>
    <t>TB</t>
  </si>
  <si>
    <t>IMB</t>
  </si>
  <si>
    <t>CADEIRA COMUM</t>
  </si>
  <si>
    <t>CADEIRA ALTA</t>
  </si>
  <si>
    <t>CADEIRA CRIANÇA</t>
  </si>
  <si>
    <t>CADEIRA ALTA ESTOFADA</t>
  </si>
  <si>
    <t>CADEIRA RESTAURANTE</t>
  </si>
  <si>
    <t>BANQUETA 0,50</t>
  </si>
  <si>
    <t>BANQUETA 0,70</t>
  </si>
  <si>
    <t>BELICHE</t>
  </si>
  <si>
    <t>BARRA DE CAMA</t>
  </si>
  <si>
    <t>GRADE DE BELICHE</t>
  </si>
  <si>
    <t>ESCADA DE BELICHE</t>
  </si>
  <si>
    <t>RIPAS DE CAMA</t>
  </si>
  <si>
    <t>MESA 0,70 X 0,45</t>
  </si>
  <si>
    <t>MESA 0,75 X 0,75</t>
  </si>
  <si>
    <t>MESA 1,15 X 0,75</t>
  </si>
  <si>
    <t>MESA 1,50 X 0,80</t>
  </si>
  <si>
    <t>MESA 1,80 X 0,85</t>
  </si>
  <si>
    <t>MESA 2,00 X 0,88</t>
  </si>
  <si>
    <t>MESA 2,20 X 0,88</t>
  </si>
  <si>
    <t>MESA 0,75 CRIANÇA</t>
  </si>
  <si>
    <t>MESA 0,45 CRIANÇA</t>
  </si>
  <si>
    <t>MESA 1,10 X 0,45</t>
  </si>
  <si>
    <t>MESA MDP 0,75 X 0,75</t>
  </si>
  <si>
    <t>MESA MDP 1,15 X 0,75</t>
  </si>
  <si>
    <t>MESA MDP 1,50 X 0,80</t>
  </si>
  <si>
    <t>MESA 0,80 X 0,80</t>
  </si>
  <si>
    <t>MESA 1,20 X 0,80</t>
  </si>
  <si>
    <t>MESA 1,60 X 0,80</t>
  </si>
  <si>
    <t>TAMPO 1,20</t>
  </si>
  <si>
    <t>TAMPO 1,60</t>
  </si>
  <si>
    <t>TAMPO 0,45</t>
  </si>
  <si>
    <t>TAMPO 0,75</t>
  </si>
  <si>
    <t>TAMPO 1,15</t>
  </si>
  <si>
    <t>TAMPO 1,50</t>
  </si>
  <si>
    <t>TAMPO 1,80</t>
  </si>
  <si>
    <t>TAMPO 2,00</t>
  </si>
  <si>
    <t>TAMPO 2,20</t>
  </si>
  <si>
    <t>PÉ MESA 0,75 / 1,15</t>
  </si>
  <si>
    <t>BARRA MESA 0,75</t>
  </si>
  <si>
    <t>BARRA MESA 1,80</t>
  </si>
  <si>
    <t>BARRA MESA 2,20</t>
  </si>
  <si>
    <t>PESEIRA CAMA CASAL</t>
  </si>
  <si>
    <t>PESEIRA CAMA SOLTEIRO</t>
  </si>
  <si>
    <t>PESEIRA BELICHE</t>
  </si>
  <si>
    <t>CABECEIRA CASAL</t>
  </si>
  <si>
    <t>CABECEIRA SOLTEIRO</t>
  </si>
  <si>
    <t>CABECEIRA BELICHE</t>
  </si>
  <si>
    <t>CABECEIRA BELICHE ANTIGA</t>
  </si>
  <si>
    <t>QUANTIDADE</t>
  </si>
  <si>
    <t>CÓDIGO</t>
  </si>
  <si>
    <t>NOME CLIENTE</t>
  </si>
  <si>
    <t>TOTAL</t>
  </si>
  <si>
    <t>PRODUTOS</t>
  </si>
  <si>
    <t>CE</t>
  </si>
  <si>
    <t>BARRA MESA 0,45</t>
  </si>
  <si>
    <t>BARRA MESA 1,15</t>
  </si>
  <si>
    <t>BARRA MESA 1,10</t>
  </si>
  <si>
    <t>BARRA MESA 1,20</t>
  </si>
  <si>
    <t>BARRA MESA 1,50</t>
  </si>
  <si>
    <t>BARRA MESA 1,60</t>
  </si>
  <si>
    <t>BARRA MESA 2,00</t>
  </si>
  <si>
    <t>BARRA MESA 0,80</t>
  </si>
  <si>
    <t xml:space="preserve">PÉ MESA 0,45 / 1,10 </t>
  </si>
  <si>
    <t>PÉ MESA 0,80/ 1,20 / 1,50 / 1,60</t>
  </si>
  <si>
    <t>PÉ MESA 1,80</t>
  </si>
  <si>
    <t>PÉ MESA 2,00 / 2,20</t>
  </si>
  <si>
    <t>TAMPO 0,80</t>
  </si>
  <si>
    <t>TAMPO 1,10</t>
  </si>
  <si>
    <t>AGULHA CADEIRA ALTA</t>
  </si>
  <si>
    <t>AGULHA CADEIRA COMUM</t>
  </si>
  <si>
    <t>SARRAFO BELICHE</t>
  </si>
  <si>
    <t>SARRAFO CASAL</t>
  </si>
  <si>
    <t>SARRAFO SOLTEIRO</t>
  </si>
  <si>
    <t>ESTRADO BELICHE COMPLETO</t>
  </si>
  <si>
    <t>KIT PARAFUSOS MESA 0,45 / 0,75</t>
  </si>
  <si>
    <t>KIT PARAFUSOS MESA 1,10 / 1,15</t>
  </si>
  <si>
    <t>KIT PARAFUSOS MESA 0,80 / 1,20 / 1,50 / 1,60</t>
  </si>
  <si>
    <t>KIT PARAFUSOS MESA 1,80 / 2,00 / 2,20</t>
  </si>
  <si>
    <t>CAMA SOLTEIRO</t>
  </si>
  <si>
    <t>CAMA CASAL</t>
  </si>
  <si>
    <t>MESA 1,40 X 0,80</t>
  </si>
  <si>
    <t>KIT PARAFUSOS CAMA SOLTEIRO</t>
  </si>
  <si>
    <t>KIT PARAFUSOS BELICHE</t>
  </si>
  <si>
    <t>KIT PARAFUSOS CAMA CASAL</t>
  </si>
  <si>
    <t/>
  </si>
  <si>
    <t>CEREJEIRA</t>
  </si>
  <si>
    <t>MOGNO</t>
  </si>
  <si>
    <t>TABACO</t>
  </si>
  <si>
    <t>IMBUIA</t>
  </si>
  <si>
    <t>PRODUTO</t>
  </si>
  <si>
    <t xml:space="preserve"> </t>
  </si>
  <si>
    <t>N° PEDIDO</t>
  </si>
  <si>
    <t>NOME CARGA</t>
  </si>
  <si>
    <t>DATA</t>
  </si>
  <si>
    <t>DESCRIÇÃO</t>
  </si>
  <si>
    <t>SOMA</t>
  </si>
  <si>
    <t>SIMULADOR DE CUBAGEM</t>
  </si>
  <si>
    <t>LARGURA (METROS)</t>
  </si>
  <si>
    <t>A CAPACIDADE DO CAMINHÃO É (KG's):</t>
  </si>
  <si>
    <t>TIPO DE VEÍCULO</t>
  </si>
  <si>
    <t>COMPR.</t>
  </si>
  <si>
    <t>LARG.</t>
  </si>
  <si>
    <t>ALT.</t>
  </si>
  <si>
    <t>CAPACIDADE</t>
  </si>
  <si>
    <t>A CARGA É:</t>
  </si>
  <si>
    <t>COMPRIMENTO (METROS)</t>
  </si>
  <si>
    <t>ALTURA (METROS)</t>
  </si>
  <si>
    <t>TIPO VEÍCULO</t>
  </si>
  <si>
    <t>BATIDA</t>
  </si>
  <si>
    <t>PESO DA CARGA (KG)</t>
  </si>
  <si>
    <t>COD ITEM</t>
  </si>
  <si>
    <t>QTD</t>
  </si>
  <si>
    <t>CUBAGEM</t>
  </si>
  <si>
    <t>PESO</t>
  </si>
  <si>
    <t>CUBAGEM CAMINHÃO M³</t>
  </si>
  <si>
    <t>CUBAGEM MERCADORIA M³</t>
  </si>
  <si>
    <t>CODIGO</t>
  </si>
  <si>
    <t>PES_BRUTO KG</t>
  </si>
  <si>
    <t>COMPRIMENTO CM</t>
  </si>
  <si>
    <t>LARGURA CM</t>
  </si>
  <si>
    <t>ALTURA CM</t>
  </si>
  <si>
    <t>OBSERVAÇÃO</t>
  </si>
  <si>
    <t>UN</t>
  </si>
  <si>
    <t>DIMENSÕES DE CARROCERIA</t>
  </si>
  <si>
    <t>CADEIRA COMUM CEREJEIRA</t>
  </si>
  <si>
    <t>CADEIRA COMUM MOGNO</t>
  </si>
  <si>
    <t>CADEIRA COMUM TABACO</t>
  </si>
  <si>
    <t>CADEIRA COMUM IMBUIA</t>
  </si>
  <si>
    <t>CADEIRA ALTA CEREJEIRA</t>
  </si>
  <si>
    <t>CADEIRA ALTA MOGNO</t>
  </si>
  <si>
    <t>CADEIRA ALTA TABACO</t>
  </si>
  <si>
    <t>CADEIRA ALTA IMBUIA</t>
  </si>
  <si>
    <t>CADEIRA CRIANÇA CEREJEIRA</t>
  </si>
  <si>
    <t>CADEIRA CRIANÇA MOGNO</t>
  </si>
  <si>
    <t>CADEIRA CRIANÇA TABACO</t>
  </si>
  <si>
    <t>CADEIRA CRIANÇA IMBUIA</t>
  </si>
  <si>
    <t>CADEIRA ALTA ESTOFADA CEREJEIRA</t>
  </si>
  <si>
    <t>CADEIRA ALTA ESTOFADA MOGNO</t>
  </si>
  <si>
    <t>CADEIRA ALTA ESTOFADA TABACO</t>
  </si>
  <si>
    <t>CADEIRA ALTA ESTOFADA IMBUIA</t>
  </si>
  <si>
    <t>CADEIRA RESTAURANTE CEREJEIRA</t>
  </si>
  <si>
    <t>CADEIRA RESTAURANTE MOGNO</t>
  </si>
  <si>
    <t>CADEIRA RESTAURANTE TABACO</t>
  </si>
  <si>
    <t>CADEIRA RESTAURANTE IMBUIA</t>
  </si>
  <si>
    <t>BANQUETA 0,50 CEREJEIRA</t>
  </si>
  <si>
    <t>BANQUETA 0,50 MOGNO</t>
  </si>
  <si>
    <t>BANQUETA 0,50 TABACO</t>
  </si>
  <si>
    <t>BANQUETA 0,50 IMBUIA</t>
  </si>
  <si>
    <t>BANQUETA 0,70 CEREJEIRA</t>
  </si>
  <si>
    <t>BANQUETA 0,70 MOGNO</t>
  </si>
  <si>
    <t>BANQUETA 0,70 TABACO</t>
  </si>
  <si>
    <t>BANQUETA 0,70 IMBUIA</t>
  </si>
  <si>
    <t>BELICHE CEREJEIRA</t>
  </si>
  <si>
    <t>BELICHE MOGNO</t>
  </si>
  <si>
    <t>BELICHE TABACO</t>
  </si>
  <si>
    <t>BELICHE IMBUIA</t>
  </si>
  <si>
    <t>CAMA SOLTEIRO CEREJEIRA</t>
  </si>
  <si>
    <t>CAMA SOLTEIRO MOGNO</t>
  </si>
  <si>
    <t>CAMA SOLTEIRO TABACO</t>
  </si>
  <si>
    <t>CAMA SOLTEIRO IMBUIA</t>
  </si>
  <si>
    <t>CAMA CASAL CEREJEIRA</t>
  </si>
  <si>
    <t>CAMA CASAL MOGNO</t>
  </si>
  <si>
    <t>CAMA CASAL TABACO</t>
  </si>
  <si>
    <t>CAMA CASAL IMBUIA</t>
  </si>
  <si>
    <t>BARRA DE CAMA CEREJEIRA</t>
  </si>
  <si>
    <t>BARRA DE CAMA MOGNO</t>
  </si>
  <si>
    <t>BARRA DE CAMA TABACO</t>
  </si>
  <si>
    <t>BARRA DE CAMA IMBUIA</t>
  </si>
  <si>
    <t>MESA 0,70 X 0,45 CEREJEIRA</t>
  </si>
  <si>
    <t>MESA 0,70 X 0,45 MOGNO</t>
  </si>
  <si>
    <t>MESA 0,70 X 0,45 TABACO</t>
  </si>
  <si>
    <t>MESA 0,70 X 0,45 IMBUIA</t>
  </si>
  <si>
    <t>MESA 0,75 X 0,75 CEREJEIRA</t>
  </si>
  <si>
    <t>MESA 0,75 X 0,75 MOGNO</t>
  </si>
  <si>
    <t>MESA 0,75 X 0,75 TABACO</t>
  </si>
  <si>
    <t>MESA 0,75 X 0,75 IMBUIA</t>
  </si>
  <si>
    <t>MESA 1,15 X 0,75 CEREJEIRA</t>
  </si>
  <si>
    <t>MESA 1,15 X 0,75 MOGNO</t>
  </si>
  <si>
    <t>MESA 1,15 X 0,75 TABACO</t>
  </si>
  <si>
    <t>MESA 1,15 X 0,75 IMBUIA</t>
  </si>
  <si>
    <t>MESA 1,50 X 0,80 CEREJEIRA</t>
  </si>
  <si>
    <t>MESA 1,50 X 0,80 MOGNO</t>
  </si>
  <si>
    <t>MESA 1,50 X 0,80 TABACO</t>
  </si>
  <si>
    <t>MESA 1,50 X 0,80 IMBUIA</t>
  </si>
  <si>
    <t>MESA 1,80 X 0,85 CEREJEIRA</t>
  </si>
  <si>
    <t>MESA 1,80 X 0,85 MOGNO</t>
  </si>
  <si>
    <t>MESA 1,80 X 0,85 TABACO</t>
  </si>
  <si>
    <t>MESA 1,80 X 0,85 IMBUIA</t>
  </si>
  <si>
    <t>MESA 2,00 X 0,88 CEREJEIRA</t>
  </si>
  <si>
    <t>MESA 2,00 X 0,88 MOGNO</t>
  </si>
  <si>
    <t>MESA 2,00 X 0,88 TABACO</t>
  </si>
  <si>
    <t>MESA 2,00 X 0,88 IMBUIA</t>
  </si>
  <si>
    <t>MESA 2,20 X 0,88 CEREJEIRA</t>
  </si>
  <si>
    <t>MESA 2,20 X 0,88 MOGNO</t>
  </si>
  <si>
    <t>MESA 2,20 X 0,88 TABACO</t>
  </si>
  <si>
    <t>MESA 2,20 X 0,88 IMBUIA</t>
  </si>
  <si>
    <t>MESA 0,75 CRIANÇA CEREJEIRA</t>
  </si>
  <si>
    <t>MESA 0,75 CRIANÇA MOGNO</t>
  </si>
  <si>
    <t>MESA 0,75 CRIANÇA TABACO</t>
  </si>
  <si>
    <t>MESA 0,75 CRIANÇA IMBUIA</t>
  </si>
  <si>
    <t>DALTRO</t>
  </si>
  <si>
    <t>DONI</t>
  </si>
  <si>
    <t>VALOR DA CARGA</t>
  </si>
  <si>
    <t>MESA 0,45 CRIANÇA CEREJEIRA</t>
  </si>
  <si>
    <t>MESA 0,45 CRIANÇA MOGNO</t>
  </si>
  <si>
    <t>MESA 0,45 CRIANÇA TABACO</t>
  </si>
  <si>
    <t>MESA 0,45 CRIANÇA IMBUIA</t>
  </si>
  <si>
    <t>MESA 1,10 X 0,45 CEREJEIRA</t>
  </si>
  <si>
    <t>MESA 1,10 X 0,45 MOGNO</t>
  </si>
  <si>
    <t>MESA 1,10 X 0,45 TABACO</t>
  </si>
  <si>
    <t>MESA 1,10 X 0,45 IMBUIA</t>
  </si>
  <si>
    <t>MESA MDP 0,75 X 0,75 CEREJEIRA</t>
  </si>
  <si>
    <t>MESA MDP 0,75 X 0,75 MOGNO</t>
  </si>
  <si>
    <t>MESA MDP 0,75 X 0,75 TABACO</t>
  </si>
  <si>
    <t>MESA MDP 0,75 X 0,75 IMBUIA</t>
  </si>
  <si>
    <t>MESA MDP 1,15 X 0,75 CEREJEIRA</t>
  </si>
  <si>
    <t>MESA MDP 1,15 X 0,75 MOGNO</t>
  </si>
  <si>
    <t>MESA MDP 1,15 X 0,75 TABACO</t>
  </si>
  <si>
    <t>MESA MDP 1,15 X 0,75 IMBUIA</t>
  </si>
  <si>
    <t>MESA MDP 1,50 X 0,80 CEREJEIRA</t>
  </si>
  <si>
    <t>MESA MDP 1,50 X 0,80 MOGNO</t>
  </si>
  <si>
    <t>MESA MDP 1,50 X 0,80 TABACO</t>
  </si>
  <si>
    <t>MESA MDP 1,50 X 0,80 IMBUIA</t>
  </si>
  <si>
    <t>MESA 0,80 X 0,80 CEREJEIRA</t>
  </si>
  <si>
    <t>MESA 0,80 X 0,80 MOGNO</t>
  </si>
  <si>
    <t>MESA 0,80 X 0,80 TABACO</t>
  </si>
  <si>
    <t>MESA 0,80 X 0,80 IMBUIA</t>
  </si>
  <si>
    <t>MESA 1,20 X 0,80 CEREJEIRA</t>
  </si>
  <si>
    <t>MESA 1,20 X 0,80 MOGNO</t>
  </si>
  <si>
    <t>MESA 1,20 X 0,80 TABACO</t>
  </si>
  <si>
    <t>MESA 1,20 X 0,80 IMBUIA</t>
  </si>
  <si>
    <t>MESA 1,60 X 0,80 CEREJEIRA</t>
  </si>
  <si>
    <t>MESA 1,60 X 0,80 MOGNO</t>
  </si>
  <si>
    <t>MESA 1,60 X 0,80 TABACO</t>
  </si>
  <si>
    <t>MESA 1,60 X 0,80 IMBUIA</t>
  </si>
  <si>
    <t>MESA 1,40 X 0,80 CEREJEIRA</t>
  </si>
  <si>
    <t>MESA 1,40 X 0,80 MOGNO</t>
  </si>
  <si>
    <t>MESA 1,40 X 0,80 TABACO</t>
  </si>
  <si>
    <t>MESA 1,40 X 0,80 IMBUIA</t>
  </si>
  <si>
    <t>TAMPO 1,20 CEREJEIRA</t>
  </si>
  <si>
    <t>TAMPO 1,20 MOGNO</t>
  </si>
  <si>
    <t>TAMPO 1,20 TABACO</t>
  </si>
  <si>
    <t>TAMPO 1,20 IMBUIA</t>
  </si>
  <si>
    <t>TAMPO 1,60 CEREJEIRA</t>
  </si>
  <si>
    <t>TAMPO 1,60 MOGNO</t>
  </si>
  <si>
    <t>TAMPO 1,60 TABACO</t>
  </si>
  <si>
    <t>TAMPO 1,60 IMBUIA</t>
  </si>
  <si>
    <t>TAMPO 0,45 CEREJEIRA</t>
  </si>
  <si>
    <t>TAMPO 0,45 MOGNO</t>
  </si>
  <si>
    <t>TAMPO 0,45 TABACO</t>
  </si>
  <si>
    <t>TAMPO 0,45 IMBUIA</t>
  </si>
  <si>
    <t>TAMPO 0,75 CEREJEIRA</t>
  </si>
  <si>
    <t>TAMPO 0,75 MOGNO</t>
  </si>
  <si>
    <t>TAMPO 0,75 TABACO</t>
  </si>
  <si>
    <t>TAMPO 0,75 IMBUIA</t>
  </si>
  <si>
    <t>TAMPO 0,80 CEREJEIRA</t>
  </si>
  <si>
    <t>TAMPO 0,80 MOGNO</t>
  </si>
  <si>
    <t>TAMPO 0,80 TABACO</t>
  </si>
  <si>
    <t>TAMPO 0,80 IMBUIA</t>
  </si>
  <si>
    <t>TAMPO 1,10 CEREJEIRA</t>
  </si>
  <si>
    <t>TAMPO 1,10 MOGNO</t>
  </si>
  <si>
    <t>TAMPO 1,10 TABACO</t>
  </si>
  <si>
    <t>TAMPO 1,10 IMBUIA</t>
  </si>
  <si>
    <t>TAMPO 1,15 CEREJEIRA</t>
  </si>
  <si>
    <t>TAMPO 1,15 MOGNO</t>
  </si>
  <si>
    <t>TAMPO 1,15 TABACO</t>
  </si>
  <si>
    <t>TAMPO 1,15 IMBUIA</t>
  </si>
  <si>
    <t>TAMPO 1,50 CEREJEIRA</t>
  </si>
  <si>
    <t>TAMPO 1,50 MOGNO</t>
  </si>
  <si>
    <t>TAMPO 1,50 TABACO</t>
  </si>
  <si>
    <t>TAMPO 1,50 IMBUIA</t>
  </si>
  <si>
    <t>TAMPO 1,80 CEREJEIRA</t>
  </si>
  <si>
    <t>TAMPO 1,80 MOGNO</t>
  </si>
  <si>
    <t>TAMPO 1,80 TABACO</t>
  </si>
  <si>
    <t>TAMPO 1,80 IMBUIA</t>
  </si>
  <si>
    <t>TAMPO 2,00 CEREJEIRA</t>
  </si>
  <si>
    <t>TAMPO 2,00 MOGNO</t>
  </si>
  <si>
    <t>TAMPO 2,00 TABACO</t>
  </si>
  <si>
    <t>TAMPO 2,00 IMBUIA</t>
  </si>
  <si>
    <t>TAMPO 2,20 CEREJEIRA</t>
  </si>
  <si>
    <t>TAMPO 2,20 MOGNO</t>
  </si>
  <si>
    <t>TAMPO 2,20 TABACO</t>
  </si>
  <si>
    <t>TAMPO 2,20 IMBUIA</t>
  </si>
  <si>
    <t>PÉ MESA 0,45 / 1,10  CEREJEIRA</t>
  </si>
  <si>
    <t>PÉ MESA 0,45 / 1,10 MOGNO</t>
  </si>
  <si>
    <t>PÉ MESA 0,45 / 1,10 TABACO</t>
  </si>
  <si>
    <t>PÉ MESA 0,45 / 1,10 IMBUIA</t>
  </si>
  <si>
    <t>PÉ MESA 0,75 / 1,15 CEREJEIRA</t>
  </si>
  <si>
    <t>PÉ MESA 0,75 / 1,15 MOGNO</t>
  </si>
  <si>
    <t>PÉ MESA 0,75 / 1,15 TABACO</t>
  </si>
  <si>
    <t>PÉ MESA 0,75 / 1,15 IMBUIA</t>
  </si>
  <si>
    <t>PÉ MESA 0,80/ 1,20 / 1,50 / 1,60 CEREJEIRA</t>
  </si>
  <si>
    <t>PÉ MESA 0,80/ 1,20 / 1,50 / 1,60 MOGNO</t>
  </si>
  <si>
    <t>PÉ MESA 0,80/ 1,20 / 1,50 / 1,60 TABACO</t>
  </si>
  <si>
    <t>PÉ MESA 0,80/ 1,20 / 1,50 / 1,60 IMBUIA</t>
  </si>
  <si>
    <t>PÉ MESA 1,80 CEREJEIRA</t>
  </si>
  <si>
    <t>PÉ MESA 1,80 MOGNO</t>
  </si>
  <si>
    <t>PÉ MESA 1,80 TABACO</t>
  </si>
  <si>
    <t>PÉ MESA 1,80 IMBUIA</t>
  </si>
  <si>
    <t>PÉ MESA 2,00 / 2,20 CEREJEIRA</t>
  </si>
  <si>
    <t>PÉ MESA 2,00 / 2,20 MOGNO</t>
  </si>
  <si>
    <t>PÉ MESA 2,00 / 2,20 TABACO</t>
  </si>
  <si>
    <t>PÉ MESA 2,00 / 2,20 IMBUIA</t>
  </si>
  <si>
    <t>BARRA MESA 0,45 CEREJEIRA</t>
  </si>
  <si>
    <t>BARRA MESA 0,45 MOGNO</t>
  </si>
  <si>
    <t>BARRA MESA 0,45 TABACO</t>
  </si>
  <si>
    <t>BARRA MESA 0,45 IMBUIA</t>
  </si>
  <si>
    <t>BARRA MESA 0,75 CEREJEIRA</t>
  </si>
  <si>
    <t>BARRA MESA 0,75 MOGNO</t>
  </si>
  <si>
    <t>BARRA MESA 0,75 TABACO</t>
  </si>
  <si>
    <t>BARRA MESA 0,75 IMBUIA</t>
  </si>
  <si>
    <t>BARRA MESA 0,80 CEREJEIRA</t>
  </si>
  <si>
    <t>BARRA MESA 0,80 MOGNO</t>
  </si>
  <si>
    <t>BARRA MESA 0,80 TABACO</t>
  </si>
  <si>
    <t>BARRA MESA 0,80 IMBUIA</t>
  </si>
  <si>
    <t>BARRA MESA 1,10 CEREJEIRA</t>
  </si>
  <si>
    <t>BARRA MESA 1,10 MOGNO</t>
  </si>
  <si>
    <t>BARRA MESA 1,10 TABACO</t>
  </si>
  <si>
    <t>BARRA MESA 1,10 IMBUIA</t>
  </si>
  <si>
    <t>BARRA MESA 1,15 CEREJEIRA</t>
  </si>
  <si>
    <t>BARRA MESA 1,15 MOGNO</t>
  </si>
  <si>
    <t>BARRA MESA 1,15 TABACO</t>
  </si>
  <si>
    <t>BARRA MESA 1,15 IMBUIA</t>
  </si>
  <si>
    <t>BARRA MESA 1,20 CEREJEIRA</t>
  </si>
  <si>
    <t>BARRA MESA 1,20 MOGNO</t>
  </si>
  <si>
    <t>BARRA MESA 1,20 TABACO</t>
  </si>
  <si>
    <t>BARRA MESA 1,20 IMBUIA</t>
  </si>
  <si>
    <t>BARRA MESA 1,50 CEREJEIRA</t>
  </si>
  <si>
    <t>BARRA MESA 1,50 MOGNO</t>
  </si>
  <si>
    <t>BARRA MESA 1,50 TABACO</t>
  </si>
  <si>
    <t>BARRA MESA 1,50 IMBUIA</t>
  </si>
  <si>
    <t>BARRA MESA 1,60 CEREJEIRA</t>
  </si>
  <si>
    <t>BARRA MESA 1,60 MOGNO</t>
  </si>
  <si>
    <t>BARRA MESA 1,60 TABACO</t>
  </si>
  <si>
    <t>BARRA MESA 1,60 IMBUIA</t>
  </si>
  <si>
    <t>BARRA MESA 1,80 CEREJEIRA</t>
  </si>
  <si>
    <t>BARRA MESA 1,80 MOGNO</t>
  </si>
  <si>
    <t>BARRA MESA 1,80 TABACO</t>
  </si>
  <si>
    <t>BARRA MESA 1,80 IMBUIA</t>
  </si>
  <si>
    <t>BARRA MESA 2,00 CEREJEIRA</t>
  </si>
  <si>
    <t>BARRA MESA 2,00 MOGNO</t>
  </si>
  <si>
    <t>BARRA MESA 2,00 TABACO</t>
  </si>
  <si>
    <t>BARRA MESA 2,00 IMBUIA</t>
  </si>
  <si>
    <t>BARRA MESA 2,20 CEREJEIRA</t>
  </si>
  <si>
    <t>BARRA MESA 2,20 MOGNO</t>
  </si>
  <si>
    <t>BARRA MESA 2,20 TABACO</t>
  </si>
  <si>
    <t>BARRA MESA 2,20 IMBUIA</t>
  </si>
  <si>
    <t>PESEIRA CAMA CASAL CEREJEIRA</t>
  </si>
  <si>
    <t>PESEIRA CAMA CASAL MOGNO</t>
  </si>
  <si>
    <t>PESEIRA CAMA CASAL TABACO</t>
  </si>
  <si>
    <t>PESEIRA CAMA CASAL IMBUIA</t>
  </si>
  <si>
    <t>PESEIRA CAMA SOLTEIRO CEREJEIRA</t>
  </si>
  <si>
    <t>PESEIRA CAMA SOLTEIRO MOGNO</t>
  </si>
  <si>
    <t>PESEIRA CAMA SOLTEIRO TABACO</t>
  </si>
  <si>
    <t>PESEIRA CAMA SOLTEIRO IMBUIA</t>
  </si>
  <si>
    <t>PESEIRA BELICHE CEREJEIRA</t>
  </si>
  <si>
    <t>PESEIRA BELICHE MOGNO</t>
  </si>
  <si>
    <t>PESEIRA BELICHE TABACO</t>
  </si>
  <si>
    <t>PESEIRA BELICHE IMBUIA</t>
  </si>
  <si>
    <t>CABECEIRA CASAL CEREJEIRA</t>
  </si>
  <si>
    <t>CABECEIRA CASAL MOGNO</t>
  </si>
  <si>
    <t>CABECEIRA CASAL TABACO</t>
  </si>
  <si>
    <t>CABECEIRA CASAL IMBUIA</t>
  </si>
  <si>
    <t>CABECEIRA SOLTEIRO CEREJEIRA</t>
  </si>
  <si>
    <t>CABECEIRA SOLTEIRO MOGNO</t>
  </si>
  <si>
    <t>CABECEIRA SOLTEIRO TABACO</t>
  </si>
  <si>
    <t>CABECEIRA SOLTEIRO IMBUIA</t>
  </si>
  <si>
    <t>CABECEIRA BELICHE CEREJEIRA</t>
  </si>
  <si>
    <t>CABECEIRA BELICHE MOGNO</t>
  </si>
  <si>
    <t>CABECEIRA BELICHE TABACO</t>
  </si>
  <si>
    <t>CABECEIRA BELICHE IMBUIA</t>
  </si>
  <si>
    <t>CABECEIRA BELICHE ANTIGA CEREJEIRA</t>
  </si>
  <si>
    <t>CABECEIRA BELICHE ANTIGA MOGNO</t>
  </si>
  <si>
    <t>CABECEIRA BELICHE ANTIGA TABACO</t>
  </si>
  <si>
    <t>CABECEIRA BELICHE ANTIGA IMBUIA</t>
  </si>
  <si>
    <t>ESTRADO BELICHE COMPLETO CEREJEIRA</t>
  </si>
  <si>
    <t>ESTRADO BELICHE COMPLETO MOGNO</t>
  </si>
  <si>
    <t>ESTRADO BELICHE COMPLETO TABACO</t>
  </si>
  <si>
    <t>ESTRADO BELICHE COMPLETO IMBUIA</t>
  </si>
  <si>
    <t>GRADE DE BELICHE CEREJEIRA</t>
  </si>
  <si>
    <t>GRADE DE BELICHE MOGNO</t>
  </si>
  <si>
    <t>GRADE DE BELICHE TABACO</t>
  </si>
  <si>
    <t>GRADE DE BELICHE IMBUIA</t>
  </si>
  <si>
    <t>ESCADA DE BELICHE CEREJEIRA</t>
  </si>
  <si>
    <t>ESCADA DE BELICHE MOGNO</t>
  </si>
  <si>
    <t>ESCADA DE BELICHE TABACO</t>
  </si>
  <si>
    <t>ESCADA DE BELICHE IMBUIA</t>
  </si>
  <si>
    <t xml:space="preserve">                                                        DADOS DO PEDIDO</t>
  </si>
  <si>
    <t>CUBAGEM É MEDIDA PELA SOMA DA CUBAGEM DO PCT ESTRADO + CUBAGEM DA CABECEIRA/PESEIRA</t>
  </si>
  <si>
    <t>FORROS</t>
  </si>
  <si>
    <t>SITUAÇÃO DA CARGA (M³)</t>
  </si>
  <si>
    <t>SITUAÇÃO DA CARGA (KG)</t>
  </si>
  <si>
    <t>CUBAGEM M³ (caixa)</t>
  </si>
  <si>
    <t>CUBAGEM (baseado em M²)</t>
  </si>
  <si>
    <t>METRAGEM MERCADORIA M²</t>
  </si>
  <si>
    <t>PESO DO CAMINHÃO (KG)</t>
  </si>
  <si>
    <t>Cadeira Comum</t>
  </si>
  <si>
    <t>Cadeira Alta</t>
  </si>
  <si>
    <t>Cadeira Criança</t>
  </si>
  <si>
    <t>Cadeira Alta Estofada</t>
  </si>
  <si>
    <t>Cadeira Restaurante</t>
  </si>
  <si>
    <t>Banqueta 0,50</t>
  </si>
  <si>
    <t>Banqueta 0,70</t>
  </si>
  <si>
    <t>Beliche</t>
  </si>
  <si>
    <t>Cama Solteiro</t>
  </si>
  <si>
    <t>Cama Casal</t>
  </si>
  <si>
    <t>Barra de Cama</t>
  </si>
  <si>
    <t>Ripas de Cama</t>
  </si>
  <si>
    <t>Mesa 0,70 X 0,45</t>
  </si>
  <si>
    <t>Mesa 0,75 X 0,75</t>
  </si>
  <si>
    <t>Mesa 1,15 X 0,75</t>
  </si>
  <si>
    <t>Mesa 1,50 X 0,80</t>
  </si>
  <si>
    <t>Mesa 1,80 X 0,85</t>
  </si>
  <si>
    <t>Mesa 2,00 X 0,88</t>
  </si>
  <si>
    <t>Mesa 2,20 X 0,88</t>
  </si>
  <si>
    <t>Mesa 1,10 X 0,45</t>
  </si>
  <si>
    <t>Mesa MDP 0,75 X 0,75</t>
  </si>
  <si>
    <t>Mesa MDP 1,15 X 0,75</t>
  </si>
  <si>
    <t>Mesa MDP 1,50 X 0,80</t>
  </si>
  <si>
    <t>Mesa 0,80 X 0,80</t>
  </si>
  <si>
    <t>Mesa 1,20 X 0,80</t>
  </si>
  <si>
    <t>Mesa 1,60 X 0,80</t>
  </si>
  <si>
    <t>Mesa 1,40 X 0,80</t>
  </si>
  <si>
    <t>Mesa 0,75 Criança</t>
  </si>
  <si>
    <t>Mesa 0,45 Criança</t>
  </si>
  <si>
    <t>Agulha Cadeira Alta</t>
  </si>
  <si>
    <t>Agulha Cadeira Comum</t>
  </si>
  <si>
    <t>Tampo 1,20</t>
  </si>
  <si>
    <t>Tampo 1,60</t>
  </si>
  <si>
    <t>Tampo 0,45</t>
  </si>
  <si>
    <t>Tampo 0,75</t>
  </si>
  <si>
    <t>Tampo 0,80</t>
  </si>
  <si>
    <t>Tampo 1,10</t>
  </si>
  <si>
    <t>Tampo 1,15</t>
  </si>
  <si>
    <t>Tampo 1,50</t>
  </si>
  <si>
    <t>Tampo 1,80</t>
  </si>
  <si>
    <t>Tampo 2,00</t>
  </si>
  <si>
    <t>Tampo 2,20</t>
  </si>
  <si>
    <t xml:space="preserve">Pé Mesa 0,45 / 1,10 </t>
  </si>
  <si>
    <t>Pé Mesa 0,75 / 1,15</t>
  </si>
  <si>
    <t>Pé Mesa 0,80/ 1,20 / 1,50 / 1,60</t>
  </si>
  <si>
    <t>Pé Mesa 1,80</t>
  </si>
  <si>
    <t>Pé Mesa 2,00 / 2,20</t>
  </si>
  <si>
    <t>Barra Mesa 0,45</t>
  </si>
  <si>
    <t>Barra Mesa 0,75</t>
  </si>
  <si>
    <t>Barra Mesa 0,80</t>
  </si>
  <si>
    <t>Barra Mesa 1,10</t>
  </si>
  <si>
    <t>Barra Mesa 1,15</t>
  </si>
  <si>
    <t>Barra Mesa 1,20</t>
  </si>
  <si>
    <t>Barra Mesa 1,50</t>
  </si>
  <si>
    <t>Barra Mesa 1,60</t>
  </si>
  <si>
    <t>Barra Mesa 1,80</t>
  </si>
  <si>
    <t>Barra Mesa 2,00</t>
  </si>
  <si>
    <t>Barra Mesa 2,20</t>
  </si>
  <si>
    <t>Peseira Cama Casal</t>
  </si>
  <si>
    <t>Peseira Cama Solteiro</t>
  </si>
  <si>
    <t>Peseira Beliche</t>
  </si>
  <si>
    <t>Cabeceira Beliche</t>
  </si>
  <si>
    <t>Cabeceira Casal</t>
  </si>
  <si>
    <t>Cabeceira Solteiro</t>
  </si>
  <si>
    <t>Cabeceira Beliche Antiga</t>
  </si>
  <si>
    <t>Estrado Beliche Completo</t>
  </si>
  <si>
    <t>Grade de Beliche</t>
  </si>
  <si>
    <t>Escada de Beliche</t>
  </si>
  <si>
    <t>Sarrafo Beliche</t>
  </si>
  <si>
    <t>Sarrafo Casal</t>
  </si>
  <si>
    <t>Sarrafo Solteiro</t>
  </si>
  <si>
    <t>Kit Parafusos Mesa 0,45 / 0,75</t>
  </si>
  <si>
    <t>Kit Parafusos Mesa 1,10 / 1,15</t>
  </si>
  <si>
    <t>Kit Parafusos Mesa 0,80 / 1,20 / 1,50 / 1,60</t>
  </si>
  <si>
    <t>Kit Parafusos Mesa 1,80 / 2,00 / 2,20</t>
  </si>
  <si>
    <t>Kit Parafusos Beliche</t>
  </si>
  <si>
    <t>Kit Parafusos Cama Solteiro</t>
  </si>
  <si>
    <t>Kit Parafusos Cama Casal</t>
  </si>
  <si>
    <t>Tingidor</t>
  </si>
  <si>
    <t>TINGIDOR</t>
  </si>
  <si>
    <t>PESO MOTORISTA + AJUDANTE</t>
  </si>
  <si>
    <t>ASSISTENCIA: BARRA MESA 2,00 IMBUIA</t>
  </si>
  <si>
    <t>ASSISTENCIA: CABECEIRA BELICHE IMBUIA</t>
  </si>
  <si>
    <t>ASSISTENCIA: CABECEIRA CASAL IMBUIA</t>
  </si>
  <si>
    <t>ASSISTENCIA: PESEIRA CASAL IMBUIA</t>
  </si>
  <si>
    <t>ASSISTENCIA: PÉ MESA 0,80/1,20/1,50/1,60 IMBUIA</t>
  </si>
  <si>
    <t>ASSISTENCIA: TAMPO MESA 0,75 BONACOR CEREJEIRA</t>
  </si>
  <si>
    <t>ASSISTENCIA: TAMPO MESA 1,80 BONACOR CEREJEIRA</t>
  </si>
  <si>
    <t>BANQUETA 0,50 CEREJEIRA 2001</t>
  </si>
  <si>
    <t>BANQUETA 0,50 IMBUIA 2001</t>
  </si>
  <si>
    <t>BARRA CAMA IMBUIA</t>
  </si>
  <si>
    <t>BELICHE PARIS IMBUIA 2001</t>
  </si>
  <si>
    <t>CADEIRA ALTA CEREJEIRA 2001</t>
  </si>
  <si>
    <t>CADEIRA ALTA IMBUIA 2001</t>
  </si>
  <si>
    <t>CADEIRA COMUM CEREJEIRA 2001</t>
  </si>
  <si>
    <t>CADEIRA COMUM IMBUIA 2001</t>
  </si>
  <si>
    <t>CAMA PARIS CASAL IMBUIA 2001</t>
  </si>
  <si>
    <t>CAMA PARIS SOLTEIRO IMBUIA 2001</t>
  </si>
  <si>
    <t>MESA BONACOR 0,70X0,45 CEREJEIRA 2001</t>
  </si>
  <si>
    <t>MESA BONACOR 0,70X0,45 IMBUIA 2001</t>
  </si>
  <si>
    <t>MESA BONACOR 0,75X0,75 CEREJEIRA 2001</t>
  </si>
  <si>
    <t>MESA BONACOR 0,75X0,75 IMBUIA 2001</t>
  </si>
  <si>
    <t>MESA BONACOR 1,10X0,45 CEREJEIRA 2001</t>
  </si>
  <si>
    <t>MESA BONACOR 1,10X0,45 IMBUIA 2001</t>
  </si>
  <si>
    <t>MESA BONACOR 1,10X0,45 TABACO 2001</t>
  </si>
  <si>
    <t>MESA BONACOR 1,15X0,75 CEREJEIRA 2001</t>
  </si>
  <si>
    <t>MESA BONACOR 1,15X0,75 IMBUIA 2001</t>
  </si>
  <si>
    <t>MESA BONACOR 1,20X0,80 CEREJEIRA 2001</t>
  </si>
  <si>
    <t>MESA BONACOR 1,50X0,80 CEREJEIRA 2001</t>
  </si>
  <si>
    <t>MESA BONACOR 1,50X0,80 IMBUIA 2001</t>
  </si>
  <si>
    <t>MESA BONACOR 1,60X0,80 IMBUIA 2001</t>
  </si>
  <si>
    <t>MESA BONACOR 1,80X0,85 IMBUIA 2001</t>
  </si>
  <si>
    <t>MESA BONACOR 2,00X0,88 CEREJEIRA 2001</t>
  </si>
  <si>
    <t>MESA BONACOR 2,00X0,88 IMBUIA 2001</t>
  </si>
  <si>
    <t xml:space="preserve">RIPAS </t>
  </si>
  <si>
    <t xml:space="preserve">SARRAFOS SOLTEIRO </t>
  </si>
  <si>
    <t>74569</t>
  </si>
  <si>
    <t>Tiete-Capricholar Moveis E Utensilios Ltda Me</t>
  </si>
  <si>
    <t>74568</t>
  </si>
  <si>
    <t>74689</t>
  </si>
  <si>
    <t xml:space="preserve">Sorocaba-Helio Koiti Inoue Moveis </t>
  </si>
  <si>
    <t>74688</t>
  </si>
  <si>
    <t>Sorocaba-Orlando Motoku Yabiku Me</t>
  </si>
  <si>
    <t>74687</t>
  </si>
  <si>
    <t>74686</t>
  </si>
  <si>
    <t>Piedade-Comercial Spm Eireli</t>
  </si>
  <si>
    <t>74658</t>
  </si>
  <si>
    <t>Pilar Do Sul-Fabricio Jose Di Rado</t>
  </si>
  <si>
    <t>74657</t>
  </si>
  <si>
    <t>Salto De Pirapora-Magazine Haddad Ltda</t>
  </si>
  <si>
    <t>74656</t>
  </si>
  <si>
    <t>74655</t>
  </si>
  <si>
    <t>Aracoiaba Da Serra-Pontual Eletromoveis Epp</t>
  </si>
  <si>
    <t>74480</t>
  </si>
  <si>
    <t xml:space="preserve">Tatui-Casa Dos Colchoes De Tatui Ltda </t>
  </si>
  <si>
    <t>74035</t>
  </si>
  <si>
    <t>Avare-Elson Marcio Siqueira Jamal</t>
  </si>
  <si>
    <t>74553</t>
  </si>
  <si>
    <t>Avare-Patricia Sueli Crivari Lopes Me</t>
  </si>
  <si>
    <t>74036</t>
  </si>
  <si>
    <t>Cerqueira Cesar-Casa Moveis E Colchoes Donadel Oli</t>
  </si>
  <si>
    <t>74653</t>
  </si>
  <si>
    <t>Manduri-Katia Francisca Zafalao - Me</t>
  </si>
  <si>
    <t>74652</t>
  </si>
  <si>
    <t>74651</t>
  </si>
  <si>
    <t>Bernardino De Campos-Cogo E Poma Cia Ltda</t>
  </si>
  <si>
    <t>74650</t>
  </si>
  <si>
    <t>Santa Cruz Do Rio Pardo-Santa Cruz Moveis Ltda</t>
  </si>
  <si>
    <t>74649</t>
  </si>
  <si>
    <t>74648</t>
  </si>
  <si>
    <t>Santa Cruz Do Rio Pardo-L D Comercio Moveis E Elet</t>
  </si>
  <si>
    <t>74647</t>
  </si>
  <si>
    <t>Santa Cruz Do Rio Pardo-Franciscon &amp; Cia Ltda</t>
  </si>
  <si>
    <t>74646</t>
  </si>
  <si>
    <t>Ourinhos-Lauro Tarloto 53861124815</t>
  </si>
  <si>
    <t>Sorocaba-Helio Koiti Inoue Moveis</t>
  </si>
  <si>
    <t>Tatui-Casa Dos Colchoes De Tatui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</si>
</sst>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"/>
    <numFmt numFmtId="165" formatCode="dd/mm"/>
    <numFmt numFmtId="166" formatCode="0.0"/>
    <numFmt numFmtId="167" formatCode="_-* #,##0_-;\-* #,##0_-;_-* &quot;-&quot;??_-;_-@_-"/>
    <numFmt numFmtId="168" formatCode="_(* #,##0.00_);_(* \(#,##0.00\);_(* \-??_);_(@_)"/>
    <numFmt numFmtId="169" formatCode="0.00000"/>
    <numFmt numFmtId="170" formatCode="0.00\ &quot;KG&quot;"/>
  </numFmts>
  <fonts count="2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FFFFFF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rgb="FF000000"/>
      <name val="Arial"/>
      <family val="2"/>
    </font>
    <font>
      <b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5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9" fontId="1" fillId="0" borderId="1" xfId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49" fontId="8" fillId="0" borderId="1" xfId="0" applyNumberFormat="1" applyFont="1" applyBorder="1"/>
    <xf numFmtId="0" fontId="0" fillId="4" borderId="0" xfId="0" applyFill="1"/>
    <xf numFmtId="0" fontId="0" fillId="0" borderId="0" xfId="0" pivotButton="1"/>
    <xf numFmtId="49" fontId="9" fillId="0" borderId="1" xfId="0" applyNumberFormat="1" applyFont="1" applyBorder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0" fillId="4" borderId="0" xfId="0" applyNumberFormat="1" applyFill="1"/>
    <xf numFmtId="164" fontId="11" fillId="0" borderId="1" xfId="0" applyNumberFormat="1" applyFont="1" applyBorder="1" applyAlignment="1">
      <alignment horizontal="center"/>
    </xf>
    <xf numFmtId="0" fontId="12" fillId="4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3" fillId="0" borderId="0" xfId="0" applyFont="1"/>
    <xf numFmtId="49" fontId="14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4" fontId="5" fillId="3" borderId="1" xfId="0" applyNumberFormat="1" applyFont="1" applyFill="1" applyBorder="1" applyAlignment="1">
      <alignment horizontal="right"/>
    </xf>
    <xf numFmtId="0" fontId="0" fillId="9" borderId="6" xfId="0" applyFill="1" applyBorder="1"/>
    <xf numFmtId="0" fontId="0" fillId="9" borderId="0" xfId="0" applyFill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9" fillId="9" borderId="0" xfId="0" applyFont="1" applyFill="1"/>
    <xf numFmtId="0" fontId="0" fillId="9" borderId="9" xfId="0" applyFill="1" applyBorder="1"/>
    <xf numFmtId="2" fontId="20" fillId="10" borderId="1" xfId="0" applyNumberFormat="1" applyFont="1" applyFill="1" applyBorder="1" applyAlignment="1">
      <alignment horizontal="center"/>
    </xf>
    <xf numFmtId="0" fontId="0" fillId="0" borderId="13" xfId="0" applyBorder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3" fontId="0" fillId="0" borderId="14" xfId="0" applyNumberFormat="1" applyBorder="1" applyAlignment="1" applyProtection="1">
      <alignment horizontal="center"/>
      <protection locked="0"/>
    </xf>
    <xf numFmtId="4" fontId="0" fillId="9" borderId="0" xfId="0" applyNumberFormat="1" applyFill="1" applyAlignment="1">
      <alignment horizontal="center"/>
    </xf>
    <xf numFmtId="0" fontId="19" fillId="9" borderId="0" xfId="0" applyFont="1" applyFill="1" applyAlignment="1">
      <alignment horizontal="center"/>
    </xf>
    <xf numFmtId="0" fontId="0" fillId="9" borderId="0" xfId="0" applyFill="1"/>
    <xf numFmtId="0" fontId="16" fillId="4" borderId="1" xfId="0" applyFont="1" applyFill="1" applyBorder="1" applyAlignment="1">
      <alignment horizontal="center"/>
    </xf>
    <xf numFmtId="0" fontId="0" fillId="11" borderId="1" xfId="0" quotePrefix="1" applyFill="1" applyBorder="1" applyAlignment="1" applyProtection="1">
      <alignment horizontal="left"/>
      <protection locked="0"/>
    </xf>
    <xf numFmtId="167" fontId="16" fillId="11" borderId="1" xfId="2" applyNumberFormat="1" applyFont="1" applyFill="1" applyBorder="1" applyAlignment="1" applyProtection="1">
      <alignment vertical="center"/>
      <protection locked="0"/>
    </xf>
    <xf numFmtId="4" fontId="0" fillId="0" borderId="1" xfId="0" applyNumberFormat="1" applyBorder="1" applyAlignment="1">
      <alignment horizontal="center"/>
    </xf>
    <xf numFmtId="0" fontId="0" fillId="15" borderId="1" xfId="0" quotePrefix="1" applyFill="1" applyBorder="1" applyAlignment="1" applyProtection="1">
      <alignment horizontal="left"/>
      <protection locked="0"/>
    </xf>
    <xf numFmtId="167" fontId="16" fillId="15" borderId="1" xfId="2" applyNumberFormat="1" applyFont="1" applyFill="1" applyBorder="1" applyAlignment="1" applyProtection="1">
      <alignment vertical="center"/>
      <protection locked="0"/>
    </xf>
    <xf numFmtId="4" fontId="0" fillId="15" borderId="1" xfId="0" applyNumberFormat="1" applyFill="1" applyBorder="1" applyAlignment="1">
      <alignment horizontal="center"/>
    </xf>
    <xf numFmtId="167" fontId="16" fillId="0" borderId="1" xfId="2" applyNumberFormat="1" applyFont="1" applyBorder="1" applyAlignment="1" applyProtection="1">
      <alignment vertical="center"/>
      <protection locked="0"/>
    </xf>
    <xf numFmtId="4" fontId="15" fillId="11" borderId="19" xfId="0" applyNumberFormat="1" applyFont="1" applyFill="1" applyBorder="1"/>
    <xf numFmtId="0" fontId="0" fillId="16" borderId="1" xfId="0" quotePrefix="1" applyFill="1" applyBorder="1" applyAlignment="1" applyProtection="1">
      <alignment horizontal="left"/>
      <protection locked="0"/>
    </xf>
    <xf numFmtId="0" fontId="24" fillId="9" borderId="0" xfId="0" applyFont="1" applyFill="1"/>
    <xf numFmtId="0" fontId="0" fillId="9" borderId="20" xfId="0" applyFill="1" applyBorder="1"/>
    <xf numFmtId="0" fontId="0" fillId="9" borderId="21" xfId="0" applyFill="1" applyBorder="1" applyAlignment="1">
      <alignment horizontal="center"/>
    </xf>
    <xf numFmtId="4" fontId="0" fillId="9" borderId="21" xfId="0" applyNumberFormat="1" applyFill="1" applyBorder="1" applyAlignment="1">
      <alignment horizontal="center"/>
    </xf>
    <xf numFmtId="0" fontId="19" fillId="9" borderId="21" xfId="0" applyFont="1" applyFill="1" applyBorder="1"/>
    <xf numFmtId="0" fontId="0" fillId="9" borderId="21" xfId="0" applyFill="1" applyBorder="1"/>
    <xf numFmtId="0" fontId="0" fillId="9" borderId="22" xfId="0" applyFill="1" applyBorder="1"/>
    <xf numFmtId="4" fontId="0" fillId="0" borderId="0" xfId="0" applyNumberFormat="1" applyAlignment="1">
      <alignment horizontal="center"/>
    </xf>
    <xf numFmtId="2" fontId="0" fillId="0" borderId="0" xfId="0" applyNumberFormat="1"/>
    <xf numFmtId="0" fontId="25" fillId="18" borderId="23" xfId="0" applyFont="1" applyFill="1" applyBorder="1" applyAlignment="1">
      <alignment horizontal="center" wrapText="1"/>
    </xf>
    <xf numFmtId="168" fontId="25" fillId="18" borderId="23" xfId="0" applyNumberFormat="1" applyFont="1" applyFill="1" applyBorder="1" applyAlignment="1">
      <alignment horizontal="center" wrapText="1"/>
    </xf>
    <xf numFmtId="0" fontId="25" fillId="18" borderId="2" xfId="0" applyFont="1" applyFill="1" applyBorder="1" applyAlignment="1">
      <alignment horizontal="center" wrapText="1"/>
    </xf>
    <xf numFmtId="0" fontId="0" fillId="11" borderId="1" xfId="0" applyFill="1" applyBorder="1"/>
    <xf numFmtId="0" fontId="0" fillId="11" borderId="0" xfId="0" applyFill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4" fontId="0" fillId="17" borderId="1" xfId="0" applyNumberFormat="1" applyFill="1" applyBorder="1" applyAlignment="1">
      <alignment horizontal="center"/>
    </xf>
    <xf numFmtId="4" fontId="0" fillId="11" borderId="1" xfId="0" applyNumberFormat="1" applyFill="1" applyBorder="1" applyAlignment="1">
      <alignment horizontal="center"/>
    </xf>
    <xf numFmtId="0" fontId="25" fillId="18" borderId="23" xfId="0" applyFont="1" applyFill="1" applyBorder="1" applyAlignment="1">
      <alignment horizontal="center" vertical="center" wrapText="1"/>
    </xf>
    <xf numFmtId="2" fontId="25" fillId="18" borderId="23" xfId="0" applyNumberFormat="1" applyFont="1" applyFill="1" applyBorder="1" applyAlignment="1">
      <alignment horizontal="center" vertical="center"/>
    </xf>
    <xf numFmtId="0" fontId="25" fillId="18" borderId="2" xfId="0" applyFont="1" applyFill="1" applyBorder="1" applyAlignment="1">
      <alignment horizontal="center" vertical="center" wrapText="1"/>
    </xf>
    <xf numFmtId="168" fontId="16" fillId="19" borderId="1" xfId="0" applyNumberFormat="1" applyFont="1" applyFill="1" applyBorder="1" applyAlignment="1">
      <alignment horizontal="center"/>
    </xf>
    <xf numFmtId="169" fontId="16" fillId="4" borderId="1" xfId="0" applyNumberFormat="1" applyFont="1" applyFill="1" applyBorder="1" applyAlignment="1">
      <alignment horizontal="center"/>
    </xf>
    <xf numFmtId="2" fontId="16" fillId="20" borderId="1" xfId="0" applyNumberFormat="1" applyFont="1" applyFill="1" applyBorder="1" applyAlignment="1">
      <alignment horizontal="center"/>
    </xf>
    <xf numFmtId="0" fontId="16" fillId="20" borderId="1" xfId="0" quotePrefix="1" applyFont="1" applyFill="1" applyBorder="1" applyAlignment="1">
      <alignment horizontal="left"/>
    </xf>
    <xf numFmtId="49" fontId="16" fillId="21" borderId="1" xfId="0" applyNumberFormat="1" applyFont="1" applyFill="1" applyBorder="1"/>
    <xf numFmtId="0" fontId="16" fillId="21" borderId="1" xfId="0" applyFont="1" applyFill="1" applyBorder="1" applyAlignment="1">
      <alignment horizontal="center"/>
    </xf>
    <xf numFmtId="0" fontId="0" fillId="22" borderId="13" xfId="0" applyFill="1" applyBorder="1" applyProtection="1">
      <protection locked="0"/>
    </xf>
    <xf numFmtId="3" fontId="0" fillId="22" borderId="14" xfId="0" applyNumberFormat="1" applyFill="1" applyBorder="1" applyAlignment="1" applyProtection="1">
      <alignment horizontal="center"/>
      <protection locked="0"/>
    </xf>
    <xf numFmtId="0" fontId="0" fillId="19" borderId="13" xfId="0" applyFill="1" applyBorder="1" applyProtection="1">
      <protection locked="0"/>
    </xf>
    <xf numFmtId="3" fontId="0" fillId="19" borderId="14" xfId="0" applyNumberFormat="1" applyFill="1" applyBorder="1" applyAlignment="1" applyProtection="1">
      <alignment horizontal="center"/>
      <protection locked="0"/>
    </xf>
    <xf numFmtId="0" fontId="16" fillId="13" borderId="10" xfId="0" applyFont="1" applyFill="1" applyBorder="1"/>
    <xf numFmtId="0" fontId="16" fillId="13" borderId="11" xfId="0" applyFont="1" applyFill="1" applyBorder="1" applyAlignment="1">
      <alignment horizontal="center"/>
    </xf>
    <xf numFmtId="0" fontId="16" fillId="13" borderId="12" xfId="0" applyFont="1" applyFill="1" applyBorder="1" applyAlignment="1">
      <alignment horizontal="center"/>
    </xf>
    <xf numFmtId="2" fontId="0" fillId="22" borderId="1" xfId="0" applyNumberFormat="1" applyFill="1" applyBorder="1" applyAlignment="1" applyProtection="1">
      <alignment horizontal="center"/>
      <protection locked="0"/>
    </xf>
    <xf numFmtId="2" fontId="0" fillId="19" borderId="1" xfId="0" applyNumberFormat="1" applyFill="1" applyBorder="1" applyAlignment="1" applyProtection="1">
      <alignment horizontal="center"/>
      <protection locked="0"/>
    </xf>
    <xf numFmtId="0" fontId="26" fillId="8" borderId="3" xfId="0" applyFont="1" applyFill="1" applyBorder="1" applyAlignment="1"/>
    <xf numFmtId="170" fontId="16" fillId="22" borderId="0" xfId="0" applyNumberFormat="1" applyFont="1" applyFill="1"/>
    <xf numFmtId="170" fontId="16" fillId="19" borderId="0" xfId="0" applyNumberFormat="1" applyFont="1" applyFill="1"/>
    <xf numFmtId="10" fontId="17" fillId="0" borderId="0" xfId="1" applyNumberFormat="1" applyFont="1"/>
    <xf numFmtId="4" fontId="16" fillId="11" borderId="1" xfId="0" applyNumberFormat="1" applyFont="1" applyFill="1" applyBorder="1" applyAlignment="1">
      <alignment horizontal="center"/>
    </xf>
    <xf numFmtId="4" fontId="16" fillId="11" borderId="15" xfId="0" applyNumberFormat="1" applyFont="1" applyFill="1" applyBorder="1" applyAlignment="1">
      <alignment horizontal="center"/>
    </xf>
    <xf numFmtId="4" fontId="0" fillId="15" borderId="1" xfId="0" applyNumberFormat="1" applyFill="1" applyBorder="1" applyAlignment="1">
      <alignment horizontal="left"/>
    </xf>
    <xf numFmtId="0" fontId="20" fillId="5" borderId="15" xfId="0" applyFont="1" applyFill="1" applyBorder="1" applyAlignment="1">
      <alignment horizontal="center"/>
    </xf>
    <xf numFmtId="0" fontId="20" fillId="5" borderId="16" xfId="0" applyFont="1" applyFill="1" applyBorder="1" applyAlignment="1">
      <alignment horizontal="center"/>
    </xf>
    <xf numFmtId="0" fontId="26" fillId="8" borderId="3" xfId="0" applyFont="1" applyFill="1" applyBorder="1" applyAlignment="1">
      <alignment horizontal="center"/>
    </xf>
    <xf numFmtId="0" fontId="26" fillId="8" borderId="4" xfId="0" applyFont="1" applyFill="1" applyBorder="1" applyAlignment="1">
      <alignment horizontal="center"/>
    </xf>
    <xf numFmtId="44" fontId="1" fillId="4" borderId="15" xfId="0" applyNumberFormat="1" applyFont="1" applyFill="1" applyBorder="1" applyAlignment="1">
      <alignment horizontal="center"/>
    </xf>
    <xf numFmtId="44" fontId="1" fillId="4" borderId="16" xfId="0" applyNumberFormat="1" applyFont="1" applyFill="1" applyBorder="1" applyAlignment="1">
      <alignment horizontal="center"/>
    </xf>
    <xf numFmtId="0" fontId="20" fillId="9" borderId="7" xfId="0" applyFont="1" applyFill="1" applyBorder="1" applyAlignment="1">
      <alignment horizontal="center"/>
    </xf>
    <xf numFmtId="4" fontId="0" fillId="0" borderId="1" xfId="0" applyNumberFormat="1" applyBorder="1" applyAlignment="1">
      <alignment horizontal="left"/>
    </xf>
    <xf numFmtId="4" fontId="0" fillId="15" borderId="15" xfId="0" applyNumberFormat="1" applyFill="1" applyBorder="1" applyAlignment="1">
      <alignment horizontal="left"/>
    </xf>
    <xf numFmtId="4" fontId="0" fillId="15" borderId="17" xfId="0" applyNumberFormat="1" applyFill="1" applyBorder="1" applyAlignment="1">
      <alignment horizontal="left"/>
    </xf>
    <xf numFmtId="4" fontId="0" fillId="15" borderId="16" xfId="0" applyNumberFormat="1" applyFill="1" applyBorder="1" applyAlignment="1">
      <alignment horizontal="left"/>
    </xf>
    <xf numFmtId="4" fontId="16" fillId="23" borderId="15" xfId="0" applyNumberFormat="1" applyFont="1" applyFill="1" applyBorder="1" applyAlignment="1">
      <alignment horizontal="center"/>
    </xf>
    <xf numFmtId="4" fontId="16" fillId="23" borderId="16" xfId="0" applyNumberFormat="1" applyFont="1" applyFill="1" applyBorder="1" applyAlignment="1">
      <alignment horizontal="center"/>
    </xf>
    <xf numFmtId="4" fontId="0" fillId="0" borderId="15" xfId="0" applyNumberFormat="1" applyBorder="1" applyAlignment="1">
      <alignment horizontal="left"/>
    </xf>
    <xf numFmtId="4" fontId="0" fillId="0" borderId="17" xfId="0" applyNumberFormat="1" applyBorder="1" applyAlignment="1">
      <alignment horizontal="left"/>
    </xf>
    <xf numFmtId="4" fontId="0" fillId="0" borderId="16" xfId="0" applyNumberFormat="1" applyBorder="1" applyAlignment="1">
      <alignment horizontal="left"/>
    </xf>
    <xf numFmtId="0" fontId="23" fillId="9" borderId="17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/>
    </xf>
    <xf numFmtId="0" fontId="23" fillId="9" borderId="0" xfId="0" applyFont="1" applyFill="1" applyBorder="1" applyAlignment="1">
      <alignment horizontal="center"/>
    </xf>
    <xf numFmtId="0" fontId="18" fillId="8" borderId="3" xfId="0" applyFont="1" applyFill="1" applyBorder="1" applyAlignment="1">
      <alignment horizontal="center"/>
    </xf>
    <xf numFmtId="0" fontId="18" fillId="8" borderId="4" xfId="0" applyFont="1" applyFill="1" applyBorder="1" applyAlignment="1">
      <alignment horizontal="center"/>
    </xf>
    <xf numFmtId="0" fontId="18" fillId="8" borderId="5" xfId="0" applyFont="1" applyFill="1" applyBorder="1" applyAlignment="1">
      <alignment horizontal="center"/>
    </xf>
    <xf numFmtId="0" fontId="16" fillId="9" borderId="8" xfId="0" applyFont="1" applyFill="1" applyBorder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3" fontId="16" fillId="7" borderId="15" xfId="0" applyNumberFormat="1" applyFont="1" applyFill="1" applyBorder="1" applyAlignment="1">
      <alignment horizontal="center"/>
    </xf>
    <xf numFmtId="3" fontId="16" fillId="7" borderId="16" xfId="0" applyNumberFormat="1" applyFont="1" applyFill="1" applyBorder="1" applyAlignment="1">
      <alignment horizontal="center"/>
    </xf>
    <xf numFmtId="0" fontId="16" fillId="9" borderId="0" xfId="0" applyFont="1" applyFill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6" fillId="11" borderId="15" xfId="0" applyFont="1" applyFill="1" applyBorder="1" applyAlignment="1" applyProtection="1">
      <alignment horizontal="center"/>
      <protection locked="0"/>
    </xf>
    <xf numFmtId="0" fontId="16" fillId="11" borderId="16" xfId="0" applyFont="1" applyFill="1" applyBorder="1" applyAlignment="1" applyProtection="1">
      <alignment horizontal="center"/>
      <protection locked="0"/>
    </xf>
    <xf numFmtId="0" fontId="16" fillId="14" borderId="7" xfId="0" applyFont="1" applyFill="1" applyBorder="1" applyAlignment="1">
      <alignment horizontal="center"/>
    </xf>
    <xf numFmtId="0" fontId="16" fillId="4" borderId="15" xfId="0" applyFont="1" applyFill="1" applyBorder="1" applyAlignment="1">
      <alignment horizontal="center"/>
    </xf>
    <xf numFmtId="0" fontId="16" fillId="4" borderId="17" xfId="0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2" fontId="20" fillId="12" borderId="15" xfId="0" applyNumberFormat="1" applyFont="1" applyFill="1" applyBorder="1" applyAlignment="1">
      <alignment horizontal="center"/>
    </xf>
    <xf numFmtId="2" fontId="20" fillId="12" borderId="16" xfId="0" applyNumberFormat="1" applyFont="1" applyFill="1" applyBorder="1" applyAlignment="1">
      <alignment horizontal="center"/>
    </xf>
    <xf numFmtId="2" fontId="20" fillId="13" borderId="15" xfId="0" applyNumberFormat="1" applyFont="1" applyFill="1" applyBorder="1" applyAlignment="1">
      <alignment horizontal="center"/>
    </xf>
    <xf numFmtId="2" fontId="20" fillId="13" borderId="16" xfId="0" applyNumberFormat="1" applyFont="1" applyFill="1" applyBorder="1" applyAlignment="1">
      <alignment horizontal="center"/>
    </xf>
    <xf numFmtId="0" fontId="21" fillId="9" borderId="0" xfId="0" applyFont="1" applyFill="1" applyAlignment="1">
      <alignment horizontal="center"/>
    </xf>
    <xf numFmtId="0" fontId="22" fillId="9" borderId="0" xfId="0" applyFont="1" applyFill="1" applyAlignment="1">
      <alignment horizontal="center"/>
    </xf>
    <xf numFmtId="3" fontId="21" fillId="11" borderId="15" xfId="0" applyNumberFormat="1" applyFont="1" applyFill="1" applyBorder="1" applyAlignment="1" applyProtection="1">
      <alignment horizontal="center"/>
      <protection locked="0"/>
    </xf>
    <xf numFmtId="3" fontId="21" fillId="11" borderId="16" xfId="0" applyNumberFormat="1" applyFont="1" applyFill="1" applyBorder="1" applyAlignment="1" applyProtection="1">
      <alignment horizontal="center"/>
      <protection locked="0"/>
    </xf>
    <xf numFmtId="0" fontId="23" fillId="9" borderId="7" xfId="0" applyFont="1" applyFill="1" applyBorder="1" applyAlignment="1">
      <alignment horizontal="center"/>
    </xf>
    <xf numFmtId="3" fontId="16" fillId="23" borderId="15" xfId="0" applyNumberFormat="1" applyFont="1" applyFill="1" applyBorder="1" applyAlignment="1">
      <alignment horizontal="center"/>
    </xf>
    <xf numFmtId="3" fontId="16" fillId="23" borderId="16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Normal" xfId="0" builtinId="0"/>
    <cellStyle name="Porcentagem" xfId="1" builtinId="5"/>
    <cellStyle name="Vírgula" xfId="2" builtinId="3"/>
  </cellStyles>
  <dxfs count="1333"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ill>
        <patternFill>
          <fgColor theme="0"/>
        </patternFill>
      </fill>
    </dxf>
    <dxf>
      <font>
        <color theme="0"/>
      </font>
    </dxf>
    <dxf>
      <font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0"/>
        </patternFill>
      </fill>
    </dxf>
    <dxf>
      <font>
        <color theme="0"/>
      </font>
    </dxf>
    <dxf>
      <font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ont>
        <b/>
        <i val="0"/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>
          <fgColor auto="1"/>
          <bgColor rgb="FFFFFF0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numFmt numFmtId="164" formatCode="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1" defaultTableStyle="TableStyleMedium2" defaultPivotStyle="PivotStyleLight16">
    <tableStyle name="Estilo de Tabela Dinâmica 1" table="0" count="0" xr9:uid="{00000000-0011-0000-FFFF-FFFF00000000}"/>
  </tableStyles>
  <colors>
    <mruColors>
      <color rgb="FFE37949"/>
      <color rgb="FF305496"/>
      <color rgb="FF325496"/>
      <color rgb="FF303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07483632"/>
        <c:axId val="1807497360"/>
      </c:barChart>
      <c:catAx>
        <c:axId val="1807483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7497360"/>
        <c:crosses val="autoZero"/>
        <c:auto val="1"/>
        <c:lblAlgn val="ctr"/>
        <c:lblOffset val="100"/>
        <c:noMultiLvlLbl val="0"/>
      </c:catAx>
      <c:valAx>
        <c:axId val="1807497360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807483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 sz="1200" b="1">
                <a:solidFill>
                  <a:sysClr val="windowText" lastClr="000000"/>
                </a:solidFill>
                <a:latin typeface="+mn-lt"/>
              </a:rPr>
              <a:t>Volume</a:t>
            </a:r>
          </a:p>
        </c:rich>
      </c:tx>
      <c:layout>
        <c:manualLayout>
          <c:xMode val="edge"/>
          <c:yMode val="edge"/>
          <c:x val="0.73866340570393818"/>
          <c:y val="0.19523117302644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7789150663824663"/>
          <c:y val="0.15665423401022241"/>
          <c:w val="0.71196398380174508"/>
          <c:h val="0.5941723074089423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20402543908330348"/>
                  <c:y val="0.231570765192812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FC-409B-A29C-3D5DE315C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SIMULADOR!$V$1</c:f>
              <c:numCache>
                <c:formatCode>0.00%</c:formatCode>
                <c:ptCount val="1"/>
                <c:pt idx="0">
                  <c:v>0.90570958027773441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6-4F3A-AB5B-AF71B055E7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07483632"/>
        <c:axId val="1807497360"/>
      </c:barChart>
      <c:catAx>
        <c:axId val="1807483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7497360"/>
        <c:crosses val="autoZero"/>
        <c:auto val="1"/>
        <c:lblAlgn val="ctr"/>
        <c:lblOffset val="100"/>
        <c:noMultiLvlLbl val="0"/>
      </c:catAx>
      <c:valAx>
        <c:axId val="1807497360"/>
        <c:scaling>
          <c:orientation val="minMax"/>
          <c:max val="1"/>
          <c:min val="0"/>
        </c:scaling>
        <c:delete val="1"/>
        <c:axPos val="l"/>
        <c:numFmt formatCode="0.00%" sourceLinked="1"/>
        <c:majorTickMark val="out"/>
        <c:minorTickMark val="none"/>
        <c:tickLblPos val="nextTo"/>
        <c:crossAx val="1807483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 sz="1200" b="1">
                <a:solidFill>
                  <a:sysClr val="windowText" lastClr="000000"/>
                </a:solidFill>
                <a:latin typeface="+mn-lt"/>
              </a:rPr>
              <a:t>Peso</a:t>
            </a:r>
          </a:p>
        </c:rich>
      </c:tx>
      <c:layout>
        <c:manualLayout>
          <c:xMode val="edge"/>
          <c:yMode val="edge"/>
          <c:x val="0.62834034403917916"/>
          <c:y val="0.19523117302644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713504535531223"/>
          <c:y val="0.15665455279628507"/>
          <c:w val="0.70565980884947321"/>
          <c:h val="0.5941723074089423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3"/>
                </a:gs>
                <a:gs pos="100000">
                  <a:schemeClr val="accent3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21118986090110986"/>
                  <c:y val="0.1948738138501918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96F-4C04-891B-07AF86A736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SIMULADOR!$V$2</c:f>
              <c:numCache>
                <c:formatCode>0.00%</c:formatCode>
                <c:ptCount val="1"/>
                <c:pt idx="0">
                  <c:v>0.93899999999999995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F-4C04-891B-07AF86A736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07483632"/>
        <c:axId val="1807497360"/>
      </c:barChart>
      <c:catAx>
        <c:axId val="1807483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7497360"/>
        <c:crosses val="autoZero"/>
        <c:auto val="1"/>
        <c:lblAlgn val="ctr"/>
        <c:lblOffset val="100"/>
        <c:noMultiLvlLbl val="0"/>
      </c:catAx>
      <c:valAx>
        <c:axId val="1807497360"/>
        <c:scaling>
          <c:orientation val="minMax"/>
          <c:max val="1"/>
          <c:min val="0"/>
        </c:scaling>
        <c:delete val="1"/>
        <c:axPos val="l"/>
        <c:numFmt formatCode="0.00%" sourceLinked="1"/>
        <c:majorTickMark val="out"/>
        <c:minorTickMark val="none"/>
        <c:tickLblPos val="nextTo"/>
        <c:crossAx val="1807483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1</xdr:row>
      <xdr:rowOff>104775</xdr:rowOff>
    </xdr:from>
    <xdr:to>
      <xdr:col>6</xdr:col>
      <xdr:colOff>1114425</xdr:colOff>
      <xdr:row>11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AD9810A-DD22-4F42-814C-73C2B330C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838199</xdr:colOff>
      <xdr:row>3</xdr:row>
      <xdr:rowOff>19051</xdr:rowOff>
    </xdr:from>
    <xdr:to>
      <xdr:col>6</xdr:col>
      <xdr:colOff>2182243</xdr:colOff>
      <xdr:row>9</xdr:row>
      <xdr:rowOff>94843</xdr:rowOff>
    </xdr:to>
    <xdr:pic>
      <xdr:nvPicPr>
        <xdr:cNvPr id="13" name="Imagem 12" descr="https://img.freepik.com/fotos-gratis/3d-render-carga-entrega-veiculo_1048-5605.jpg?size=626&amp;ext=jpg">
          <a:extLst>
            <a:ext uri="{FF2B5EF4-FFF2-40B4-BE49-F238E27FC236}">
              <a16:creationId xmlns:a16="http://schemas.microsoft.com/office/drawing/2014/main" id="{5A2F2442-EF71-4483-BBCE-EC8B23C6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09" b="89680" l="5112" r="95367">
                      <a14:foregroundMark x1="17252" y1="17438" x2="17252" y2="17438"/>
                      <a14:foregroundMark x1="12460" y1="28470" x2="12460" y2="28470"/>
                      <a14:foregroundMark x1="10383" y1="38078" x2="10383" y2="38078"/>
                      <a14:foregroundMark x1="8147" y1="47331" x2="8147" y2="47331"/>
                      <a14:foregroundMark x1="7827" y1="56228" x2="7827" y2="56228"/>
                      <a14:foregroundMark x1="5272" y1="53381" x2="5272" y2="53381"/>
                      <a14:foregroundMark x1="5272" y1="62989" x2="5272" y2="62989"/>
                      <a14:foregroundMark x1="5112" y1="69039" x2="5112" y2="69039"/>
                      <a14:foregroundMark x1="26518" y1="69751" x2="26518" y2="69751"/>
                      <a14:foregroundMark x1="23323" y1="69039" x2="23323" y2="69039"/>
                      <a14:foregroundMark x1="29073" y1="68327" x2="29073" y2="68327"/>
                      <a14:foregroundMark x1="29073" y1="59431" x2="29073" y2="59431"/>
                      <a14:foregroundMark x1="36102" y1="40925" x2="36102" y2="40925"/>
                      <a14:foregroundMark x1="28594" y1="58007" x2="28594" y2="58007"/>
                      <a14:foregroundMark x1="34824" y1="44840" x2="34824" y2="44840"/>
                      <a14:foregroundMark x1="35304" y1="30249" x2="52236" y2="28470"/>
                      <a14:foregroundMark x1="52236" y1="28470" x2="63259" y2="28470"/>
                      <a14:foregroundMark x1="63259" y1="28470" x2="38498" y2="48043"/>
                      <a14:foregroundMark x1="38498" y1="48043" x2="30511" y2="47687"/>
                      <a14:foregroundMark x1="30511" y1="47687" x2="35304" y2="30605"/>
                      <a14:foregroundMark x1="35304" y1="30605" x2="39617" y2="30605"/>
                      <a14:foregroundMark x1="72684" y1="17082" x2="69489" y2="33808"/>
                      <a14:foregroundMark x1="69489" y1="33808" x2="81789" y2="33808"/>
                      <a14:foregroundMark x1="81789" y1="33808" x2="89936" y2="26690"/>
                      <a14:foregroundMark x1="89936" y1="26690" x2="68850" y2="23488"/>
                      <a14:foregroundMark x1="68850" y1="23488" x2="63099" y2="24911"/>
                      <a14:foregroundMark x1="91693" y1="22776" x2="91054" y2="26690"/>
                      <a14:foregroundMark x1="90895" y1="25623" x2="90895" y2="25623"/>
                      <a14:foregroundMark x1="95367" y1="18149" x2="95367" y2="18149"/>
                      <a14:foregroundMark x1="73323" y1="12456" x2="73323" y2="12456"/>
                      <a14:foregroundMark x1="42332" y1="12100" x2="42332" y2="121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4" y="666751"/>
          <a:ext cx="3049019" cy="1294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180975</xdr:colOff>
      <xdr:row>3</xdr:row>
      <xdr:rowOff>28575</xdr:rowOff>
    </xdr:from>
    <xdr:to>
      <xdr:col>6</xdr:col>
      <xdr:colOff>2505076</xdr:colOff>
      <xdr:row>8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F57FDC4-7E40-4B64-BD80-3F72CB832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409575</xdr:colOff>
      <xdr:row>4</xdr:row>
      <xdr:rowOff>123826</xdr:rowOff>
    </xdr:from>
    <xdr:to>
      <xdr:col>6</xdr:col>
      <xdr:colOff>1524000</xdr:colOff>
      <xdr:row>6</xdr:row>
      <xdr:rowOff>67316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8DCF73-40A1-4951-AB79-E68494723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62026"/>
          <a:ext cx="1114425" cy="334015"/>
        </a:xfrm>
        <a:prstGeom prst="rect">
          <a:avLst/>
        </a:prstGeom>
      </xdr:spPr>
    </xdr:pic>
    <xdr:clientData/>
  </xdr:twoCellAnchor>
  <xdr:twoCellAnchor>
    <xdr:from>
      <xdr:col>4</xdr:col>
      <xdr:colOff>819150</xdr:colOff>
      <xdr:row>8</xdr:row>
      <xdr:rowOff>95250</xdr:rowOff>
    </xdr:from>
    <xdr:to>
      <xdr:col>6</xdr:col>
      <xdr:colOff>2163194</xdr:colOff>
      <xdr:row>14</xdr:row>
      <xdr:rowOff>180567</xdr:rowOff>
    </xdr:to>
    <xdr:pic>
      <xdr:nvPicPr>
        <xdr:cNvPr id="6" name="Imagem 5" descr="https://img.freepik.com/fotos-gratis/3d-render-carga-entrega-veiculo_1048-5605.jpg?size=626&amp;ext=jpg">
          <a:extLst>
            <a:ext uri="{FF2B5EF4-FFF2-40B4-BE49-F238E27FC236}">
              <a16:creationId xmlns:a16="http://schemas.microsoft.com/office/drawing/2014/main" id="{4C37D9E0-3126-442C-B315-0A4A60D9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09" b="89680" l="5112" r="95367">
                      <a14:foregroundMark x1="17252" y1="17438" x2="17252" y2="17438"/>
                      <a14:foregroundMark x1="12460" y1="28470" x2="12460" y2="28470"/>
                      <a14:foregroundMark x1="10383" y1="38078" x2="10383" y2="38078"/>
                      <a14:foregroundMark x1="8147" y1="47331" x2="8147" y2="47331"/>
                      <a14:foregroundMark x1="7827" y1="56228" x2="7827" y2="56228"/>
                      <a14:foregroundMark x1="5272" y1="53381" x2="5272" y2="53381"/>
                      <a14:foregroundMark x1="5272" y1="62989" x2="5272" y2="62989"/>
                      <a14:foregroundMark x1="5112" y1="69039" x2="5112" y2="69039"/>
                      <a14:foregroundMark x1="26518" y1="69751" x2="26518" y2="69751"/>
                      <a14:foregroundMark x1="23323" y1="69039" x2="23323" y2="69039"/>
                      <a14:foregroundMark x1="29073" y1="68327" x2="29073" y2="68327"/>
                      <a14:foregroundMark x1="29073" y1="59431" x2="29073" y2="59431"/>
                      <a14:foregroundMark x1="36102" y1="40925" x2="36102" y2="40925"/>
                      <a14:foregroundMark x1="28594" y1="58007" x2="28594" y2="58007"/>
                      <a14:foregroundMark x1="34824" y1="44840" x2="34824" y2="44840"/>
                      <a14:foregroundMark x1="35304" y1="30249" x2="52236" y2="28470"/>
                      <a14:foregroundMark x1="52236" y1="28470" x2="63259" y2="28470"/>
                      <a14:foregroundMark x1="63259" y1="28470" x2="38498" y2="48043"/>
                      <a14:foregroundMark x1="38498" y1="48043" x2="30511" y2="47687"/>
                      <a14:foregroundMark x1="30511" y1="47687" x2="35304" y2="30605"/>
                      <a14:foregroundMark x1="35304" y1="30605" x2="39617" y2="30605"/>
                      <a14:foregroundMark x1="72684" y1="17082" x2="69489" y2="33808"/>
                      <a14:foregroundMark x1="69489" y1="33808" x2="81789" y2="33808"/>
                      <a14:foregroundMark x1="81789" y1="33808" x2="89936" y2="26690"/>
                      <a14:foregroundMark x1="89936" y1="26690" x2="68850" y2="23488"/>
                      <a14:foregroundMark x1="68850" y1="23488" x2="63099" y2="24911"/>
                      <a14:foregroundMark x1="91693" y1="22776" x2="91054" y2="26690"/>
                      <a14:foregroundMark x1="90895" y1="25623" x2="90895" y2="25623"/>
                      <a14:foregroundMark x1="95367" y1="18149" x2="95367" y2="18149"/>
                      <a14:foregroundMark x1="73323" y1="12456" x2="73323" y2="12456"/>
                      <a14:foregroundMark x1="42332" y1="12100" x2="42332" y2="121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762125"/>
          <a:ext cx="3049019" cy="1294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819150</xdr:colOff>
      <xdr:row>8</xdr:row>
      <xdr:rowOff>95250</xdr:rowOff>
    </xdr:from>
    <xdr:to>
      <xdr:col>7</xdr:col>
      <xdr:colOff>590551</xdr:colOff>
      <xdr:row>13</xdr:row>
      <xdr:rowOff>66675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D053CC8-68DD-4111-A4A6-608F65EC3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352425</xdr:colOff>
      <xdr:row>9</xdr:row>
      <xdr:rowOff>161925</xdr:rowOff>
    </xdr:from>
    <xdr:to>
      <xdr:col>6</xdr:col>
      <xdr:colOff>1466850</xdr:colOff>
      <xdr:row>11</xdr:row>
      <xdr:rowOff>57790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CE047AF-D663-4A17-B268-4400F6B1D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2028825"/>
          <a:ext cx="1114425" cy="33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80</xdr:row>
      <xdr:rowOff>9524</xdr:rowOff>
    </xdr:from>
    <xdr:ext cx="10153649" cy="390526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D0984F06-14CA-42B1-90B9-8E8381596800}"/>
            </a:ext>
          </a:extLst>
        </xdr:cNvPr>
        <xdr:cNvSpPr txBox="1"/>
      </xdr:nvSpPr>
      <xdr:spPr>
        <a:xfrm>
          <a:off x="0" y="15868649"/>
          <a:ext cx="10153649" cy="390526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</a:t>
          </a:r>
        </a:p>
      </xdr:txBody>
    </xdr:sp>
    <xdr:clientData/>
  </xdr:oneCellAnchor>
  <xdr:oneCellAnchor>
    <xdr:from>
      <xdr:col>0</xdr:col>
      <xdr:colOff>0</xdr:colOff>
      <xdr:row>161</xdr:row>
      <xdr:rowOff>9524</xdr:rowOff>
    </xdr:from>
    <xdr:ext cx="10153649" cy="409575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C70009F-8DE7-4A93-BE00-3BE2C7A733AE}"/>
            </a:ext>
          </a:extLst>
        </xdr:cNvPr>
        <xdr:cNvSpPr txBox="1"/>
      </xdr:nvSpPr>
      <xdr:spPr>
        <a:xfrm>
          <a:off x="0" y="32270699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</a:t>
          </a:r>
        </a:p>
      </xdr:txBody>
    </xdr:sp>
    <xdr:clientData/>
  </xdr:oneCellAnchor>
  <xdr:oneCellAnchor>
    <xdr:from>
      <xdr:col>0</xdr:col>
      <xdr:colOff>0</xdr:colOff>
      <xdr:row>242</xdr:row>
      <xdr:rowOff>0</xdr:rowOff>
    </xdr:from>
    <xdr:ext cx="10153649" cy="409575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BB06D089-A9B0-4909-A9E2-5A863220214C}"/>
            </a:ext>
          </a:extLst>
        </xdr:cNvPr>
        <xdr:cNvSpPr txBox="1"/>
      </xdr:nvSpPr>
      <xdr:spPr>
        <a:xfrm>
          <a:off x="0" y="47863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</a:t>
          </a:r>
        </a:p>
      </xdr:txBody>
    </xdr:sp>
    <xdr:clientData/>
  </xdr:oneCellAnchor>
  <xdr:oneCellAnchor>
    <xdr:from>
      <xdr:col>0</xdr:col>
      <xdr:colOff>0</xdr:colOff>
      <xdr:row>323</xdr:row>
      <xdr:rowOff>0</xdr:rowOff>
    </xdr:from>
    <xdr:ext cx="10153649" cy="409575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A12FFD60-DA82-4BD5-A53E-74823357001B}"/>
            </a:ext>
          </a:extLst>
        </xdr:cNvPr>
        <xdr:cNvSpPr txBox="1"/>
      </xdr:nvSpPr>
      <xdr:spPr>
        <a:xfrm>
          <a:off x="0" y="63865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</a:t>
          </a:r>
        </a:p>
      </xdr:txBody>
    </xdr:sp>
    <xdr:clientData/>
  </xdr:oneCellAnchor>
  <xdr:oneCellAnchor>
    <xdr:from>
      <xdr:col>0</xdr:col>
      <xdr:colOff>0</xdr:colOff>
      <xdr:row>404</xdr:row>
      <xdr:rowOff>0</xdr:rowOff>
    </xdr:from>
    <xdr:ext cx="10153649" cy="409575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E031048B-BB61-4544-893C-D8172DB92068}"/>
            </a:ext>
          </a:extLst>
        </xdr:cNvPr>
        <xdr:cNvSpPr txBox="1"/>
      </xdr:nvSpPr>
      <xdr:spPr>
        <a:xfrm>
          <a:off x="0" y="79867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6</a:t>
          </a:r>
        </a:p>
      </xdr:txBody>
    </xdr:sp>
    <xdr:clientData/>
  </xdr:oneCellAnchor>
  <xdr:oneCellAnchor>
    <xdr:from>
      <xdr:col>0</xdr:col>
      <xdr:colOff>0</xdr:colOff>
      <xdr:row>485</xdr:row>
      <xdr:rowOff>0</xdr:rowOff>
    </xdr:from>
    <xdr:ext cx="10153649" cy="40957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BDE4B165-F613-461A-869B-9EEFBA1E09FB}"/>
            </a:ext>
          </a:extLst>
        </xdr:cNvPr>
        <xdr:cNvSpPr txBox="1"/>
      </xdr:nvSpPr>
      <xdr:spPr>
        <a:xfrm>
          <a:off x="0" y="95869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7</a:t>
          </a:r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10153649" cy="409575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4203046E-6366-4A4F-8606-9B6B65E4A0AA}"/>
            </a:ext>
          </a:extLst>
        </xdr:cNvPr>
        <xdr:cNvSpPr txBox="1"/>
      </xdr:nvSpPr>
      <xdr:spPr>
        <a:xfrm>
          <a:off x="0" y="111871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8</a:t>
          </a:r>
        </a:p>
      </xdr:txBody>
    </xdr:sp>
    <xdr:clientData/>
  </xdr:oneCellAnchor>
  <xdr:oneCellAnchor>
    <xdr:from>
      <xdr:col>0</xdr:col>
      <xdr:colOff>0</xdr:colOff>
      <xdr:row>647</xdr:row>
      <xdr:rowOff>0</xdr:rowOff>
    </xdr:from>
    <xdr:ext cx="10153649" cy="409575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6FB01EFA-5C88-466C-BA35-5F292EECF1DA}"/>
            </a:ext>
          </a:extLst>
        </xdr:cNvPr>
        <xdr:cNvSpPr txBox="1"/>
      </xdr:nvSpPr>
      <xdr:spPr>
        <a:xfrm>
          <a:off x="0" y="127873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9</a:t>
          </a:r>
        </a:p>
      </xdr:txBody>
    </xdr:sp>
    <xdr:clientData/>
  </xdr:oneCellAnchor>
  <xdr:oneCellAnchor>
    <xdr:from>
      <xdr:col>0</xdr:col>
      <xdr:colOff>0</xdr:colOff>
      <xdr:row>728</xdr:row>
      <xdr:rowOff>0</xdr:rowOff>
    </xdr:from>
    <xdr:ext cx="10153649" cy="409575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5418175-B729-4987-A995-972ABAF95E90}"/>
            </a:ext>
          </a:extLst>
        </xdr:cNvPr>
        <xdr:cNvSpPr txBox="1"/>
      </xdr:nvSpPr>
      <xdr:spPr>
        <a:xfrm>
          <a:off x="0" y="143875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10</a:t>
          </a:r>
        </a:p>
      </xdr:txBody>
    </xdr:sp>
    <xdr:clientData/>
  </xdr:oneCellAnchor>
  <xdr:oneCellAnchor>
    <xdr:from>
      <xdr:col>0</xdr:col>
      <xdr:colOff>0</xdr:colOff>
      <xdr:row>809</xdr:row>
      <xdr:rowOff>0</xdr:rowOff>
    </xdr:from>
    <xdr:ext cx="10153649" cy="409575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1C285F2-5E2D-4BDE-8B92-10C96E826DBA}"/>
            </a:ext>
          </a:extLst>
        </xdr:cNvPr>
        <xdr:cNvSpPr txBox="1"/>
      </xdr:nvSpPr>
      <xdr:spPr>
        <a:xfrm>
          <a:off x="0" y="159877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11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oneCellAnchor>
    <xdr:from>
      <xdr:col>0</xdr:col>
      <xdr:colOff>0</xdr:colOff>
      <xdr:row>890</xdr:row>
      <xdr:rowOff>0</xdr:rowOff>
    </xdr:from>
    <xdr:ext cx="10153649" cy="409575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7DAE8413-BF3E-4C10-ACEF-6DB96AAC7493}"/>
            </a:ext>
          </a:extLst>
        </xdr:cNvPr>
        <xdr:cNvSpPr txBox="1"/>
      </xdr:nvSpPr>
      <xdr:spPr>
        <a:xfrm>
          <a:off x="0" y="175879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12</a:t>
          </a:r>
        </a:p>
      </xdr:txBody>
    </xdr:sp>
    <xdr:clientData/>
  </xdr:oneCellAnchor>
  <xdr:oneCellAnchor>
    <xdr:from>
      <xdr:col>0</xdr:col>
      <xdr:colOff>0</xdr:colOff>
      <xdr:row>971</xdr:row>
      <xdr:rowOff>0</xdr:rowOff>
    </xdr:from>
    <xdr:ext cx="10153649" cy="409575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95BABF54-07F2-4FC0-AF47-3C3E659A17B7}"/>
            </a:ext>
          </a:extLst>
        </xdr:cNvPr>
        <xdr:cNvSpPr txBox="1"/>
      </xdr:nvSpPr>
      <xdr:spPr>
        <a:xfrm>
          <a:off x="0" y="191881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13</a:t>
          </a:r>
        </a:p>
      </xdr:txBody>
    </xdr:sp>
    <xdr:clientData/>
  </xdr:oneCellAnchor>
  <xdr:oneCellAnchor>
    <xdr:from>
      <xdr:col>0</xdr:col>
      <xdr:colOff>0</xdr:colOff>
      <xdr:row>1052</xdr:row>
      <xdr:rowOff>0</xdr:rowOff>
    </xdr:from>
    <xdr:ext cx="10153649" cy="409575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BB59BD-9FEE-4534-A892-8E7E7EA709F1}"/>
            </a:ext>
          </a:extLst>
        </xdr:cNvPr>
        <xdr:cNvSpPr txBox="1"/>
      </xdr:nvSpPr>
      <xdr:spPr>
        <a:xfrm>
          <a:off x="0" y="207883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14</a:t>
          </a:r>
        </a:p>
      </xdr:txBody>
    </xdr:sp>
    <xdr:clientData/>
  </xdr:oneCellAnchor>
  <xdr:oneCellAnchor>
    <xdr:from>
      <xdr:col>0</xdr:col>
      <xdr:colOff>0</xdr:colOff>
      <xdr:row>1133</xdr:row>
      <xdr:rowOff>0</xdr:rowOff>
    </xdr:from>
    <xdr:ext cx="10153649" cy="409575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1123D07-2A0F-4BB6-880E-BE68088D66E9}"/>
            </a:ext>
          </a:extLst>
        </xdr:cNvPr>
        <xdr:cNvSpPr txBox="1"/>
      </xdr:nvSpPr>
      <xdr:spPr>
        <a:xfrm>
          <a:off x="0" y="2238660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15</a:t>
          </a:r>
        </a:p>
      </xdr:txBody>
    </xdr:sp>
    <xdr:clientData/>
  </xdr:oneCellAnchor>
  <xdr:oneCellAnchor>
    <xdr:from>
      <xdr:col>0</xdr:col>
      <xdr:colOff>0</xdr:colOff>
      <xdr:row>1214</xdr:row>
      <xdr:rowOff>0</xdr:rowOff>
    </xdr:from>
    <xdr:ext cx="10153649" cy="409575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CE93153-2AA2-4A9E-BC47-6CA87035B4AB}"/>
            </a:ext>
          </a:extLst>
        </xdr:cNvPr>
        <xdr:cNvSpPr txBox="1"/>
      </xdr:nvSpPr>
      <xdr:spPr>
        <a:xfrm>
          <a:off x="0" y="2398490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16</a:t>
          </a:r>
        </a:p>
      </xdr:txBody>
    </xdr:sp>
    <xdr:clientData/>
  </xdr:oneCellAnchor>
  <xdr:oneCellAnchor>
    <xdr:from>
      <xdr:col>0</xdr:col>
      <xdr:colOff>0</xdr:colOff>
      <xdr:row>1295</xdr:row>
      <xdr:rowOff>0</xdr:rowOff>
    </xdr:from>
    <xdr:ext cx="10153649" cy="409575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3FAC3C78-E66D-4624-B15D-B4B4D1E7E852}"/>
            </a:ext>
          </a:extLst>
        </xdr:cNvPr>
        <xdr:cNvSpPr txBox="1"/>
      </xdr:nvSpPr>
      <xdr:spPr>
        <a:xfrm>
          <a:off x="0" y="2558319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17</a:t>
          </a:r>
        </a:p>
      </xdr:txBody>
    </xdr:sp>
    <xdr:clientData/>
  </xdr:oneCellAnchor>
  <xdr:oneCellAnchor>
    <xdr:from>
      <xdr:col>0</xdr:col>
      <xdr:colOff>0</xdr:colOff>
      <xdr:row>1376</xdr:row>
      <xdr:rowOff>0</xdr:rowOff>
    </xdr:from>
    <xdr:ext cx="10153649" cy="409575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EB3BB361-7029-4C3E-839F-9D707E116276}"/>
            </a:ext>
          </a:extLst>
        </xdr:cNvPr>
        <xdr:cNvSpPr txBox="1"/>
      </xdr:nvSpPr>
      <xdr:spPr>
        <a:xfrm>
          <a:off x="0" y="2718149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18</a:t>
          </a:r>
        </a:p>
      </xdr:txBody>
    </xdr:sp>
    <xdr:clientData/>
  </xdr:oneCellAnchor>
  <xdr:oneCellAnchor>
    <xdr:from>
      <xdr:col>0</xdr:col>
      <xdr:colOff>0</xdr:colOff>
      <xdr:row>1457</xdr:row>
      <xdr:rowOff>0</xdr:rowOff>
    </xdr:from>
    <xdr:ext cx="10153649" cy="409575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B8BF0F78-8F36-43DE-AD09-325D744F6FC3}"/>
            </a:ext>
          </a:extLst>
        </xdr:cNvPr>
        <xdr:cNvSpPr txBox="1"/>
      </xdr:nvSpPr>
      <xdr:spPr>
        <a:xfrm>
          <a:off x="0" y="2877978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19</a:t>
          </a:r>
        </a:p>
      </xdr:txBody>
    </xdr:sp>
    <xdr:clientData/>
  </xdr:oneCellAnchor>
  <xdr:oneCellAnchor>
    <xdr:from>
      <xdr:col>0</xdr:col>
      <xdr:colOff>0</xdr:colOff>
      <xdr:row>1538</xdr:row>
      <xdr:rowOff>0</xdr:rowOff>
    </xdr:from>
    <xdr:ext cx="10153649" cy="409575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1CDD2377-E8C8-4904-8B80-EED5E347FDD6}"/>
            </a:ext>
          </a:extLst>
        </xdr:cNvPr>
        <xdr:cNvSpPr txBox="1"/>
      </xdr:nvSpPr>
      <xdr:spPr>
        <a:xfrm>
          <a:off x="0" y="3037808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20</a:t>
          </a:r>
        </a:p>
      </xdr:txBody>
    </xdr:sp>
    <xdr:clientData/>
  </xdr:oneCellAnchor>
  <xdr:oneCellAnchor>
    <xdr:from>
      <xdr:col>0</xdr:col>
      <xdr:colOff>0</xdr:colOff>
      <xdr:row>1619</xdr:row>
      <xdr:rowOff>0</xdr:rowOff>
    </xdr:from>
    <xdr:ext cx="10153649" cy="409575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9D6CF918-320B-4E74-86C1-D5C4F586594B}"/>
            </a:ext>
          </a:extLst>
        </xdr:cNvPr>
        <xdr:cNvSpPr txBox="1"/>
      </xdr:nvSpPr>
      <xdr:spPr>
        <a:xfrm>
          <a:off x="0" y="3197637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21</a:t>
          </a:r>
        </a:p>
      </xdr:txBody>
    </xdr:sp>
    <xdr:clientData/>
  </xdr:oneCellAnchor>
  <xdr:oneCellAnchor>
    <xdr:from>
      <xdr:col>0</xdr:col>
      <xdr:colOff>0</xdr:colOff>
      <xdr:row>1700</xdr:row>
      <xdr:rowOff>0</xdr:rowOff>
    </xdr:from>
    <xdr:ext cx="10153649" cy="409575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ACA6904-DFC3-4975-9072-7FFD10B1EFCA}"/>
            </a:ext>
          </a:extLst>
        </xdr:cNvPr>
        <xdr:cNvSpPr txBox="1"/>
      </xdr:nvSpPr>
      <xdr:spPr>
        <a:xfrm>
          <a:off x="0" y="3357467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22</a:t>
          </a:r>
        </a:p>
      </xdr:txBody>
    </xdr:sp>
    <xdr:clientData/>
  </xdr:oneCellAnchor>
  <xdr:oneCellAnchor>
    <xdr:from>
      <xdr:col>0</xdr:col>
      <xdr:colOff>0</xdr:colOff>
      <xdr:row>1781</xdr:row>
      <xdr:rowOff>0</xdr:rowOff>
    </xdr:from>
    <xdr:ext cx="10153649" cy="409575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38DF40F2-934B-4E1D-82DA-774B9E9A3A3B}"/>
            </a:ext>
          </a:extLst>
        </xdr:cNvPr>
        <xdr:cNvSpPr txBox="1"/>
      </xdr:nvSpPr>
      <xdr:spPr>
        <a:xfrm>
          <a:off x="0" y="3517296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23</a:t>
          </a:r>
        </a:p>
      </xdr:txBody>
    </xdr:sp>
    <xdr:clientData/>
  </xdr:oneCellAnchor>
  <xdr:oneCellAnchor>
    <xdr:from>
      <xdr:col>0</xdr:col>
      <xdr:colOff>0</xdr:colOff>
      <xdr:row>1862</xdr:row>
      <xdr:rowOff>0</xdr:rowOff>
    </xdr:from>
    <xdr:ext cx="10153649" cy="409575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B98FD05E-F13F-4703-BE82-A626FCF024A9}"/>
            </a:ext>
          </a:extLst>
        </xdr:cNvPr>
        <xdr:cNvSpPr txBox="1"/>
      </xdr:nvSpPr>
      <xdr:spPr>
        <a:xfrm>
          <a:off x="0" y="3677126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24</a:t>
          </a:r>
        </a:p>
      </xdr:txBody>
    </xdr:sp>
    <xdr:clientData/>
  </xdr:oneCellAnchor>
  <xdr:oneCellAnchor>
    <xdr:from>
      <xdr:col>0</xdr:col>
      <xdr:colOff>0</xdr:colOff>
      <xdr:row>1943</xdr:row>
      <xdr:rowOff>0</xdr:rowOff>
    </xdr:from>
    <xdr:ext cx="10153649" cy="409575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6CC1ADBA-2547-4B87-85E1-654A80E3A217}"/>
            </a:ext>
          </a:extLst>
        </xdr:cNvPr>
        <xdr:cNvSpPr txBox="1"/>
      </xdr:nvSpPr>
      <xdr:spPr>
        <a:xfrm>
          <a:off x="0" y="3836955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25</a:t>
          </a:r>
        </a:p>
      </xdr:txBody>
    </xdr:sp>
    <xdr:clientData/>
  </xdr:oneCellAnchor>
  <xdr:oneCellAnchor>
    <xdr:from>
      <xdr:col>0</xdr:col>
      <xdr:colOff>0</xdr:colOff>
      <xdr:row>2024</xdr:row>
      <xdr:rowOff>0</xdr:rowOff>
    </xdr:from>
    <xdr:ext cx="10153649" cy="409575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81353B66-CAB3-4C24-A411-74E42B737A47}"/>
            </a:ext>
          </a:extLst>
        </xdr:cNvPr>
        <xdr:cNvSpPr txBox="1"/>
      </xdr:nvSpPr>
      <xdr:spPr>
        <a:xfrm>
          <a:off x="0" y="3996785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26</a:t>
          </a:r>
        </a:p>
      </xdr:txBody>
    </xdr:sp>
    <xdr:clientData/>
  </xdr:oneCellAnchor>
  <xdr:oneCellAnchor>
    <xdr:from>
      <xdr:col>0</xdr:col>
      <xdr:colOff>0</xdr:colOff>
      <xdr:row>2105</xdr:row>
      <xdr:rowOff>0</xdr:rowOff>
    </xdr:from>
    <xdr:ext cx="10153649" cy="409575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946A1188-B551-45CA-8F9E-3059A35073C7}"/>
            </a:ext>
          </a:extLst>
        </xdr:cNvPr>
        <xdr:cNvSpPr txBox="1"/>
      </xdr:nvSpPr>
      <xdr:spPr>
        <a:xfrm>
          <a:off x="0" y="4156614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27</a:t>
          </a:r>
        </a:p>
      </xdr:txBody>
    </xdr:sp>
    <xdr:clientData/>
  </xdr:oneCellAnchor>
  <xdr:oneCellAnchor>
    <xdr:from>
      <xdr:col>0</xdr:col>
      <xdr:colOff>0</xdr:colOff>
      <xdr:row>2186</xdr:row>
      <xdr:rowOff>0</xdr:rowOff>
    </xdr:from>
    <xdr:ext cx="10153649" cy="409575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223918F7-F47E-4DA1-B864-83BE23B5A870}"/>
            </a:ext>
          </a:extLst>
        </xdr:cNvPr>
        <xdr:cNvSpPr txBox="1"/>
      </xdr:nvSpPr>
      <xdr:spPr>
        <a:xfrm>
          <a:off x="0" y="4316444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28</a:t>
          </a:r>
        </a:p>
      </xdr:txBody>
    </xdr:sp>
    <xdr:clientData/>
  </xdr:oneCellAnchor>
  <xdr:oneCellAnchor>
    <xdr:from>
      <xdr:col>0</xdr:col>
      <xdr:colOff>0</xdr:colOff>
      <xdr:row>2267</xdr:row>
      <xdr:rowOff>0</xdr:rowOff>
    </xdr:from>
    <xdr:ext cx="10153649" cy="409575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77F097BA-38D1-4216-9637-C6C5A6B5A08F}"/>
            </a:ext>
          </a:extLst>
        </xdr:cNvPr>
        <xdr:cNvSpPr txBox="1"/>
      </xdr:nvSpPr>
      <xdr:spPr>
        <a:xfrm>
          <a:off x="0" y="4476273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29</a:t>
          </a:r>
        </a:p>
      </xdr:txBody>
    </xdr:sp>
    <xdr:clientData/>
  </xdr:oneCellAnchor>
  <xdr:oneCellAnchor>
    <xdr:from>
      <xdr:col>0</xdr:col>
      <xdr:colOff>0</xdr:colOff>
      <xdr:row>2348</xdr:row>
      <xdr:rowOff>0</xdr:rowOff>
    </xdr:from>
    <xdr:ext cx="10153649" cy="409575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A3D8716C-C9DD-43DE-8CDB-384369DAA215}"/>
            </a:ext>
          </a:extLst>
        </xdr:cNvPr>
        <xdr:cNvSpPr txBox="1"/>
      </xdr:nvSpPr>
      <xdr:spPr>
        <a:xfrm>
          <a:off x="0" y="4636103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30</a:t>
          </a:r>
        </a:p>
      </xdr:txBody>
    </xdr:sp>
    <xdr:clientData/>
  </xdr:oneCellAnchor>
  <xdr:oneCellAnchor>
    <xdr:from>
      <xdr:col>0</xdr:col>
      <xdr:colOff>0</xdr:colOff>
      <xdr:row>2429</xdr:row>
      <xdr:rowOff>0</xdr:rowOff>
    </xdr:from>
    <xdr:ext cx="10153649" cy="409575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E92C10C9-4C22-4F90-BEFD-9F854934CFAA}"/>
            </a:ext>
          </a:extLst>
        </xdr:cNvPr>
        <xdr:cNvSpPr txBox="1"/>
      </xdr:nvSpPr>
      <xdr:spPr>
        <a:xfrm>
          <a:off x="0" y="4795932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31</a:t>
          </a:r>
        </a:p>
      </xdr:txBody>
    </xdr:sp>
    <xdr:clientData/>
  </xdr:oneCellAnchor>
  <xdr:oneCellAnchor>
    <xdr:from>
      <xdr:col>0</xdr:col>
      <xdr:colOff>0</xdr:colOff>
      <xdr:row>2510</xdr:row>
      <xdr:rowOff>0</xdr:rowOff>
    </xdr:from>
    <xdr:ext cx="10153649" cy="409575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D45768A2-6D1D-4F5C-B51B-68B664201A89}"/>
            </a:ext>
          </a:extLst>
        </xdr:cNvPr>
        <xdr:cNvSpPr txBox="1"/>
      </xdr:nvSpPr>
      <xdr:spPr>
        <a:xfrm>
          <a:off x="0" y="4955762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32</a:t>
          </a:r>
        </a:p>
      </xdr:txBody>
    </xdr:sp>
    <xdr:clientData/>
  </xdr:oneCellAnchor>
  <xdr:oneCellAnchor>
    <xdr:from>
      <xdr:col>0</xdr:col>
      <xdr:colOff>0</xdr:colOff>
      <xdr:row>2591</xdr:row>
      <xdr:rowOff>0</xdr:rowOff>
    </xdr:from>
    <xdr:ext cx="10153649" cy="409575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DC6E3B1-06B8-4058-BFCC-793A9A72629A}"/>
            </a:ext>
          </a:extLst>
        </xdr:cNvPr>
        <xdr:cNvSpPr txBox="1"/>
      </xdr:nvSpPr>
      <xdr:spPr>
        <a:xfrm>
          <a:off x="0" y="5115591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33</a:t>
          </a:r>
        </a:p>
      </xdr:txBody>
    </xdr:sp>
    <xdr:clientData/>
  </xdr:oneCellAnchor>
  <xdr:oneCellAnchor>
    <xdr:from>
      <xdr:col>0</xdr:col>
      <xdr:colOff>0</xdr:colOff>
      <xdr:row>2672</xdr:row>
      <xdr:rowOff>0</xdr:rowOff>
    </xdr:from>
    <xdr:ext cx="10153649" cy="409575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310049EC-1FC0-4001-AF15-5B05A6667A9E}"/>
            </a:ext>
          </a:extLst>
        </xdr:cNvPr>
        <xdr:cNvSpPr txBox="1"/>
      </xdr:nvSpPr>
      <xdr:spPr>
        <a:xfrm>
          <a:off x="0" y="527542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34</a:t>
          </a:r>
        </a:p>
      </xdr:txBody>
    </xdr:sp>
    <xdr:clientData/>
  </xdr:oneCellAnchor>
  <xdr:oneCellAnchor>
    <xdr:from>
      <xdr:col>0</xdr:col>
      <xdr:colOff>0</xdr:colOff>
      <xdr:row>2753</xdr:row>
      <xdr:rowOff>0</xdr:rowOff>
    </xdr:from>
    <xdr:ext cx="10153649" cy="409575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89B87B0B-C02F-4493-91B0-9AAAE2E24A61}"/>
            </a:ext>
          </a:extLst>
        </xdr:cNvPr>
        <xdr:cNvSpPr txBox="1"/>
      </xdr:nvSpPr>
      <xdr:spPr>
        <a:xfrm>
          <a:off x="0" y="5435250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35</a:t>
          </a:r>
        </a:p>
      </xdr:txBody>
    </xdr:sp>
    <xdr:clientData/>
  </xdr:oneCellAnchor>
  <xdr:oneCellAnchor>
    <xdr:from>
      <xdr:col>0</xdr:col>
      <xdr:colOff>0</xdr:colOff>
      <xdr:row>2834</xdr:row>
      <xdr:rowOff>0</xdr:rowOff>
    </xdr:from>
    <xdr:ext cx="10153649" cy="409575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2BD37B94-BA93-4AD0-935F-5C9270C35D98}"/>
            </a:ext>
          </a:extLst>
        </xdr:cNvPr>
        <xdr:cNvSpPr txBox="1"/>
      </xdr:nvSpPr>
      <xdr:spPr>
        <a:xfrm>
          <a:off x="0" y="5595080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36</a:t>
          </a:r>
        </a:p>
      </xdr:txBody>
    </xdr:sp>
    <xdr:clientData/>
  </xdr:oneCellAnchor>
  <xdr:oneCellAnchor>
    <xdr:from>
      <xdr:col>0</xdr:col>
      <xdr:colOff>0</xdr:colOff>
      <xdr:row>2915</xdr:row>
      <xdr:rowOff>0</xdr:rowOff>
    </xdr:from>
    <xdr:ext cx="10153649" cy="409575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BD5D16D7-0D6F-4C77-9D7B-01ED5BA7BD10}"/>
            </a:ext>
          </a:extLst>
        </xdr:cNvPr>
        <xdr:cNvSpPr txBox="1"/>
      </xdr:nvSpPr>
      <xdr:spPr>
        <a:xfrm>
          <a:off x="0" y="5754909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37</a:t>
          </a:r>
        </a:p>
      </xdr:txBody>
    </xdr:sp>
    <xdr:clientData/>
  </xdr:oneCellAnchor>
  <xdr:oneCellAnchor>
    <xdr:from>
      <xdr:col>0</xdr:col>
      <xdr:colOff>0</xdr:colOff>
      <xdr:row>2996</xdr:row>
      <xdr:rowOff>0</xdr:rowOff>
    </xdr:from>
    <xdr:ext cx="10153649" cy="409575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734B67A8-C74D-4C96-B424-E382AF70AEBC}"/>
            </a:ext>
          </a:extLst>
        </xdr:cNvPr>
        <xdr:cNvSpPr txBox="1"/>
      </xdr:nvSpPr>
      <xdr:spPr>
        <a:xfrm>
          <a:off x="0" y="5914739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38</a:t>
          </a:r>
        </a:p>
      </xdr:txBody>
    </xdr:sp>
    <xdr:clientData/>
  </xdr:oneCellAnchor>
  <xdr:oneCellAnchor>
    <xdr:from>
      <xdr:col>0</xdr:col>
      <xdr:colOff>0</xdr:colOff>
      <xdr:row>3077</xdr:row>
      <xdr:rowOff>0</xdr:rowOff>
    </xdr:from>
    <xdr:ext cx="10153649" cy="409575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4CEB7FA3-7FC5-4C72-9F5F-DE5FCC4D37A7}"/>
            </a:ext>
          </a:extLst>
        </xdr:cNvPr>
        <xdr:cNvSpPr txBox="1"/>
      </xdr:nvSpPr>
      <xdr:spPr>
        <a:xfrm>
          <a:off x="0" y="6074568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39</a:t>
          </a:r>
        </a:p>
      </xdr:txBody>
    </xdr:sp>
    <xdr:clientData/>
  </xdr:oneCellAnchor>
  <xdr:oneCellAnchor>
    <xdr:from>
      <xdr:col>0</xdr:col>
      <xdr:colOff>0</xdr:colOff>
      <xdr:row>3158</xdr:row>
      <xdr:rowOff>0</xdr:rowOff>
    </xdr:from>
    <xdr:ext cx="10153649" cy="409575"/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DEEF0D2A-0721-4F71-BE83-C553FAA28E75}"/>
            </a:ext>
          </a:extLst>
        </xdr:cNvPr>
        <xdr:cNvSpPr txBox="1"/>
      </xdr:nvSpPr>
      <xdr:spPr>
        <a:xfrm>
          <a:off x="0" y="6234398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40</a:t>
          </a:r>
        </a:p>
      </xdr:txBody>
    </xdr:sp>
    <xdr:clientData/>
  </xdr:oneCellAnchor>
  <xdr:oneCellAnchor>
    <xdr:from>
      <xdr:col>0</xdr:col>
      <xdr:colOff>0</xdr:colOff>
      <xdr:row>3239</xdr:row>
      <xdr:rowOff>0</xdr:rowOff>
    </xdr:from>
    <xdr:ext cx="10153649" cy="40957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ABFBE7-473C-4ECB-8802-FE8F197138A8}"/>
            </a:ext>
          </a:extLst>
        </xdr:cNvPr>
        <xdr:cNvSpPr txBox="1"/>
      </xdr:nvSpPr>
      <xdr:spPr>
        <a:xfrm>
          <a:off x="0" y="6394227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41</a:t>
          </a:r>
        </a:p>
      </xdr:txBody>
    </xdr:sp>
    <xdr:clientData/>
  </xdr:oneCellAnchor>
  <xdr:oneCellAnchor>
    <xdr:from>
      <xdr:col>0</xdr:col>
      <xdr:colOff>0</xdr:colOff>
      <xdr:row>3320</xdr:row>
      <xdr:rowOff>0</xdr:rowOff>
    </xdr:from>
    <xdr:ext cx="10153649" cy="40957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EB0775C-B1A5-457D-9899-4E54B9CFEEB1}"/>
            </a:ext>
          </a:extLst>
        </xdr:cNvPr>
        <xdr:cNvSpPr txBox="1"/>
      </xdr:nvSpPr>
      <xdr:spPr>
        <a:xfrm>
          <a:off x="0" y="6554057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42</a:t>
          </a:r>
        </a:p>
      </xdr:txBody>
    </xdr:sp>
    <xdr:clientData/>
  </xdr:oneCellAnchor>
  <xdr:oneCellAnchor>
    <xdr:from>
      <xdr:col>0</xdr:col>
      <xdr:colOff>0</xdr:colOff>
      <xdr:row>3401</xdr:row>
      <xdr:rowOff>0</xdr:rowOff>
    </xdr:from>
    <xdr:ext cx="10153649" cy="40957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F95AA86-B9CF-4F75-AAD3-4369AF50ED17}"/>
            </a:ext>
          </a:extLst>
        </xdr:cNvPr>
        <xdr:cNvSpPr txBox="1"/>
      </xdr:nvSpPr>
      <xdr:spPr>
        <a:xfrm>
          <a:off x="0" y="6713886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43</a:t>
          </a:r>
        </a:p>
      </xdr:txBody>
    </xdr:sp>
    <xdr:clientData/>
  </xdr:oneCellAnchor>
  <xdr:oneCellAnchor>
    <xdr:from>
      <xdr:col>0</xdr:col>
      <xdr:colOff>0</xdr:colOff>
      <xdr:row>3482</xdr:row>
      <xdr:rowOff>0</xdr:rowOff>
    </xdr:from>
    <xdr:ext cx="10153649" cy="40957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4B79D717-8A2A-423F-800E-70F9A961DDE0}"/>
            </a:ext>
          </a:extLst>
        </xdr:cNvPr>
        <xdr:cNvSpPr txBox="1"/>
      </xdr:nvSpPr>
      <xdr:spPr>
        <a:xfrm>
          <a:off x="0" y="6873716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44</a:t>
          </a:r>
        </a:p>
      </xdr:txBody>
    </xdr:sp>
    <xdr:clientData/>
  </xdr:oneCellAnchor>
  <xdr:oneCellAnchor>
    <xdr:from>
      <xdr:col>0</xdr:col>
      <xdr:colOff>0</xdr:colOff>
      <xdr:row>3563</xdr:row>
      <xdr:rowOff>0</xdr:rowOff>
    </xdr:from>
    <xdr:ext cx="10153649" cy="40957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1CF23C5-E598-48F7-86A3-5F30B9A868D4}"/>
            </a:ext>
          </a:extLst>
        </xdr:cNvPr>
        <xdr:cNvSpPr txBox="1"/>
      </xdr:nvSpPr>
      <xdr:spPr>
        <a:xfrm>
          <a:off x="0" y="7033545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45</a:t>
          </a:r>
        </a:p>
      </xdr:txBody>
    </xdr:sp>
    <xdr:clientData/>
  </xdr:oneCellAnchor>
  <xdr:oneCellAnchor>
    <xdr:from>
      <xdr:col>0</xdr:col>
      <xdr:colOff>0</xdr:colOff>
      <xdr:row>3644</xdr:row>
      <xdr:rowOff>0</xdr:rowOff>
    </xdr:from>
    <xdr:ext cx="10153649" cy="409575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B5F8A052-3B8F-4176-9EFD-87FA7FB7C381}"/>
            </a:ext>
          </a:extLst>
        </xdr:cNvPr>
        <xdr:cNvSpPr txBox="1"/>
      </xdr:nvSpPr>
      <xdr:spPr>
        <a:xfrm>
          <a:off x="0" y="7193375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46</a:t>
          </a:r>
        </a:p>
      </xdr:txBody>
    </xdr:sp>
    <xdr:clientData/>
  </xdr:oneCellAnchor>
  <xdr:oneCellAnchor>
    <xdr:from>
      <xdr:col>0</xdr:col>
      <xdr:colOff>0</xdr:colOff>
      <xdr:row>3725</xdr:row>
      <xdr:rowOff>0</xdr:rowOff>
    </xdr:from>
    <xdr:ext cx="10153649" cy="40957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8F839740-559C-4538-AF55-E5169860A018}"/>
            </a:ext>
          </a:extLst>
        </xdr:cNvPr>
        <xdr:cNvSpPr txBox="1"/>
      </xdr:nvSpPr>
      <xdr:spPr>
        <a:xfrm>
          <a:off x="0" y="7353204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47</a:t>
          </a:r>
        </a:p>
      </xdr:txBody>
    </xdr:sp>
    <xdr:clientData/>
  </xdr:oneCellAnchor>
  <xdr:oneCellAnchor>
    <xdr:from>
      <xdr:col>0</xdr:col>
      <xdr:colOff>0</xdr:colOff>
      <xdr:row>3806</xdr:row>
      <xdr:rowOff>0</xdr:rowOff>
    </xdr:from>
    <xdr:ext cx="10153649" cy="409575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97D2887B-8B5F-4CDD-99B4-075789747B63}"/>
            </a:ext>
          </a:extLst>
        </xdr:cNvPr>
        <xdr:cNvSpPr txBox="1"/>
      </xdr:nvSpPr>
      <xdr:spPr>
        <a:xfrm>
          <a:off x="0" y="7513034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48</a:t>
          </a:r>
        </a:p>
      </xdr:txBody>
    </xdr:sp>
    <xdr:clientData/>
  </xdr:oneCellAnchor>
  <xdr:oneCellAnchor>
    <xdr:from>
      <xdr:col>0</xdr:col>
      <xdr:colOff>0</xdr:colOff>
      <xdr:row>3887</xdr:row>
      <xdr:rowOff>0</xdr:rowOff>
    </xdr:from>
    <xdr:ext cx="10153649" cy="40957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9531291D-7DEE-4E2F-9729-54AAA01BB7BB}"/>
            </a:ext>
          </a:extLst>
        </xdr:cNvPr>
        <xdr:cNvSpPr txBox="1"/>
      </xdr:nvSpPr>
      <xdr:spPr>
        <a:xfrm>
          <a:off x="0" y="7672863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49</a:t>
          </a:r>
        </a:p>
      </xdr:txBody>
    </xdr:sp>
    <xdr:clientData/>
  </xdr:oneCellAnchor>
  <xdr:oneCellAnchor>
    <xdr:from>
      <xdr:col>0</xdr:col>
      <xdr:colOff>0</xdr:colOff>
      <xdr:row>3968</xdr:row>
      <xdr:rowOff>0</xdr:rowOff>
    </xdr:from>
    <xdr:ext cx="10153649" cy="40957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89834F8E-27A8-4D34-AA04-1D42B5640DD6}"/>
            </a:ext>
          </a:extLst>
        </xdr:cNvPr>
        <xdr:cNvSpPr txBox="1"/>
      </xdr:nvSpPr>
      <xdr:spPr>
        <a:xfrm>
          <a:off x="0" y="7832693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50</a:t>
          </a:r>
        </a:p>
      </xdr:txBody>
    </xdr:sp>
    <xdr:clientData/>
  </xdr:oneCellAnchor>
  <xdr:twoCellAnchor>
    <xdr:from>
      <xdr:col>7</xdr:col>
      <xdr:colOff>1066800</xdr:colOff>
      <xdr:row>80</xdr:row>
      <xdr:rowOff>85725</xdr:rowOff>
    </xdr:from>
    <xdr:to>
      <xdr:col>7</xdr:col>
      <xdr:colOff>2590800</xdr:colOff>
      <xdr:row>85</xdr:row>
      <xdr:rowOff>0</xdr:rowOff>
    </xdr:to>
    <xdr:sp macro="" textlink="'PEDIDO 2'!A2">
      <xdr:nvSpPr>
        <xdr:cNvPr id="15" name="Retângulo: Cantos Arredondados 14">
          <a:extLst>
            <a:ext uri="{FF2B5EF4-FFF2-40B4-BE49-F238E27FC236}">
              <a16:creationId xmlns:a16="http://schemas.microsoft.com/office/drawing/2014/main" id="{967223B3-EDB3-8BB5-9C34-618F19731273}"/>
            </a:ext>
          </a:extLst>
        </xdr:cNvPr>
        <xdr:cNvSpPr/>
      </xdr:nvSpPr>
      <xdr:spPr>
        <a:xfrm>
          <a:off x="11201400" y="15430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57B0B90-0E66-4E41-9876-29458F276A53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74568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81</xdr:row>
      <xdr:rowOff>47625</xdr:rowOff>
    </xdr:from>
    <xdr:ext cx="1343574" cy="345544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F897581-85B4-B649-3D7F-C2BA3E2ACF52}"/>
            </a:ext>
          </a:extLst>
        </xdr:cNvPr>
        <xdr:cNvSpPr txBox="1"/>
      </xdr:nvSpPr>
      <xdr:spPr>
        <a:xfrm>
          <a:off x="11303501" y="17049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161</xdr:row>
      <xdr:rowOff>85725</xdr:rowOff>
    </xdr:from>
    <xdr:to>
      <xdr:col>7</xdr:col>
      <xdr:colOff>2590800</xdr:colOff>
      <xdr:row>166</xdr:row>
      <xdr:rowOff>0</xdr:rowOff>
    </xdr:to>
    <xdr:sp macro="" textlink="'PEDIDO 3'!A2">
      <xdr:nvSpPr>
        <xdr:cNvPr id="77" name="Retângulo: Cantos Arredondados 76">
          <a:extLst>
            <a:ext uri="{FF2B5EF4-FFF2-40B4-BE49-F238E27FC236}">
              <a16:creationId xmlns:a16="http://schemas.microsoft.com/office/drawing/2014/main" id="{A8532754-25AC-49F1-92AC-3A23A20AB16A}"/>
            </a:ext>
          </a:extLst>
        </xdr:cNvPr>
        <xdr:cNvSpPr/>
      </xdr:nvSpPr>
      <xdr:spPr>
        <a:xfrm>
          <a:off x="11201400" y="15944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D0E966F-211F-4A76-83B9-F64B9B2867C5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74689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162</xdr:row>
      <xdr:rowOff>47625</xdr:rowOff>
    </xdr:from>
    <xdr:ext cx="1343574" cy="345544"/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DE8AD161-084A-4F6A-8290-A54223E77FC1}"/>
            </a:ext>
          </a:extLst>
        </xdr:cNvPr>
        <xdr:cNvSpPr txBox="1"/>
      </xdr:nvSpPr>
      <xdr:spPr>
        <a:xfrm>
          <a:off x="11303501" y="16106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242</xdr:row>
      <xdr:rowOff>85725</xdr:rowOff>
    </xdr:from>
    <xdr:to>
      <xdr:col>7</xdr:col>
      <xdr:colOff>2590800</xdr:colOff>
      <xdr:row>247</xdr:row>
      <xdr:rowOff>0</xdr:rowOff>
    </xdr:to>
    <xdr:sp macro="" textlink="'PEDIDO 4'!A2">
      <xdr:nvSpPr>
        <xdr:cNvPr id="79" name="Retângulo: Cantos Arredondados 78">
          <a:extLst>
            <a:ext uri="{FF2B5EF4-FFF2-40B4-BE49-F238E27FC236}">
              <a16:creationId xmlns:a16="http://schemas.microsoft.com/office/drawing/2014/main" id="{D622D216-87D0-49DA-8CB6-3DC5561AF9B2}"/>
            </a:ext>
          </a:extLst>
        </xdr:cNvPr>
        <xdr:cNvSpPr/>
      </xdr:nvSpPr>
      <xdr:spPr>
        <a:xfrm>
          <a:off x="11201400" y="31946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2C17AFD9-888A-4FA1-ADB6-5FBC87D29364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74688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243</xdr:row>
      <xdr:rowOff>47625</xdr:rowOff>
    </xdr:from>
    <xdr:ext cx="1343574" cy="345544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5596AFD9-5EF1-4A4A-958E-2857628B70D1}"/>
            </a:ext>
          </a:extLst>
        </xdr:cNvPr>
        <xdr:cNvSpPr txBox="1"/>
      </xdr:nvSpPr>
      <xdr:spPr>
        <a:xfrm>
          <a:off x="11303501" y="32108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323</xdr:row>
      <xdr:rowOff>85725</xdr:rowOff>
    </xdr:from>
    <xdr:to>
      <xdr:col>7</xdr:col>
      <xdr:colOff>2590800</xdr:colOff>
      <xdr:row>328</xdr:row>
      <xdr:rowOff>0</xdr:rowOff>
    </xdr:to>
    <xdr:sp macro="" textlink="'PEDIDO 5'!A2">
      <xdr:nvSpPr>
        <xdr:cNvPr id="81" name="Retângulo: Cantos Arredondados 80">
          <a:extLst>
            <a:ext uri="{FF2B5EF4-FFF2-40B4-BE49-F238E27FC236}">
              <a16:creationId xmlns:a16="http://schemas.microsoft.com/office/drawing/2014/main" id="{ECBA4A86-43C8-4BE7-8079-9128A5766F8D}"/>
            </a:ext>
          </a:extLst>
        </xdr:cNvPr>
        <xdr:cNvSpPr/>
      </xdr:nvSpPr>
      <xdr:spPr>
        <a:xfrm>
          <a:off x="11201400" y="47948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7BF10F8-385B-446E-B812-1B4A164CA2B4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74687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324</xdr:row>
      <xdr:rowOff>47625</xdr:rowOff>
    </xdr:from>
    <xdr:ext cx="1343574" cy="345544"/>
    <xdr:sp macro="" textlink="">
      <xdr:nvSpPr>
        <xdr:cNvPr id="82" name="CaixaDeTexto 81">
          <a:extLst>
            <a:ext uri="{FF2B5EF4-FFF2-40B4-BE49-F238E27FC236}">
              <a16:creationId xmlns:a16="http://schemas.microsoft.com/office/drawing/2014/main" id="{5F3948A2-93B6-4C60-ACAA-4F85FF159DD7}"/>
            </a:ext>
          </a:extLst>
        </xdr:cNvPr>
        <xdr:cNvSpPr txBox="1"/>
      </xdr:nvSpPr>
      <xdr:spPr>
        <a:xfrm>
          <a:off x="11303501" y="48110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404</xdr:row>
      <xdr:rowOff>85725</xdr:rowOff>
    </xdr:from>
    <xdr:to>
      <xdr:col>7</xdr:col>
      <xdr:colOff>2590800</xdr:colOff>
      <xdr:row>409</xdr:row>
      <xdr:rowOff>0</xdr:rowOff>
    </xdr:to>
    <xdr:sp macro="" textlink="'PEDIDO 6'!A2">
      <xdr:nvSpPr>
        <xdr:cNvPr id="83" name="Retângulo: Cantos Arredondados 82">
          <a:extLst>
            <a:ext uri="{FF2B5EF4-FFF2-40B4-BE49-F238E27FC236}">
              <a16:creationId xmlns:a16="http://schemas.microsoft.com/office/drawing/2014/main" id="{D398873E-E404-47EE-9CD0-2BCE70F4A623}"/>
            </a:ext>
          </a:extLst>
        </xdr:cNvPr>
        <xdr:cNvSpPr/>
      </xdr:nvSpPr>
      <xdr:spPr>
        <a:xfrm>
          <a:off x="11201400" y="63950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32C5C4A-8A5B-41B3-BE5E-94EE042A8C31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74686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405</xdr:row>
      <xdr:rowOff>47625</xdr:rowOff>
    </xdr:from>
    <xdr:ext cx="1343574" cy="345544"/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FB82CA45-35DF-4E6A-851C-AFF3CFAD17F3}"/>
            </a:ext>
          </a:extLst>
        </xdr:cNvPr>
        <xdr:cNvSpPr txBox="1"/>
      </xdr:nvSpPr>
      <xdr:spPr>
        <a:xfrm>
          <a:off x="11303501" y="64112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485</xdr:row>
      <xdr:rowOff>85725</xdr:rowOff>
    </xdr:from>
    <xdr:to>
      <xdr:col>7</xdr:col>
      <xdr:colOff>2590800</xdr:colOff>
      <xdr:row>490</xdr:row>
      <xdr:rowOff>0</xdr:rowOff>
    </xdr:to>
    <xdr:sp macro="" textlink="'PEDIDO 7'!A2">
      <xdr:nvSpPr>
        <xdr:cNvPr id="85" name="Retângulo: Cantos Arredondados 84">
          <a:extLst>
            <a:ext uri="{FF2B5EF4-FFF2-40B4-BE49-F238E27FC236}">
              <a16:creationId xmlns:a16="http://schemas.microsoft.com/office/drawing/2014/main" id="{5D419B51-8BB8-404C-B922-7227293C1435}"/>
            </a:ext>
          </a:extLst>
        </xdr:cNvPr>
        <xdr:cNvSpPr/>
      </xdr:nvSpPr>
      <xdr:spPr>
        <a:xfrm>
          <a:off x="11201400" y="79952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CA716F8-0A30-47B7-98E6-1FB1799E2735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74658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486</xdr:row>
      <xdr:rowOff>47625</xdr:rowOff>
    </xdr:from>
    <xdr:ext cx="1343574" cy="345544"/>
    <xdr:sp macro="" textlink="">
      <xdr:nvSpPr>
        <xdr:cNvPr id="86" name="CaixaDeTexto 85">
          <a:extLst>
            <a:ext uri="{FF2B5EF4-FFF2-40B4-BE49-F238E27FC236}">
              <a16:creationId xmlns:a16="http://schemas.microsoft.com/office/drawing/2014/main" id="{21053636-7C8F-40CE-8D2F-F9CAB7844AD9}"/>
            </a:ext>
          </a:extLst>
        </xdr:cNvPr>
        <xdr:cNvSpPr txBox="1"/>
      </xdr:nvSpPr>
      <xdr:spPr>
        <a:xfrm>
          <a:off x="11303501" y="80114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566</xdr:row>
      <xdr:rowOff>85725</xdr:rowOff>
    </xdr:from>
    <xdr:to>
      <xdr:col>7</xdr:col>
      <xdr:colOff>2590800</xdr:colOff>
      <xdr:row>571</xdr:row>
      <xdr:rowOff>0</xdr:rowOff>
    </xdr:to>
    <xdr:sp macro="" textlink="'PEDIDO 8'!A2">
      <xdr:nvSpPr>
        <xdr:cNvPr id="87" name="Retângulo: Cantos Arredondados 86">
          <a:extLst>
            <a:ext uri="{FF2B5EF4-FFF2-40B4-BE49-F238E27FC236}">
              <a16:creationId xmlns:a16="http://schemas.microsoft.com/office/drawing/2014/main" id="{168D721B-BACC-42DF-855D-EA27DE5885C0}"/>
            </a:ext>
          </a:extLst>
        </xdr:cNvPr>
        <xdr:cNvSpPr/>
      </xdr:nvSpPr>
      <xdr:spPr>
        <a:xfrm>
          <a:off x="11201400" y="95954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127AF6FE-1B0B-4F7F-81B9-6427C08BC170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74657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567</xdr:row>
      <xdr:rowOff>47625</xdr:rowOff>
    </xdr:from>
    <xdr:ext cx="1343574" cy="345544"/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id="{CAB292B5-97F8-4D69-83ED-5B0D192E8EBE}"/>
            </a:ext>
          </a:extLst>
        </xdr:cNvPr>
        <xdr:cNvSpPr txBox="1"/>
      </xdr:nvSpPr>
      <xdr:spPr>
        <a:xfrm>
          <a:off x="11303501" y="96116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647</xdr:row>
      <xdr:rowOff>85725</xdr:rowOff>
    </xdr:from>
    <xdr:to>
      <xdr:col>7</xdr:col>
      <xdr:colOff>2590800</xdr:colOff>
      <xdr:row>652</xdr:row>
      <xdr:rowOff>0</xdr:rowOff>
    </xdr:to>
    <xdr:sp macro="" textlink="'PEDIDO 9'!A2">
      <xdr:nvSpPr>
        <xdr:cNvPr id="89" name="Retângulo: Cantos Arredondados 88">
          <a:extLst>
            <a:ext uri="{FF2B5EF4-FFF2-40B4-BE49-F238E27FC236}">
              <a16:creationId xmlns:a16="http://schemas.microsoft.com/office/drawing/2014/main" id="{64492C5A-A00F-4EBB-B06F-F31732E2C0FC}"/>
            </a:ext>
          </a:extLst>
        </xdr:cNvPr>
        <xdr:cNvSpPr/>
      </xdr:nvSpPr>
      <xdr:spPr>
        <a:xfrm>
          <a:off x="11201400" y="111956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263CC2D4-FB4B-4739-95C2-5951AC69AB31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74656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648</xdr:row>
      <xdr:rowOff>47625</xdr:rowOff>
    </xdr:from>
    <xdr:ext cx="1343574" cy="345544"/>
    <xdr:sp macro="" textlink="">
      <xdr:nvSpPr>
        <xdr:cNvPr id="90" name="CaixaDeTexto 89">
          <a:extLst>
            <a:ext uri="{FF2B5EF4-FFF2-40B4-BE49-F238E27FC236}">
              <a16:creationId xmlns:a16="http://schemas.microsoft.com/office/drawing/2014/main" id="{0B461519-1637-418B-B91E-925AB9AAC3CE}"/>
            </a:ext>
          </a:extLst>
        </xdr:cNvPr>
        <xdr:cNvSpPr txBox="1"/>
      </xdr:nvSpPr>
      <xdr:spPr>
        <a:xfrm>
          <a:off x="11303501" y="112118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728</xdr:row>
      <xdr:rowOff>85725</xdr:rowOff>
    </xdr:from>
    <xdr:to>
      <xdr:col>7</xdr:col>
      <xdr:colOff>2590800</xdr:colOff>
      <xdr:row>733</xdr:row>
      <xdr:rowOff>0</xdr:rowOff>
    </xdr:to>
    <xdr:sp macro="" textlink="'PEDIDO 10'!A2">
      <xdr:nvSpPr>
        <xdr:cNvPr id="91" name="Retângulo: Cantos Arredondados 90">
          <a:extLst>
            <a:ext uri="{FF2B5EF4-FFF2-40B4-BE49-F238E27FC236}">
              <a16:creationId xmlns:a16="http://schemas.microsoft.com/office/drawing/2014/main" id="{EE7343A6-858F-41E0-B1BF-9ADC6606009C}"/>
            </a:ext>
          </a:extLst>
        </xdr:cNvPr>
        <xdr:cNvSpPr/>
      </xdr:nvSpPr>
      <xdr:spPr>
        <a:xfrm>
          <a:off x="11201400" y="127958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2380AAF-16F2-4F05-BC7D-D767EF2FF1C1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74655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729</xdr:row>
      <xdr:rowOff>47625</xdr:rowOff>
    </xdr:from>
    <xdr:ext cx="1343574" cy="345544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id="{A8E54336-0A83-41CD-A993-C1892A3B612A}"/>
            </a:ext>
          </a:extLst>
        </xdr:cNvPr>
        <xdr:cNvSpPr txBox="1"/>
      </xdr:nvSpPr>
      <xdr:spPr>
        <a:xfrm>
          <a:off x="11303501" y="128120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809</xdr:row>
      <xdr:rowOff>85725</xdr:rowOff>
    </xdr:from>
    <xdr:to>
      <xdr:col>7</xdr:col>
      <xdr:colOff>2590800</xdr:colOff>
      <xdr:row>814</xdr:row>
      <xdr:rowOff>0</xdr:rowOff>
    </xdr:to>
    <xdr:sp macro="" textlink="'PEDIDO 11'!A2">
      <xdr:nvSpPr>
        <xdr:cNvPr id="93" name="Retângulo: Cantos Arredondados 92">
          <a:extLst>
            <a:ext uri="{FF2B5EF4-FFF2-40B4-BE49-F238E27FC236}">
              <a16:creationId xmlns:a16="http://schemas.microsoft.com/office/drawing/2014/main" id="{1E6EEE75-4B84-44C8-810B-B332EC0891A9}"/>
            </a:ext>
          </a:extLst>
        </xdr:cNvPr>
        <xdr:cNvSpPr/>
      </xdr:nvSpPr>
      <xdr:spPr>
        <a:xfrm>
          <a:off x="11201400" y="143960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B694B72-FFCA-42C6-AAFF-DF6C6F860F21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74480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810</xdr:row>
      <xdr:rowOff>47625</xdr:rowOff>
    </xdr:from>
    <xdr:ext cx="1343574" cy="345544"/>
    <xdr:sp macro="" textlink="">
      <xdr:nvSpPr>
        <xdr:cNvPr id="94" name="CaixaDeTexto 93">
          <a:extLst>
            <a:ext uri="{FF2B5EF4-FFF2-40B4-BE49-F238E27FC236}">
              <a16:creationId xmlns:a16="http://schemas.microsoft.com/office/drawing/2014/main" id="{D5A6416F-3055-4F45-82DC-1C6AE769421E}"/>
            </a:ext>
          </a:extLst>
        </xdr:cNvPr>
        <xdr:cNvSpPr txBox="1"/>
      </xdr:nvSpPr>
      <xdr:spPr>
        <a:xfrm>
          <a:off x="11303501" y="144122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890</xdr:row>
      <xdr:rowOff>85725</xdr:rowOff>
    </xdr:from>
    <xdr:to>
      <xdr:col>7</xdr:col>
      <xdr:colOff>2590800</xdr:colOff>
      <xdr:row>895</xdr:row>
      <xdr:rowOff>0</xdr:rowOff>
    </xdr:to>
    <xdr:sp macro="" textlink="'PEDIDO 12'!A2">
      <xdr:nvSpPr>
        <xdr:cNvPr id="95" name="Retângulo: Cantos Arredondados 94">
          <a:extLst>
            <a:ext uri="{FF2B5EF4-FFF2-40B4-BE49-F238E27FC236}">
              <a16:creationId xmlns:a16="http://schemas.microsoft.com/office/drawing/2014/main" id="{1E9C0D10-0A53-40EF-B76A-835D0A06B6AA}"/>
            </a:ext>
          </a:extLst>
        </xdr:cNvPr>
        <xdr:cNvSpPr/>
      </xdr:nvSpPr>
      <xdr:spPr>
        <a:xfrm>
          <a:off x="11201400" y="159962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9BA4850-918E-492F-9F31-1D8A2048F2A8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74035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891</xdr:row>
      <xdr:rowOff>47625</xdr:rowOff>
    </xdr:from>
    <xdr:ext cx="1343574" cy="345544"/>
    <xdr:sp macro="" textlink="">
      <xdr:nvSpPr>
        <xdr:cNvPr id="96" name="CaixaDeTexto 95">
          <a:extLst>
            <a:ext uri="{FF2B5EF4-FFF2-40B4-BE49-F238E27FC236}">
              <a16:creationId xmlns:a16="http://schemas.microsoft.com/office/drawing/2014/main" id="{E8A2F093-EEB2-4B0B-B9F2-D18093E1E9F7}"/>
            </a:ext>
          </a:extLst>
        </xdr:cNvPr>
        <xdr:cNvSpPr txBox="1"/>
      </xdr:nvSpPr>
      <xdr:spPr>
        <a:xfrm>
          <a:off x="11303501" y="160124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971</xdr:row>
      <xdr:rowOff>85725</xdr:rowOff>
    </xdr:from>
    <xdr:to>
      <xdr:col>7</xdr:col>
      <xdr:colOff>2590800</xdr:colOff>
      <xdr:row>976</xdr:row>
      <xdr:rowOff>0</xdr:rowOff>
    </xdr:to>
    <xdr:sp macro="" textlink="'PEDIDO 13'!A2">
      <xdr:nvSpPr>
        <xdr:cNvPr id="97" name="Retângulo: Cantos Arredondados 96">
          <a:extLst>
            <a:ext uri="{FF2B5EF4-FFF2-40B4-BE49-F238E27FC236}">
              <a16:creationId xmlns:a16="http://schemas.microsoft.com/office/drawing/2014/main" id="{BE708C2C-04C8-4EAA-BCED-D224079A5222}"/>
            </a:ext>
          </a:extLst>
        </xdr:cNvPr>
        <xdr:cNvSpPr/>
      </xdr:nvSpPr>
      <xdr:spPr>
        <a:xfrm>
          <a:off x="11201400" y="175964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96643AE-5411-45A7-B703-4415572129CD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74553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972</xdr:row>
      <xdr:rowOff>47625</xdr:rowOff>
    </xdr:from>
    <xdr:ext cx="1343574" cy="345544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9E2C312B-D350-472F-9E58-024B6574C59C}"/>
            </a:ext>
          </a:extLst>
        </xdr:cNvPr>
        <xdr:cNvSpPr txBox="1"/>
      </xdr:nvSpPr>
      <xdr:spPr>
        <a:xfrm>
          <a:off x="11303501" y="176126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1052</xdr:row>
      <xdr:rowOff>85725</xdr:rowOff>
    </xdr:from>
    <xdr:to>
      <xdr:col>7</xdr:col>
      <xdr:colOff>2590800</xdr:colOff>
      <xdr:row>1057</xdr:row>
      <xdr:rowOff>0</xdr:rowOff>
    </xdr:to>
    <xdr:sp macro="" textlink="'PEDIDO 14'!A2">
      <xdr:nvSpPr>
        <xdr:cNvPr id="99" name="Retângulo: Cantos Arredondados 98">
          <a:extLst>
            <a:ext uri="{FF2B5EF4-FFF2-40B4-BE49-F238E27FC236}">
              <a16:creationId xmlns:a16="http://schemas.microsoft.com/office/drawing/2014/main" id="{BFCCBFCF-9223-43BA-B3DA-55A8817AABC1}"/>
            </a:ext>
          </a:extLst>
        </xdr:cNvPr>
        <xdr:cNvSpPr/>
      </xdr:nvSpPr>
      <xdr:spPr>
        <a:xfrm>
          <a:off x="11201400" y="191966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70B55FE-A725-41FC-AD18-49E7E431201F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74036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1053</xdr:row>
      <xdr:rowOff>47625</xdr:rowOff>
    </xdr:from>
    <xdr:ext cx="1343574" cy="345544"/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8D559FC5-95A3-43CD-AD6A-6CFAB7E1A72E}"/>
            </a:ext>
          </a:extLst>
        </xdr:cNvPr>
        <xdr:cNvSpPr txBox="1"/>
      </xdr:nvSpPr>
      <xdr:spPr>
        <a:xfrm>
          <a:off x="11303501" y="192128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1133</xdr:row>
      <xdr:rowOff>85725</xdr:rowOff>
    </xdr:from>
    <xdr:to>
      <xdr:col>7</xdr:col>
      <xdr:colOff>2590800</xdr:colOff>
      <xdr:row>1138</xdr:row>
      <xdr:rowOff>0</xdr:rowOff>
    </xdr:to>
    <xdr:sp macro="" textlink="'PEDIDO 15'!A2">
      <xdr:nvSpPr>
        <xdr:cNvPr id="101" name="Retângulo: Cantos Arredondados 100">
          <a:extLst>
            <a:ext uri="{FF2B5EF4-FFF2-40B4-BE49-F238E27FC236}">
              <a16:creationId xmlns:a16="http://schemas.microsoft.com/office/drawing/2014/main" id="{7333AB55-4DEB-436F-B97B-E6DF751BE241}"/>
            </a:ext>
          </a:extLst>
        </xdr:cNvPr>
        <xdr:cNvSpPr/>
      </xdr:nvSpPr>
      <xdr:spPr>
        <a:xfrm>
          <a:off x="11201400" y="2079688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1318E783-AEC9-47CF-B87D-616E31E7D54E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74653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1134</xdr:row>
      <xdr:rowOff>47625</xdr:rowOff>
    </xdr:from>
    <xdr:ext cx="1343574" cy="345544"/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id="{CC35667C-81FA-423E-846D-8EFC46BB360E}"/>
            </a:ext>
          </a:extLst>
        </xdr:cNvPr>
        <xdr:cNvSpPr txBox="1"/>
      </xdr:nvSpPr>
      <xdr:spPr>
        <a:xfrm>
          <a:off x="11303501" y="2081212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1214</xdr:row>
      <xdr:rowOff>85725</xdr:rowOff>
    </xdr:from>
    <xdr:to>
      <xdr:col>7</xdr:col>
      <xdr:colOff>2590800</xdr:colOff>
      <xdr:row>1219</xdr:row>
      <xdr:rowOff>0</xdr:rowOff>
    </xdr:to>
    <xdr:sp macro="" textlink="'PEDIDO 16'!A2">
      <xdr:nvSpPr>
        <xdr:cNvPr id="103" name="Retângulo: Cantos Arredondados 102">
          <a:extLst>
            <a:ext uri="{FF2B5EF4-FFF2-40B4-BE49-F238E27FC236}">
              <a16:creationId xmlns:a16="http://schemas.microsoft.com/office/drawing/2014/main" id="{2516C3C8-C461-4CD4-95B9-534AF314A952}"/>
            </a:ext>
          </a:extLst>
        </xdr:cNvPr>
        <xdr:cNvSpPr/>
      </xdr:nvSpPr>
      <xdr:spPr>
        <a:xfrm>
          <a:off x="11201400" y="2239518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EED12E1-DF43-41EB-BACD-055B589A9FC8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74652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1215</xdr:row>
      <xdr:rowOff>47625</xdr:rowOff>
    </xdr:from>
    <xdr:ext cx="1343574" cy="345544"/>
    <xdr:sp macro="" textlink="">
      <xdr:nvSpPr>
        <xdr:cNvPr id="104" name="CaixaDeTexto 103">
          <a:extLst>
            <a:ext uri="{FF2B5EF4-FFF2-40B4-BE49-F238E27FC236}">
              <a16:creationId xmlns:a16="http://schemas.microsoft.com/office/drawing/2014/main" id="{9984406F-1CF5-4EEB-A23F-0D87278BF2FD}"/>
            </a:ext>
          </a:extLst>
        </xdr:cNvPr>
        <xdr:cNvSpPr txBox="1"/>
      </xdr:nvSpPr>
      <xdr:spPr>
        <a:xfrm>
          <a:off x="11303501" y="2241042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1295</xdr:row>
      <xdr:rowOff>85725</xdr:rowOff>
    </xdr:from>
    <xdr:to>
      <xdr:col>7</xdr:col>
      <xdr:colOff>2590800</xdr:colOff>
      <xdr:row>1300</xdr:row>
      <xdr:rowOff>0</xdr:rowOff>
    </xdr:to>
    <xdr:sp macro="" textlink="'PEDIDO 17'!A2">
      <xdr:nvSpPr>
        <xdr:cNvPr id="105" name="Retângulo: Cantos Arredondados 104">
          <a:extLst>
            <a:ext uri="{FF2B5EF4-FFF2-40B4-BE49-F238E27FC236}">
              <a16:creationId xmlns:a16="http://schemas.microsoft.com/office/drawing/2014/main" id="{E7FAF11A-BE3E-4A2B-A012-EDDE57E9BDC2}"/>
            </a:ext>
          </a:extLst>
        </xdr:cNvPr>
        <xdr:cNvSpPr/>
      </xdr:nvSpPr>
      <xdr:spPr>
        <a:xfrm>
          <a:off x="11201400" y="2399347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27894D91-A143-4620-B00C-71DD8B9E9D76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74651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1296</xdr:row>
      <xdr:rowOff>47625</xdr:rowOff>
    </xdr:from>
    <xdr:ext cx="1343574" cy="345544"/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id="{CAA51BBE-4E63-4E37-94E3-1A64AF8187FF}"/>
            </a:ext>
          </a:extLst>
        </xdr:cNvPr>
        <xdr:cNvSpPr txBox="1"/>
      </xdr:nvSpPr>
      <xdr:spPr>
        <a:xfrm>
          <a:off x="11303501" y="2400871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1376</xdr:row>
      <xdr:rowOff>85725</xdr:rowOff>
    </xdr:from>
    <xdr:to>
      <xdr:col>7</xdr:col>
      <xdr:colOff>2590800</xdr:colOff>
      <xdr:row>1381</xdr:row>
      <xdr:rowOff>0</xdr:rowOff>
    </xdr:to>
    <xdr:sp macro="" textlink="'PEDIDO 18'!A2">
      <xdr:nvSpPr>
        <xdr:cNvPr id="107" name="Retângulo: Cantos Arredondados 106">
          <a:extLst>
            <a:ext uri="{FF2B5EF4-FFF2-40B4-BE49-F238E27FC236}">
              <a16:creationId xmlns:a16="http://schemas.microsoft.com/office/drawing/2014/main" id="{090306B1-AD1A-45C9-8306-F081331677EF}"/>
            </a:ext>
          </a:extLst>
        </xdr:cNvPr>
        <xdr:cNvSpPr/>
      </xdr:nvSpPr>
      <xdr:spPr>
        <a:xfrm>
          <a:off x="11201400" y="2559177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1EE3A6B-849A-48E6-A52A-DA3327D7D1D0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74650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1377</xdr:row>
      <xdr:rowOff>47625</xdr:rowOff>
    </xdr:from>
    <xdr:ext cx="1343574" cy="345544"/>
    <xdr:sp macro="" textlink="">
      <xdr:nvSpPr>
        <xdr:cNvPr id="108" name="CaixaDeTexto 107">
          <a:extLst>
            <a:ext uri="{FF2B5EF4-FFF2-40B4-BE49-F238E27FC236}">
              <a16:creationId xmlns:a16="http://schemas.microsoft.com/office/drawing/2014/main" id="{29C8E1F7-9B25-48D4-A389-66282704EC28}"/>
            </a:ext>
          </a:extLst>
        </xdr:cNvPr>
        <xdr:cNvSpPr txBox="1"/>
      </xdr:nvSpPr>
      <xdr:spPr>
        <a:xfrm>
          <a:off x="11303501" y="2560701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1457</xdr:row>
      <xdr:rowOff>85725</xdr:rowOff>
    </xdr:from>
    <xdr:to>
      <xdr:col>7</xdr:col>
      <xdr:colOff>2590800</xdr:colOff>
      <xdr:row>1462</xdr:row>
      <xdr:rowOff>0</xdr:rowOff>
    </xdr:to>
    <xdr:sp macro="" textlink="'PEDIDO 19'!A2">
      <xdr:nvSpPr>
        <xdr:cNvPr id="109" name="Retângulo: Cantos Arredondados 108">
          <a:extLst>
            <a:ext uri="{FF2B5EF4-FFF2-40B4-BE49-F238E27FC236}">
              <a16:creationId xmlns:a16="http://schemas.microsoft.com/office/drawing/2014/main" id="{32CF02CC-B37E-42E6-886D-6B00B46AF4B8}"/>
            </a:ext>
          </a:extLst>
        </xdr:cNvPr>
        <xdr:cNvSpPr/>
      </xdr:nvSpPr>
      <xdr:spPr>
        <a:xfrm>
          <a:off x="11201400" y="2719006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1F13DC4E-AA66-40B9-9C61-8772F8BB42CC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74649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1458</xdr:row>
      <xdr:rowOff>47625</xdr:rowOff>
    </xdr:from>
    <xdr:ext cx="1343574" cy="345544"/>
    <xdr:sp macro="" textlink="">
      <xdr:nvSpPr>
        <xdr:cNvPr id="110" name="CaixaDeTexto 109">
          <a:extLst>
            <a:ext uri="{FF2B5EF4-FFF2-40B4-BE49-F238E27FC236}">
              <a16:creationId xmlns:a16="http://schemas.microsoft.com/office/drawing/2014/main" id="{46E08A46-54C2-4C59-A8BE-C1AAA32128A0}"/>
            </a:ext>
          </a:extLst>
        </xdr:cNvPr>
        <xdr:cNvSpPr txBox="1"/>
      </xdr:nvSpPr>
      <xdr:spPr>
        <a:xfrm>
          <a:off x="11303501" y="2720530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1538</xdr:row>
      <xdr:rowOff>85725</xdr:rowOff>
    </xdr:from>
    <xdr:to>
      <xdr:col>7</xdr:col>
      <xdr:colOff>2590800</xdr:colOff>
      <xdr:row>1543</xdr:row>
      <xdr:rowOff>0</xdr:rowOff>
    </xdr:to>
    <xdr:sp macro="" textlink="'PEDIDO 20'!A2">
      <xdr:nvSpPr>
        <xdr:cNvPr id="111" name="Retângulo: Cantos Arredondados 110">
          <a:extLst>
            <a:ext uri="{FF2B5EF4-FFF2-40B4-BE49-F238E27FC236}">
              <a16:creationId xmlns:a16="http://schemas.microsoft.com/office/drawing/2014/main" id="{31BB99F8-40B1-40EA-99DE-C75A0F227EB0}"/>
            </a:ext>
          </a:extLst>
        </xdr:cNvPr>
        <xdr:cNvSpPr/>
      </xdr:nvSpPr>
      <xdr:spPr>
        <a:xfrm>
          <a:off x="11201400" y="2878836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785EB6A-BD40-4C44-BEE9-5D0DFA2F0E26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74648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1539</xdr:row>
      <xdr:rowOff>47625</xdr:rowOff>
    </xdr:from>
    <xdr:ext cx="1343574" cy="345544"/>
    <xdr:sp macro="" textlink="">
      <xdr:nvSpPr>
        <xdr:cNvPr id="112" name="CaixaDeTexto 111">
          <a:extLst>
            <a:ext uri="{FF2B5EF4-FFF2-40B4-BE49-F238E27FC236}">
              <a16:creationId xmlns:a16="http://schemas.microsoft.com/office/drawing/2014/main" id="{043A27C6-FA68-401D-9C33-CEE16B35B3BC}"/>
            </a:ext>
          </a:extLst>
        </xdr:cNvPr>
        <xdr:cNvSpPr txBox="1"/>
      </xdr:nvSpPr>
      <xdr:spPr>
        <a:xfrm>
          <a:off x="11303501" y="2880360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1619</xdr:row>
      <xdr:rowOff>85725</xdr:rowOff>
    </xdr:from>
    <xdr:to>
      <xdr:col>7</xdr:col>
      <xdr:colOff>2590800</xdr:colOff>
      <xdr:row>1624</xdr:row>
      <xdr:rowOff>0</xdr:rowOff>
    </xdr:to>
    <xdr:sp macro="" textlink="'PEDIDO 21'!A2">
      <xdr:nvSpPr>
        <xdr:cNvPr id="113" name="Retângulo: Cantos Arredondados 112">
          <a:extLst>
            <a:ext uri="{FF2B5EF4-FFF2-40B4-BE49-F238E27FC236}">
              <a16:creationId xmlns:a16="http://schemas.microsoft.com/office/drawing/2014/main" id="{025FC64A-B5C1-427F-BD49-F992EA2F6FF2}"/>
            </a:ext>
          </a:extLst>
        </xdr:cNvPr>
        <xdr:cNvSpPr/>
      </xdr:nvSpPr>
      <xdr:spPr>
        <a:xfrm>
          <a:off x="11201400" y="3038665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F55B7AB-96FE-41B7-B171-27A4EBBC2238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74647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1620</xdr:row>
      <xdr:rowOff>47625</xdr:rowOff>
    </xdr:from>
    <xdr:ext cx="1343574" cy="345544"/>
    <xdr:sp macro="" textlink="">
      <xdr:nvSpPr>
        <xdr:cNvPr id="114" name="CaixaDeTexto 113">
          <a:extLst>
            <a:ext uri="{FF2B5EF4-FFF2-40B4-BE49-F238E27FC236}">
              <a16:creationId xmlns:a16="http://schemas.microsoft.com/office/drawing/2014/main" id="{AD71A92C-EF72-4C85-AB50-12C29942E5BA}"/>
            </a:ext>
          </a:extLst>
        </xdr:cNvPr>
        <xdr:cNvSpPr txBox="1"/>
      </xdr:nvSpPr>
      <xdr:spPr>
        <a:xfrm>
          <a:off x="11303501" y="3040189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1700</xdr:row>
      <xdr:rowOff>85725</xdr:rowOff>
    </xdr:from>
    <xdr:to>
      <xdr:col>7</xdr:col>
      <xdr:colOff>2590800</xdr:colOff>
      <xdr:row>1705</xdr:row>
      <xdr:rowOff>0</xdr:rowOff>
    </xdr:to>
    <xdr:sp macro="" textlink="'PEDIDO 22'!A2">
      <xdr:nvSpPr>
        <xdr:cNvPr id="115" name="Retângulo: Cantos Arredondados 114">
          <a:extLst>
            <a:ext uri="{FF2B5EF4-FFF2-40B4-BE49-F238E27FC236}">
              <a16:creationId xmlns:a16="http://schemas.microsoft.com/office/drawing/2014/main" id="{7E76D3A5-F88E-47AD-A880-48FD36910747}"/>
            </a:ext>
          </a:extLst>
        </xdr:cNvPr>
        <xdr:cNvSpPr/>
      </xdr:nvSpPr>
      <xdr:spPr>
        <a:xfrm>
          <a:off x="11201400" y="3198495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7CDBC23-94E6-4C51-AA3D-949D2C812C9A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74646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1701</xdr:row>
      <xdr:rowOff>47625</xdr:rowOff>
    </xdr:from>
    <xdr:ext cx="1343574" cy="345544"/>
    <xdr:sp macro="" textlink="">
      <xdr:nvSpPr>
        <xdr:cNvPr id="116" name="CaixaDeTexto 115">
          <a:extLst>
            <a:ext uri="{FF2B5EF4-FFF2-40B4-BE49-F238E27FC236}">
              <a16:creationId xmlns:a16="http://schemas.microsoft.com/office/drawing/2014/main" id="{89E7AB54-DF13-480A-845D-43131BA08528}"/>
            </a:ext>
          </a:extLst>
        </xdr:cNvPr>
        <xdr:cNvSpPr txBox="1"/>
      </xdr:nvSpPr>
      <xdr:spPr>
        <a:xfrm>
          <a:off x="11303501" y="3200019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1781</xdr:row>
      <xdr:rowOff>85725</xdr:rowOff>
    </xdr:from>
    <xdr:to>
      <xdr:col>7</xdr:col>
      <xdr:colOff>2590800</xdr:colOff>
      <xdr:row>1786</xdr:row>
      <xdr:rowOff>0</xdr:rowOff>
    </xdr:to>
    <xdr:sp macro="" textlink="'PEDIDO 23'!A2">
      <xdr:nvSpPr>
        <xdr:cNvPr id="117" name="Retângulo: Cantos Arredondados 116">
          <a:extLst>
            <a:ext uri="{FF2B5EF4-FFF2-40B4-BE49-F238E27FC236}">
              <a16:creationId xmlns:a16="http://schemas.microsoft.com/office/drawing/2014/main" id="{100ACA15-A2FD-4C18-BFD8-A2717A3CA05C}"/>
            </a:ext>
          </a:extLst>
        </xdr:cNvPr>
        <xdr:cNvSpPr/>
      </xdr:nvSpPr>
      <xdr:spPr>
        <a:xfrm>
          <a:off x="11201400" y="3358324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3FE1C8D-26E8-4FB0-991E-4716AF6C0546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1782</xdr:row>
      <xdr:rowOff>47625</xdr:rowOff>
    </xdr:from>
    <xdr:ext cx="1343574" cy="345544"/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id="{E54119FA-F065-48A5-8529-B50018F5B0C0}"/>
            </a:ext>
          </a:extLst>
        </xdr:cNvPr>
        <xdr:cNvSpPr txBox="1"/>
      </xdr:nvSpPr>
      <xdr:spPr>
        <a:xfrm>
          <a:off x="11303501" y="3359848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1862</xdr:row>
      <xdr:rowOff>85725</xdr:rowOff>
    </xdr:from>
    <xdr:to>
      <xdr:col>7</xdr:col>
      <xdr:colOff>2590800</xdr:colOff>
      <xdr:row>1867</xdr:row>
      <xdr:rowOff>0</xdr:rowOff>
    </xdr:to>
    <xdr:sp macro="" textlink="'PEDIDO 24'!A2">
      <xdr:nvSpPr>
        <xdr:cNvPr id="119" name="Retângulo: Cantos Arredondados 118">
          <a:extLst>
            <a:ext uri="{FF2B5EF4-FFF2-40B4-BE49-F238E27FC236}">
              <a16:creationId xmlns:a16="http://schemas.microsoft.com/office/drawing/2014/main" id="{F949B6DB-6AB8-4537-814F-43B7AAC4537E}"/>
            </a:ext>
          </a:extLst>
        </xdr:cNvPr>
        <xdr:cNvSpPr/>
      </xdr:nvSpPr>
      <xdr:spPr>
        <a:xfrm>
          <a:off x="11201400" y="3518154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879F168-1C2E-4024-B51F-EB5BD2C7C85F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1863</xdr:row>
      <xdr:rowOff>47625</xdr:rowOff>
    </xdr:from>
    <xdr:ext cx="1343574" cy="345544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id="{59A1AA89-D6C1-4B59-833A-068A174E3C34}"/>
            </a:ext>
          </a:extLst>
        </xdr:cNvPr>
        <xdr:cNvSpPr txBox="1"/>
      </xdr:nvSpPr>
      <xdr:spPr>
        <a:xfrm>
          <a:off x="11303501" y="3519678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1943</xdr:row>
      <xdr:rowOff>85725</xdr:rowOff>
    </xdr:from>
    <xdr:to>
      <xdr:col>7</xdr:col>
      <xdr:colOff>2590800</xdr:colOff>
      <xdr:row>1948</xdr:row>
      <xdr:rowOff>0</xdr:rowOff>
    </xdr:to>
    <xdr:sp macro="" textlink="'PEDIDO 25'!A2">
      <xdr:nvSpPr>
        <xdr:cNvPr id="121" name="Retângulo: Cantos Arredondados 120">
          <a:extLst>
            <a:ext uri="{FF2B5EF4-FFF2-40B4-BE49-F238E27FC236}">
              <a16:creationId xmlns:a16="http://schemas.microsoft.com/office/drawing/2014/main" id="{76F77B29-F193-4059-87F5-4ADA03958633}"/>
            </a:ext>
          </a:extLst>
        </xdr:cNvPr>
        <xdr:cNvSpPr/>
      </xdr:nvSpPr>
      <xdr:spPr>
        <a:xfrm>
          <a:off x="11201400" y="3677983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1A6735FB-466A-44FC-B08F-D2DFB6BAF414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1944</xdr:row>
      <xdr:rowOff>47625</xdr:rowOff>
    </xdr:from>
    <xdr:ext cx="1343574" cy="345544"/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03DD7A1B-3B4D-4644-943B-86988B6C4A3F}"/>
            </a:ext>
          </a:extLst>
        </xdr:cNvPr>
        <xdr:cNvSpPr txBox="1"/>
      </xdr:nvSpPr>
      <xdr:spPr>
        <a:xfrm>
          <a:off x="11303501" y="3679507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2024</xdr:row>
      <xdr:rowOff>85725</xdr:rowOff>
    </xdr:from>
    <xdr:to>
      <xdr:col>7</xdr:col>
      <xdr:colOff>2590800</xdr:colOff>
      <xdr:row>2029</xdr:row>
      <xdr:rowOff>0</xdr:rowOff>
    </xdr:to>
    <xdr:sp macro="" textlink="'PEDIDO 26'!A2">
      <xdr:nvSpPr>
        <xdr:cNvPr id="123" name="Retângulo: Cantos Arredondados 122">
          <a:extLst>
            <a:ext uri="{FF2B5EF4-FFF2-40B4-BE49-F238E27FC236}">
              <a16:creationId xmlns:a16="http://schemas.microsoft.com/office/drawing/2014/main" id="{88115C2A-1D1F-486E-BAF6-15B222B4706A}"/>
            </a:ext>
          </a:extLst>
        </xdr:cNvPr>
        <xdr:cNvSpPr/>
      </xdr:nvSpPr>
      <xdr:spPr>
        <a:xfrm>
          <a:off x="11201400" y="3837813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DCEF401-BF3A-466C-A32E-300EF1766078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2025</xdr:row>
      <xdr:rowOff>47625</xdr:rowOff>
    </xdr:from>
    <xdr:ext cx="1343574" cy="345544"/>
    <xdr:sp macro="" textlink="">
      <xdr:nvSpPr>
        <xdr:cNvPr id="124" name="CaixaDeTexto 123">
          <a:extLst>
            <a:ext uri="{FF2B5EF4-FFF2-40B4-BE49-F238E27FC236}">
              <a16:creationId xmlns:a16="http://schemas.microsoft.com/office/drawing/2014/main" id="{6423EE34-FC4C-4848-8F68-1EDE1F9FEE55}"/>
            </a:ext>
          </a:extLst>
        </xdr:cNvPr>
        <xdr:cNvSpPr txBox="1"/>
      </xdr:nvSpPr>
      <xdr:spPr>
        <a:xfrm>
          <a:off x="11303501" y="3839337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2105</xdr:row>
      <xdr:rowOff>85725</xdr:rowOff>
    </xdr:from>
    <xdr:to>
      <xdr:col>7</xdr:col>
      <xdr:colOff>2590800</xdr:colOff>
      <xdr:row>2110</xdr:row>
      <xdr:rowOff>0</xdr:rowOff>
    </xdr:to>
    <xdr:sp macro="" textlink="'PEDIDO 27'!A2">
      <xdr:nvSpPr>
        <xdr:cNvPr id="125" name="Retângulo: Cantos Arredondados 124">
          <a:extLst>
            <a:ext uri="{FF2B5EF4-FFF2-40B4-BE49-F238E27FC236}">
              <a16:creationId xmlns:a16="http://schemas.microsoft.com/office/drawing/2014/main" id="{A429C8AB-78C1-4917-833A-73F3A300714A}"/>
            </a:ext>
          </a:extLst>
        </xdr:cNvPr>
        <xdr:cNvSpPr/>
      </xdr:nvSpPr>
      <xdr:spPr>
        <a:xfrm>
          <a:off x="11201400" y="3997642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D0321F7F-19AF-4286-9FD0-3081658BD347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2106</xdr:row>
      <xdr:rowOff>47625</xdr:rowOff>
    </xdr:from>
    <xdr:ext cx="1343574" cy="345544"/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id="{886B22A2-B3D8-41CA-8898-42D9B9971822}"/>
            </a:ext>
          </a:extLst>
        </xdr:cNvPr>
        <xdr:cNvSpPr txBox="1"/>
      </xdr:nvSpPr>
      <xdr:spPr>
        <a:xfrm>
          <a:off x="11303501" y="3999166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2186</xdr:row>
      <xdr:rowOff>85725</xdr:rowOff>
    </xdr:from>
    <xdr:to>
      <xdr:col>7</xdr:col>
      <xdr:colOff>2590800</xdr:colOff>
      <xdr:row>2191</xdr:row>
      <xdr:rowOff>0</xdr:rowOff>
    </xdr:to>
    <xdr:sp macro="" textlink="'PEDIDO 28'!A2">
      <xdr:nvSpPr>
        <xdr:cNvPr id="127" name="Retângulo: Cantos Arredondados 126">
          <a:extLst>
            <a:ext uri="{FF2B5EF4-FFF2-40B4-BE49-F238E27FC236}">
              <a16:creationId xmlns:a16="http://schemas.microsoft.com/office/drawing/2014/main" id="{52CBB3CF-7C2B-4E4E-91CA-3BB674F11C03}"/>
            </a:ext>
          </a:extLst>
        </xdr:cNvPr>
        <xdr:cNvSpPr/>
      </xdr:nvSpPr>
      <xdr:spPr>
        <a:xfrm>
          <a:off x="11201400" y="4157472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D61E5BD5-F724-40F4-B47E-C1C60A5B7FC6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2187</xdr:row>
      <xdr:rowOff>47625</xdr:rowOff>
    </xdr:from>
    <xdr:ext cx="1343574" cy="345544"/>
    <xdr:sp macro="" textlink="">
      <xdr:nvSpPr>
        <xdr:cNvPr id="128" name="CaixaDeTexto 127">
          <a:extLst>
            <a:ext uri="{FF2B5EF4-FFF2-40B4-BE49-F238E27FC236}">
              <a16:creationId xmlns:a16="http://schemas.microsoft.com/office/drawing/2014/main" id="{8B36DE11-9D12-460E-83E8-6223BEA80007}"/>
            </a:ext>
          </a:extLst>
        </xdr:cNvPr>
        <xdr:cNvSpPr txBox="1"/>
      </xdr:nvSpPr>
      <xdr:spPr>
        <a:xfrm>
          <a:off x="11303501" y="4158996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2267</xdr:row>
      <xdr:rowOff>85725</xdr:rowOff>
    </xdr:from>
    <xdr:to>
      <xdr:col>7</xdr:col>
      <xdr:colOff>2590800</xdr:colOff>
      <xdr:row>2272</xdr:row>
      <xdr:rowOff>0</xdr:rowOff>
    </xdr:to>
    <xdr:sp macro="" textlink="'PEDIDO 29'!A2">
      <xdr:nvSpPr>
        <xdr:cNvPr id="129" name="Retângulo: Cantos Arredondados 128">
          <a:extLst>
            <a:ext uri="{FF2B5EF4-FFF2-40B4-BE49-F238E27FC236}">
              <a16:creationId xmlns:a16="http://schemas.microsoft.com/office/drawing/2014/main" id="{FB342290-39C3-4ABC-BE38-3E5C3565A34D}"/>
            </a:ext>
          </a:extLst>
        </xdr:cNvPr>
        <xdr:cNvSpPr/>
      </xdr:nvSpPr>
      <xdr:spPr>
        <a:xfrm>
          <a:off x="11201400" y="4317301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7EC9545-1AE4-41A1-8ED2-7D822A60E80F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2268</xdr:row>
      <xdr:rowOff>47625</xdr:rowOff>
    </xdr:from>
    <xdr:ext cx="1343574" cy="345544"/>
    <xdr:sp macro="" textlink="">
      <xdr:nvSpPr>
        <xdr:cNvPr id="130" name="CaixaDeTexto 129">
          <a:extLst>
            <a:ext uri="{FF2B5EF4-FFF2-40B4-BE49-F238E27FC236}">
              <a16:creationId xmlns:a16="http://schemas.microsoft.com/office/drawing/2014/main" id="{B8328663-53E3-4575-B1DE-FB1037878C49}"/>
            </a:ext>
          </a:extLst>
        </xdr:cNvPr>
        <xdr:cNvSpPr txBox="1"/>
      </xdr:nvSpPr>
      <xdr:spPr>
        <a:xfrm>
          <a:off x="11303501" y="4318825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2348</xdr:row>
      <xdr:rowOff>85725</xdr:rowOff>
    </xdr:from>
    <xdr:to>
      <xdr:col>7</xdr:col>
      <xdr:colOff>2590800</xdr:colOff>
      <xdr:row>2353</xdr:row>
      <xdr:rowOff>0</xdr:rowOff>
    </xdr:to>
    <xdr:sp macro="" textlink="'PEDIDO 30'!A2">
      <xdr:nvSpPr>
        <xdr:cNvPr id="131" name="Retângulo: Cantos Arredondados 130">
          <a:extLst>
            <a:ext uri="{FF2B5EF4-FFF2-40B4-BE49-F238E27FC236}">
              <a16:creationId xmlns:a16="http://schemas.microsoft.com/office/drawing/2014/main" id="{EF53ACA4-42DC-437E-8D57-B36223679244}"/>
            </a:ext>
          </a:extLst>
        </xdr:cNvPr>
        <xdr:cNvSpPr/>
      </xdr:nvSpPr>
      <xdr:spPr>
        <a:xfrm>
          <a:off x="11201400" y="4477131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2FD7F71-F836-409D-986C-AFAB2612A0B2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2349</xdr:row>
      <xdr:rowOff>47625</xdr:rowOff>
    </xdr:from>
    <xdr:ext cx="1343574" cy="345544"/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id="{D60A5124-C0C7-43B4-9FB2-3FC1C1F168E0}"/>
            </a:ext>
          </a:extLst>
        </xdr:cNvPr>
        <xdr:cNvSpPr txBox="1"/>
      </xdr:nvSpPr>
      <xdr:spPr>
        <a:xfrm>
          <a:off x="11303501" y="4478655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2429</xdr:row>
      <xdr:rowOff>85725</xdr:rowOff>
    </xdr:from>
    <xdr:to>
      <xdr:col>7</xdr:col>
      <xdr:colOff>2590800</xdr:colOff>
      <xdr:row>2434</xdr:row>
      <xdr:rowOff>0</xdr:rowOff>
    </xdr:to>
    <xdr:sp macro="" textlink="'PEDIDO 31'!A2">
      <xdr:nvSpPr>
        <xdr:cNvPr id="133" name="Retângulo: Cantos Arredondados 132">
          <a:extLst>
            <a:ext uri="{FF2B5EF4-FFF2-40B4-BE49-F238E27FC236}">
              <a16:creationId xmlns:a16="http://schemas.microsoft.com/office/drawing/2014/main" id="{4B417F11-F93D-42DA-AE24-FE2B7F8C5113}"/>
            </a:ext>
          </a:extLst>
        </xdr:cNvPr>
        <xdr:cNvSpPr/>
      </xdr:nvSpPr>
      <xdr:spPr>
        <a:xfrm>
          <a:off x="11201400" y="4636960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7248F07-FAF9-4618-8A29-ED5A304A3DE3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2430</xdr:row>
      <xdr:rowOff>47625</xdr:rowOff>
    </xdr:from>
    <xdr:ext cx="1343574" cy="345544"/>
    <xdr:sp macro="" textlink="">
      <xdr:nvSpPr>
        <xdr:cNvPr id="134" name="CaixaDeTexto 133">
          <a:extLst>
            <a:ext uri="{FF2B5EF4-FFF2-40B4-BE49-F238E27FC236}">
              <a16:creationId xmlns:a16="http://schemas.microsoft.com/office/drawing/2014/main" id="{0F3A0652-6939-4356-82BF-161F0EFBC15E}"/>
            </a:ext>
          </a:extLst>
        </xdr:cNvPr>
        <xdr:cNvSpPr txBox="1"/>
      </xdr:nvSpPr>
      <xdr:spPr>
        <a:xfrm>
          <a:off x="11303501" y="4638484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2510</xdr:row>
      <xdr:rowOff>85725</xdr:rowOff>
    </xdr:from>
    <xdr:to>
      <xdr:col>7</xdr:col>
      <xdr:colOff>2590800</xdr:colOff>
      <xdr:row>2515</xdr:row>
      <xdr:rowOff>0</xdr:rowOff>
    </xdr:to>
    <xdr:sp macro="" textlink="'PEDIDO 32'!A2">
      <xdr:nvSpPr>
        <xdr:cNvPr id="135" name="Retângulo: Cantos Arredondados 134">
          <a:extLst>
            <a:ext uri="{FF2B5EF4-FFF2-40B4-BE49-F238E27FC236}">
              <a16:creationId xmlns:a16="http://schemas.microsoft.com/office/drawing/2014/main" id="{7A7F34EB-4587-4852-BD20-F7FF43CDD992}"/>
            </a:ext>
          </a:extLst>
        </xdr:cNvPr>
        <xdr:cNvSpPr/>
      </xdr:nvSpPr>
      <xdr:spPr>
        <a:xfrm>
          <a:off x="11201400" y="4796790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EE902F9-C884-4BD1-AC9B-1A9224E4FC6D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2511</xdr:row>
      <xdr:rowOff>47625</xdr:rowOff>
    </xdr:from>
    <xdr:ext cx="1343574" cy="345544"/>
    <xdr:sp macro="" textlink="">
      <xdr:nvSpPr>
        <xdr:cNvPr id="136" name="CaixaDeTexto 135">
          <a:extLst>
            <a:ext uri="{FF2B5EF4-FFF2-40B4-BE49-F238E27FC236}">
              <a16:creationId xmlns:a16="http://schemas.microsoft.com/office/drawing/2014/main" id="{9C510387-15DA-4036-8717-FDB32A729E8E}"/>
            </a:ext>
          </a:extLst>
        </xdr:cNvPr>
        <xdr:cNvSpPr txBox="1"/>
      </xdr:nvSpPr>
      <xdr:spPr>
        <a:xfrm>
          <a:off x="11303501" y="4798314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2591</xdr:row>
      <xdr:rowOff>85725</xdr:rowOff>
    </xdr:from>
    <xdr:to>
      <xdr:col>7</xdr:col>
      <xdr:colOff>2590800</xdr:colOff>
      <xdr:row>2596</xdr:row>
      <xdr:rowOff>0</xdr:rowOff>
    </xdr:to>
    <xdr:sp macro="" textlink="'PEDIDO 33'!A2">
      <xdr:nvSpPr>
        <xdr:cNvPr id="137" name="Retângulo: Cantos Arredondados 136">
          <a:extLst>
            <a:ext uri="{FF2B5EF4-FFF2-40B4-BE49-F238E27FC236}">
              <a16:creationId xmlns:a16="http://schemas.microsoft.com/office/drawing/2014/main" id="{D9D1934D-EC72-4756-BFD1-BDBC9677D62E}"/>
            </a:ext>
          </a:extLst>
        </xdr:cNvPr>
        <xdr:cNvSpPr/>
      </xdr:nvSpPr>
      <xdr:spPr>
        <a:xfrm>
          <a:off x="11201400" y="4956619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82B4F54-B472-4562-B947-6D3BD7948F7A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2592</xdr:row>
      <xdr:rowOff>47625</xdr:rowOff>
    </xdr:from>
    <xdr:ext cx="1343574" cy="345544"/>
    <xdr:sp macro="" textlink="">
      <xdr:nvSpPr>
        <xdr:cNvPr id="138" name="CaixaDeTexto 137">
          <a:extLst>
            <a:ext uri="{FF2B5EF4-FFF2-40B4-BE49-F238E27FC236}">
              <a16:creationId xmlns:a16="http://schemas.microsoft.com/office/drawing/2014/main" id="{E85E091A-A360-4300-AFEC-4E1D131BDADB}"/>
            </a:ext>
          </a:extLst>
        </xdr:cNvPr>
        <xdr:cNvSpPr txBox="1"/>
      </xdr:nvSpPr>
      <xdr:spPr>
        <a:xfrm>
          <a:off x="11303501" y="4958143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2672</xdr:row>
      <xdr:rowOff>85725</xdr:rowOff>
    </xdr:from>
    <xdr:to>
      <xdr:col>7</xdr:col>
      <xdr:colOff>2590800</xdr:colOff>
      <xdr:row>2677</xdr:row>
      <xdr:rowOff>0</xdr:rowOff>
    </xdr:to>
    <xdr:sp macro="" textlink="'PEDIDO 34'!A2">
      <xdr:nvSpPr>
        <xdr:cNvPr id="139" name="Retângulo: Cantos Arredondados 138">
          <a:extLst>
            <a:ext uri="{FF2B5EF4-FFF2-40B4-BE49-F238E27FC236}">
              <a16:creationId xmlns:a16="http://schemas.microsoft.com/office/drawing/2014/main" id="{532C938E-6567-470A-B94E-F062E9D2B027}"/>
            </a:ext>
          </a:extLst>
        </xdr:cNvPr>
        <xdr:cNvSpPr/>
      </xdr:nvSpPr>
      <xdr:spPr>
        <a:xfrm>
          <a:off x="11201400" y="5116449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A79B004-422F-47C2-88D1-50C01D85143C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2673</xdr:row>
      <xdr:rowOff>47625</xdr:rowOff>
    </xdr:from>
    <xdr:ext cx="1343574" cy="345544"/>
    <xdr:sp macro="" textlink="">
      <xdr:nvSpPr>
        <xdr:cNvPr id="140" name="CaixaDeTexto 139">
          <a:extLst>
            <a:ext uri="{FF2B5EF4-FFF2-40B4-BE49-F238E27FC236}">
              <a16:creationId xmlns:a16="http://schemas.microsoft.com/office/drawing/2014/main" id="{F2BBE9C6-31C4-46A0-8BD7-6F18152EB398}"/>
            </a:ext>
          </a:extLst>
        </xdr:cNvPr>
        <xdr:cNvSpPr txBox="1"/>
      </xdr:nvSpPr>
      <xdr:spPr>
        <a:xfrm>
          <a:off x="11303501" y="5117973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2753</xdr:row>
      <xdr:rowOff>85725</xdr:rowOff>
    </xdr:from>
    <xdr:to>
      <xdr:col>7</xdr:col>
      <xdr:colOff>2590800</xdr:colOff>
      <xdr:row>2758</xdr:row>
      <xdr:rowOff>0</xdr:rowOff>
    </xdr:to>
    <xdr:sp macro="" textlink="'PEDIDO 35'!A2">
      <xdr:nvSpPr>
        <xdr:cNvPr id="141" name="Retângulo: Cantos Arredondados 140">
          <a:extLst>
            <a:ext uri="{FF2B5EF4-FFF2-40B4-BE49-F238E27FC236}">
              <a16:creationId xmlns:a16="http://schemas.microsoft.com/office/drawing/2014/main" id="{F8C6BBE5-92AA-41F7-85E5-5CE53898C159}"/>
            </a:ext>
          </a:extLst>
        </xdr:cNvPr>
        <xdr:cNvSpPr/>
      </xdr:nvSpPr>
      <xdr:spPr>
        <a:xfrm>
          <a:off x="11201400" y="5276278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ACABEF1-1F93-4D98-9D75-AE8F2A13A242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2754</xdr:row>
      <xdr:rowOff>47625</xdr:rowOff>
    </xdr:from>
    <xdr:ext cx="1343574" cy="345544"/>
    <xdr:sp macro="" textlink="">
      <xdr:nvSpPr>
        <xdr:cNvPr id="142" name="CaixaDeTexto 141">
          <a:extLst>
            <a:ext uri="{FF2B5EF4-FFF2-40B4-BE49-F238E27FC236}">
              <a16:creationId xmlns:a16="http://schemas.microsoft.com/office/drawing/2014/main" id="{CAE08361-3E4A-44E3-8F2E-F9560C130243}"/>
            </a:ext>
          </a:extLst>
        </xdr:cNvPr>
        <xdr:cNvSpPr txBox="1"/>
      </xdr:nvSpPr>
      <xdr:spPr>
        <a:xfrm>
          <a:off x="11303501" y="5277802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2834</xdr:row>
      <xdr:rowOff>85725</xdr:rowOff>
    </xdr:from>
    <xdr:to>
      <xdr:col>7</xdr:col>
      <xdr:colOff>2590800</xdr:colOff>
      <xdr:row>2839</xdr:row>
      <xdr:rowOff>0</xdr:rowOff>
    </xdr:to>
    <xdr:sp macro="" textlink="'PEDIDO 36'!A2">
      <xdr:nvSpPr>
        <xdr:cNvPr id="143" name="Retângulo: Cantos Arredondados 142">
          <a:extLst>
            <a:ext uri="{FF2B5EF4-FFF2-40B4-BE49-F238E27FC236}">
              <a16:creationId xmlns:a16="http://schemas.microsoft.com/office/drawing/2014/main" id="{5400D8B6-7949-4C64-B586-96E79FAFCDDB}"/>
            </a:ext>
          </a:extLst>
        </xdr:cNvPr>
        <xdr:cNvSpPr/>
      </xdr:nvSpPr>
      <xdr:spPr>
        <a:xfrm>
          <a:off x="11201400" y="5436108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E58E9BDE-A2D1-4628-A35B-12B0A697873D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2835</xdr:row>
      <xdr:rowOff>47625</xdr:rowOff>
    </xdr:from>
    <xdr:ext cx="1343574" cy="345544"/>
    <xdr:sp macro="" textlink="">
      <xdr:nvSpPr>
        <xdr:cNvPr id="144" name="CaixaDeTexto 143">
          <a:extLst>
            <a:ext uri="{FF2B5EF4-FFF2-40B4-BE49-F238E27FC236}">
              <a16:creationId xmlns:a16="http://schemas.microsoft.com/office/drawing/2014/main" id="{FF97127A-7459-48DD-8473-F5F180DCB89E}"/>
            </a:ext>
          </a:extLst>
        </xdr:cNvPr>
        <xdr:cNvSpPr txBox="1"/>
      </xdr:nvSpPr>
      <xdr:spPr>
        <a:xfrm>
          <a:off x="11303501" y="5437632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2915</xdr:row>
      <xdr:rowOff>85725</xdr:rowOff>
    </xdr:from>
    <xdr:to>
      <xdr:col>7</xdr:col>
      <xdr:colOff>2590800</xdr:colOff>
      <xdr:row>2920</xdr:row>
      <xdr:rowOff>0</xdr:rowOff>
    </xdr:to>
    <xdr:sp macro="" textlink="'PEDIDO 37'!A2">
      <xdr:nvSpPr>
        <xdr:cNvPr id="145" name="Retângulo: Cantos Arredondados 144">
          <a:extLst>
            <a:ext uri="{FF2B5EF4-FFF2-40B4-BE49-F238E27FC236}">
              <a16:creationId xmlns:a16="http://schemas.microsoft.com/office/drawing/2014/main" id="{3900353C-2376-4356-8BD3-700F993CDDC4}"/>
            </a:ext>
          </a:extLst>
        </xdr:cNvPr>
        <xdr:cNvSpPr/>
      </xdr:nvSpPr>
      <xdr:spPr>
        <a:xfrm>
          <a:off x="11201400" y="5595937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39C6083-9188-4C74-8FAA-8E220165BFF1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2916</xdr:row>
      <xdr:rowOff>47625</xdr:rowOff>
    </xdr:from>
    <xdr:ext cx="1343574" cy="345544"/>
    <xdr:sp macro="" textlink="">
      <xdr:nvSpPr>
        <xdr:cNvPr id="146" name="CaixaDeTexto 145">
          <a:extLst>
            <a:ext uri="{FF2B5EF4-FFF2-40B4-BE49-F238E27FC236}">
              <a16:creationId xmlns:a16="http://schemas.microsoft.com/office/drawing/2014/main" id="{FC0D9E87-83DA-44E7-84BE-73BED912F6B0}"/>
            </a:ext>
          </a:extLst>
        </xdr:cNvPr>
        <xdr:cNvSpPr txBox="1"/>
      </xdr:nvSpPr>
      <xdr:spPr>
        <a:xfrm>
          <a:off x="11303501" y="5597461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2996</xdr:row>
      <xdr:rowOff>85725</xdr:rowOff>
    </xdr:from>
    <xdr:to>
      <xdr:col>7</xdr:col>
      <xdr:colOff>2590800</xdr:colOff>
      <xdr:row>3001</xdr:row>
      <xdr:rowOff>0</xdr:rowOff>
    </xdr:to>
    <xdr:sp macro="" textlink="'PEDIDO 38'!A2">
      <xdr:nvSpPr>
        <xdr:cNvPr id="147" name="Retângulo: Cantos Arredondados 146">
          <a:extLst>
            <a:ext uri="{FF2B5EF4-FFF2-40B4-BE49-F238E27FC236}">
              <a16:creationId xmlns:a16="http://schemas.microsoft.com/office/drawing/2014/main" id="{494D151D-52D4-4BEF-8F24-D6E66A1E8732}"/>
            </a:ext>
          </a:extLst>
        </xdr:cNvPr>
        <xdr:cNvSpPr/>
      </xdr:nvSpPr>
      <xdr:spPr>
        <a:xfrm>
          <a:off x="11201400" y="5755767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F38C85F6-0600-4D90-8FA1-EE6193A59BE7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2997</xdr:row>
      <xdr:rowOff>47625</xdr:rowOff>
    </xdr:from>
    <xdr:ext cx="1343574" cy="345544"/>
    <xdr:sp macro="" textlink="">
      <xdr:nvSpPr>
        <xdr:cNvPr id="148" name="CaixaDeTexto 147">
          <a:extLst>
            <a:ext uri="{FF2B5EF4-FFF2-40B4-BE49-F238E27FC236}">
              <a16:creationId xmlns:a16="http://schemas.microsoft.com/office/drawing/2014/main" id="{7649662D-180C-499D-B2E4-D7F8307BC556}"/>
            </a:ext>
          </a:extLst>
        </xdr:cNvPr>
        <xdr:cNvSpPr txBox="1"/>
      </xdr:nvSpPr>
      <xdr:spPr>
        <a:xfrm>
          <a:off x="11303501" y="5757291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3077</xdr:row>
      <xdr:rowOff>85725</xdr:rowOff>
    </xdr:from>
    <xdr:to>
      <xdr:col>7</xdr:col>
      <xdr:colOff>2590800</xdr:colOff>
      <xdr:row>3082</xdr:row>
      <xdr:rowOff>0</xdr:rowOff>
    </xdr:to>
    <xdr:sp macro="" textlink="'PEDIDO 39'!A2">
      <xdr:nvSpPr>
        <xdr:cNvPr id="149" name="Retângulo: Cantos Arredondados 148">
          <a:extLst>
            <a:ext uri="{FF2B5EF4-FFF2-40B4-BE49-F238E27FC236}">
              <a16:creationId xmlns:a16="http://schemas.microsoft.com/office/drawing/2014/main" id="{311F4200-5618-405D-92F7-65C6ACF4AD92}"/>
            </a:ext>
          </a:extLst>
        </xdr:cNvPr>
        <xdr:cNvSpPr/>
      </xdr:nvSpPr>
      <xdr:spPr>
        <a:xfrm>
          <a:off x="11201400" y="5915596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D88A316-EAE7-4DE2-8966-AAA5436D6570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3078</xdr:row>
      <xdr:rowOff>47625</xdr:rowOff>
    </xdr:from>
    <xdr:ext cx="1343574" cy="345544"/>
    <xdr:sp macro="" textlink="">
      <xdr:nvSpPr>
        <xdr:cNvPr id="150" name="CaixaDeTexto 149">
          <a:extLst>
            <a:ext uri="{FF2B5EF4-FFF2-40B4-BE49-F238E27FC236}">
              <a16:creationId xmlns:a16="http://schemas.microsoft.com/office/drawing/2014/main" id="{E154C853-1F52-44C2-AE20-4A1D88132151}"/>
            </a:ext>
          </a:extLst>
        </xdr:cNvPr>
        <xdr:cNvSpPr txBox="1"/>
      </xdr:nvSpPr>
      <xdr:spPr>
        <a:xfrm>
          <a:off x="11303501" y="5917120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3158</xdr:row>
      <xdr:rowOff>85725</xdr:rowOff>
    </xdr:from>
    <xdr:to>
      <xdr:col>7</xdr:col>
      <xdr:colOff>2590800</xdr:colOff>
      <xdr:row>3163</xdr:row>
      <xdr:rowOff>0</xdr:rowOff>
    </xdr:to>
    <xdr:sp macro="" textlink="'PEDIDO 40'!A2">
      <xdr:nvSpPr>
        <xdr:cNvPr id="151" name="Retângulo: Cantos Arredondados 150">
          <a:extLst>
            <a:ext uri="{FF2B5EF4-FFF2-40B4-BE49-F238E27FC236}">
              <a16:creationId xmlns:a16="http://schemas.microsoft.com/office/drawing/2014/main" id="{24A07E33-7E12-4945-80B6-08014281B359}"/>
            </a:ext>
          </a:extLst>
        </xdr:cNvPr>
        <xdr:cNvSpPr/>
      </xdr:nvSpPr>
      <xdr:spPr>
        <a:xfrm>
          <a:off x="11201400" y="6075426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AA0ABB06-23C6-4BA3-ADAC-7F8BFA0DE61E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3159</xdr:row>
      <xdr:rowOff>47625</xdr:rowOff>
    </xdr:from>
    <xdr:ext cx="1343574" cy="345544"/>
    <xdr:sp macro="" textlink="">
      <xdr:nvSpPr>
        <xdr:cNvPr id="152" name="CaixaDeTexto 151">
          <a:extLst>
            <a:ext uri="{FF2B5EF4-FFF2-40B4-BE49-F238E27FC236}">
              <a16:creationId xmlns:a16="http://schemas.microsoft.com/office/drawing/2014/main" id="{EFD88E53-AF08-4EFB-AE69-20483A50B89C}"/>
            </a:ext>
          </a:extLst>
        </xdr:cNvPr>
        <xdr:cNvSpPr txBox="1"/>
      </xdr:nvSpPr>
      <xdr:spPr>
        <a:xfrm>
          <a:off x="11303501" y="6076950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3239</xdr:row>
      <xdr:rowOff>85725</xdr:rowOff>
    </xdr:from>
    <xdr:to>
      <xdr:col>7</xdr:col>
      <xdr:colOff>2590800</xdr:colOff>
      <xdr:row>3244</xdr:row>
      <xdr:rowOff>0</xdr:rowOff>
    </xdr:to>
    <xdr:sp macro="" textlink="'PEDIDO 41'!A2">
      <xdr:nvSpPr>
        <xdr:cNvPr id="153" name="Retângulo: Cantos Arredondados 152">
          <a:extLst>
            <a:ext uri="{FF2B5EF4-FFF2-40B4-BE49-F238E27FC236}">
              <a16:creationId xmlns:a16="http://schemas.microsoft.com/office/drawing/2014/main" id="{C044D174-75D4-45EC-AE53-E100DCF62A7F}"/>
            </a:ext>
          </a:extLst>
        </xdr:cNvPr>
        <xdr:cNvSpPr/>
      </xdr:nvSpPr>
      <xdr:spPr>
        <a:xfrm>
          <a:off x="11201400" y="6235255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4F874CB9-C3B4-46FE-9A3E-73F3B1742ED5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3240</xdr:row>
      <xdr:rowOff>47625</xdr:rowOff>
    </xdr:from>
    <xdr:ext cx="1343574" cy="345544"/>
    <xdr:sp macro="" textlink="">
      <xdr:nvSpPr>
        <xdr:cNvPr id="154" name="CaixaDeTexto 153">
          <a:extLst>
            <a:ext uri="{FF2B5EF4-FFF2-40B4-BE49-F238E27FC236}">
              <a16:creationId xmlns:a16="http://schemas.microsoft.com/office/drawing/2014/main" id="{5965AADA-09C7-4396-809B-7473F5943216}"/>
            </a:ext>
          </a:extLst>
        </xdr:cNvPr>
        <xdr:cNvSpPr txBox="1"/>
      </xdr:nvSpPr>
      <xdr:spPr>
        <a:xfrm>
          <a:off x="11303501" y="6236779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3320</xdr:row>
      <xdr:rowOff>85725</xdr:rowOff>
    </xdr:from>
    <xdr:to>
      <xdr:col>7</xdr:col>
      <xdr:colOff>2590800</xdr:colOff>
      <xdr:row>3325</xdr:row>
      <xdr:rowOff>0</xdr:rowOff>
    </xdr:to>
    <xdr:sp macro="" textlink="'PEDIDO 42'!A2">
      <xdr:nvSpPr>
        <xdr:cNvPr id="155" name="Retângulo: Cantos Arredondados 154">
          <a:extLst>
            <a:ext uri="{FF2B5EF4-FFF2-40B4-BE49-F238E27FC236}">
              <a16:creationId xmlns:a16="http://schemas.microsoft.com/office/drawing/2014/main" id="{98D20F35-CB5C-4A9D-8D13-EDC1935F9D7A}"/>
            </a:ext>
          </a:extLst>
        </xdr:cNvPr>
        <xdr:cNvSpPr/>
      </xdr:nvSpPr>
      <xdr:spPr>
        <a:xfrm>
          <a:off x="11201400" y="6395085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34A102B-4F67-4ED0-9C52-86536A9ED7BF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3321</xdr:row>
      <xdr:rowOff>47625</xdr:rowOff>
    </xdr:from>
    <xdr:ext cx="1343574" cy="345544"/>
    <xdr:sp macro="" textlink="">
      <xdr:nvSpPr>
        <xdr:cNvPr id="156" name="CaixaDeTexto 155">
          <a:extLst>
            <a:ext uri="{FF2B5EF4-FFF2-40B4-BE49-F238E27FC236}">
              <a16:creationId xmlns:a16="http://schemas.microsoft.com/office/drawing/2014/main" id="{DE3DEFEB-AA06-481C-B49E-E564906BC8BE}"/>
            </a:ext>
          </a:extLst>
        </xdr:cNvPr>
        <xdr:cNvSpPr txBox="1"/>
      </xdr:nvSpPr>
      <xdr:spPr>
        <a:xfrm>
          <a:off x="11303501" y="6396609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3401</xdr:row>
      <xdr:rowOff>85725</xdr:rowOff>
    </xdr:from>
    <xdr:to>
      <xdr:col>7</xdr:col>
      <xdr:colOff>2590800</xdr:colOff>
      <xdr:row>3406</xdr:row>
      <xdr:rowOff>0</xdr:rowOff>
    </xdr:to>
    <xdr:sp macro="" textlink="'PEDIDO 43'!A2">
      <xdr:nvSpPr>
        <xdr:cNvPr id="157" name="Retângulo: Cantos Arredondados 156">
          <a:extLst>
            <a:ext uri="{FF2B5EF4-FFF2-40B4-BE49-F238E27FC236}">
              <a16:creationId xmlns:a16="http://schemas.microsoft.com/office/drawing/2014/main" id="{31E5C5F3-6645-4CB3-902E-F3F7FCFA6617}"/>
            </a:ext>
          </a:extLst>
        </xdr:cNvPr>
        <xdr:cNvSpPr/>
      </xdr:nvSpPr>
      <xdr:spPr>
        <a:xfrm>
          <a:off x="11201400" y="6554914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E622238-5FDD-4BA5-AAA8-08208F9C7D5B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3402</xdr:row>
      <xdr:rowOff>47625</xdr:rowOff>
    </xdr:from>
    <xdr:ext cx="1343574" cy="345544"/>
    <xdr:sp macro="" textlink="">
      <xdr:nvSpPr>
        <xdr:cNvPr id="158" name="CaixaDeTexto 157">
          <a:extLst>
            <a:ext uri="{FF2B5EF4-FFF2-40B4-BE49-F238E27FC236}">
              <a16:creationId xmlns:a16="http://schemas.microsoft.com/office/drawing/2014/main" id="{03BFFCFC-0A02-4381-826D-9D600183A350}"/>
            </a:ext>
          </a:extLst>
        </xdr:cNvPr>
        <xdr:cNvSpPr txBox="1"/>
      </xdr:nvSpPr>
      <xdr:spPr>
        <a:xfrm>
          <a:off x="11303501" y="6556438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3482</xdr:row>
      <xdr:rowOff>85725</xdr:rowOff>
    </xdr:from>
    <xdr:to>
      <xdr:col>7</xdr:col>
      <xdr:colOff>2590800</xdr:colOff>
      <xdr:row>3487</xdr:row>
      <xdr:rowOff>0</xdr:rowOff>
    </xdr:to>
    <xdr:sp macro="" textlink="'PEDIDO 44'!A2">
      <xdr:nvSpPr>
        <xdr:cNvPr id="159" name="Retângulo: Cantos Arredondados 158">
          <a:extLst>
            <a:ext uri="{FF2B5EF4-FFF2-40B4-BE49-F238E27FC236}">
              <a16:creationId xmlns:a16="http://schemas.microsoft.com/office/drawing/2014/main" id="{9BAE76AB-B5B7-427A-BC1E-443A83E20779}"/>
            </a:ext>
          </a:extLst>
        </xdr:cNvPr>
        <xdr:cNvSpPr/>
      </xdr:nvSpPr>
      <xdr:spPr>
        <a:xfrm>
          <a:off x="11201400" y="6714744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90CDCDA-A902-41B7-B621-0DB5C9B27409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3483</xdr:row>
      <xdr:rowOff>47625</xdr:rowOff>
    </xdr:from>
    <xdr:ext cx="1343574" cy="345544"/>
    <xdr:sp macro="" textlink="">
      <xdr:nvSpPr>
        <xdr:cNvPr id="160" name="CaixaDeTexto 159">
          <a:extLst>
            <a:ext uri="{FF2B5EF4-FFF2-40B4-BE49-F238E27FC236}">
              <a16:creationId xmlns:a16="http://schemas.microsoft.com/office/drawing/2014/main" id="{552459E1-739C-48AF-8976-CC707D90BFB8}"/>
            </a:ext>
          </a:extLst>
        </xdr:cNvPr>
        <xdr:cNvSpPr txBox="1"/>
      </xdr:nvSpPr>
      <xdr:spPr>
        <a:xfrm>
          <a:off x="11303501" y="6716268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3563</xdr:row>
      <xdr:rowOff>85725</xdr:rowOff>
    </xdr:from>
    <xdr:to>
      <xdr:col>7</xdr:col>
      <xdr:colOff>2590800</xdr:colOff>
      <xdr:row>3568</xdr:row>
      <xdr:rowOff>0</xdr:rowOff>
    </xdr:to>
    <xdr:sp macro="" textlink="'PEDIDO 45'!A2">
      <xdr:nvSpPr>
        <xdr:cNvPr id="163" name="Retângulo: Cantos Arredondados 162">
          <a:extLst>
            <a:ext uri="{FF2B5EF4-FFF2-40B4-BE49-F238E27FC236}">
              <a16:creationId xmlns:a16="http://schemas.microsoft.com/office/drawing/2014/main" id="{DAB499CF-0ACD-4FDB-83D0-3E8F6E606F8E}"/>
            </a:ext>
          </a:extLst>
        </xdr:cNvPr>
        <xdr:cNvSpPr/>
      </xdr:nvSpPr>
      <xdr:spPr>
        <a:xfrm>
          <a:off x="11201400" y="6874573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31F1EEB-18B3-4598-BAB1-826C82BE8902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3564</xdr:row>
      <xdr:rowOff>47625</xdr:rowOff>
    </xdr:from>
    <xdr:ext cx="1343574" cy="345544"/>
    <xdr:sp macro="" textlink="">
      <xdr:nvSpPr>
        <xdr:cNvPr id="164" name="CaixaDeTexto 163">
          <a:extLst>
            <a:ext uri="{FF2B5EF4-FFF2-40B4-BE49-F238E27FC236}">
              <a16:creationId xmlns:a16="http://schemas.microsoft.com/office/drawing/2014/main" id="{C7411B48-5A31-4504-BF99-D1DF28DED053}"/>
            </a:ext>
          </a:extLst>
        </xdr:cNvPr>
        <xdr:cNvSpPr txBox="1"/>
      </xdr:nvSpPr>
      <xdr:spPr>
        <a:xfrm>
          <a:off x="11303501" y="6876097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3644</xdr:row>
      <xdr:rowOff>85725</xdr:rowOff>
    </xdr:from>
    <xdr:to>
      <xdr:col>7</xdr:col>
      <xdr:colOff>2590800</xdr:colOff>
      <xdr:row>3649</xdr:row>
      <xdr:rowOff>0</xdr:rowOff>
    </xdr:to>
    <xdr:sp macro="" textlink="'PEDIDO 46'!A2">
      <xdr:nvSpPr>
        <xdr:cNvPr id="165" name="Retângulo: Cantos Arredondados 164">
          <a:extLst>
            <a:ext uri="{FF2B5EF4-FFF2-40B4-BE49-F238E27FC236}">
              <a16:creationId xmlns:a16="http://schemas.microsoft.com/office/drawing/2014/main" id="{AE55B1A8-B200-4B19-9363-035D48C8AFCA}"/>
            </a:ext>
          </a:extLst>
        </xdr:cNvPr>
        <xdr:cNvSpPr/>
      </xdr:nvSpPr>
      <xdr:spPr>
        <a:xfrm>
          <a:off x="11201400" y="7034403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ED87AB44-6F64-4E95-9C97-5C12BD7146DC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3645</xdr:row>
      <xdr:rowOff>47625</xdr:rowOff>
    </xdr:from>
    <xdr:ext cx="1343574" cy="345544"/>
    <xdr:sp macro="" textlink="">
      <xdr:nvSpPr>
        <xdr:cNvPr id="166" name="CaixaDeTexto 165">
          <a:extLst>
            <a:ext uri="{FF2B5EF4-FFF2-40B4-BE49-F238E27FC236}">
              <a16:creationId xmlns:a16="http://schemas.microsoft.com/office/drawing/2014/main" id="{A15F005C-465D-4B8F-90D8-6C8850AE6B39}"/>
            </a:ext>
          </a:extLst>
        </xdr:cNvPr>
        <xdr:cNvSpPr txBox="1"/>
      </xdr:nvSpPr>
      <xdr:spPr>
        <a:xfrm>
          <a:off x="11303501" y="7035927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3725</xdr:row>
      <xdr:rowOff>85725</xdr:rowOff>
    </xdr:from>
    <xdr:to>
      <xdr:col>7</xdr:col>
      <xdr:colOff>2590800</xdr:colOff>
      <xdr:row>3730</xdr:row>
      <xdr:rowOff>0</xdr:rowOff>
    </xdr:to>
    <xdr:sp macro="" textlink="'PEDIDO 47'!A2">
      <xdr:nvSpPr>
        <xdr:cNvPr id="167" name="Retângulo: Cantos Arredondados 166">
          <a:extLst>
            <a:ext uri="{FF2B5EF4-FFF2-40B4-BE49-F238E27FC236}">
              <a16:creationId xmlns:a16="http://schemas.microsoft.com/office/drawing/2014/main" id="{CEC20975-BD5D-4A79-8B69-8D77D7F485AE}"/>
            </a:ext>
          </a:extLst>
        </xdr:cNvPr>
        <xdr:cNvSpPr/>
      </xdr:nvSpPr>
      <xdr:spPr>
        <a:xfrm>
          <a:off x="11201400" y="7194232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7ED4890-956B-44D6-95FE-2DD2A7443C7A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3726</xdr:row>
      <xdr:rowOff>47625</xdr:rowOff>
    </xdr:from>
    <xdr:ext cx="1343574" cy="345544"/>
    <xdr:sp macro="" textlink="">
      <xdr:nvSpPr>
        <xdr:cNvPr id="168" name="CaixaDeTexto 167">
          <a:extLst>
            <a:ext uri="{FF2B5EF4-FFF2-40B4-BE49-F238E27FC236}">
              <a16:creationId xmlns:a16="http://schemas.microsoft.com/office/drawing/2014/main" id="{1D981A75-ECC8-4A38-BE6C-D367FAADBFB9}"/>
            </a:ext>
          </a:extLst>
        </xdr:cNvPr>
        <xdr:cNvSpPr txBox="1"/>
      </xdr:nvSpPr>
      <xdr:spPr>
        <a:xfrm>
          <a:off x="11303501" y="7195756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3806</xdr:row>
      <xdr:rowOff>85725</xdr:rowOff>
    </xdr:from>
    <xdr:to>
      <xdr:col>7</xdr:col>
      <xdr:colOff>2590800</xdr:colOff>
      <xdr:row>3811</xdr:row>
      <xdr:rowOff>0</xdr:rowOff>
    </xdr:to>
    <xdr:sp macro="" textlink="'PEDIDO 48'!A2">
      <xdr:nvSpPr>
        <xdr:cNvPr id="169" name="Retângulo: Cantos Arredondados 168">
          <a:extLst>
            <a:ext uri="{FF2B5EF4-FFF2-40B4-BE49-F238E27FC236}">
              <a16:creationId xmlns:a16="http://schemas.microsoft.com/office/drawing/2014/main" id="{46C3532E-1B7D-4015-BD04-2FF2D2A0A4CF}"/>
            </a:ext>
          </a:extLst>
        </xdr:cNvPr>
        <xdr:cNvSpPr/>
      </xdr:nvSpPr>
      <xdr:spPr>
        <a:xfrm>
          <a:off x="11201400" y="7354062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EC3F9703-17F8-4BF2-9D3C-A36E75C3926F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3807</xdr:row>
      <xdr:rowOff>47625</xdr:rowOff>
    </xdr:from>
    <xdr:ext cx="1343574" cy="345544"/>
    <xdr:sp macro="" textlink="">
      <xdr:nvSpPr>
        <xdr:cNvPr id="170" name="CaixaDeTexto 169">
          <a:extLst>
            <a:ext uri="{FF2B5EF4-FFF2-40B4-BE49-F238E27FC236}">
              <a16:creationId xmlns:a16="http://schemas.microsoft.com/office/drawing/2014/main" id="{CB95BD75-48E5-4D3D-A772-9D0556B44032}"/>
            </a:ext>
          </a:extLst>
        </xdr:cNvPr>
        <xdr:cNvSpPr txBox="1"/>
      </xdr:nvSpPr>
      <xdr:spPr>
        <a:xfrm>
          <a:off x="11303501" y="7355586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3887</xdr:row>
      <xdr:rowOff>85725</xdr:rowOff>
    </xdr:from>
    <xdr:to>
      <xdr:col>7</xdr:col>
      <xdr:colOff>2590800</xdr:colOff>
      <xdr:row>3892</xdr:row>
      <xdr:rowOff>0</xdr:rowOff>
    </xdr:to>
    <xdr:sp macro="" textlink="'PEDIDO 49'!A2">
      <xdr:nvSpPr>
        <xdr:cNvPr id="171" name="Retângulo: Cantos Arredondados 170">
          <a:extLst>
            <a:ext uri="{FF2B5EF4-FFF2-40B4-BE49-F238E27FC236}">
              <a16:creationId xmlns:a16="http://schemas.microsoft.com/office/drawing/2014/main" id="{018EAD1F-3975-4306-A76B-58962BF89BBF}"/>
            </a:ext>
          </a:extLst>
        </xdr:cNvPr>
        <xdr:cNvSpPr/>
      </xdr:nvSpPr>
      <xdr:spPr>
        <a:xfrm>
          <a:off x="11201400" y="75138915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ABB247E6-7779-496C-A812-79AB107D771C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3888</xdr:row>
      <xdr:rowOff>47625</xdr:rowOff>
    </xdr:from>
    <xdr:ext cx="1343574" cy="345544"/>
    <xdr:sp macro="" textlink="">
      <xdr:nvSpPr>
        <xdr:cNvPr id="172" name="CaixaDeTexto 171">
          <a:extLst>
            <a:ext uri="{FF2B5EF4-FFF2-40B4-BE49-F238E27FC236}">
              <a16:creationId xmlns:a16="http://schemas.microsoft.com/office/drawing/2014/main" id="{A1CE2694-449D-4BEB-A704-C773E0AA963D}"/>
            </a:ext>
          </a:extLst>
        </xdr:cNvPr>
        <xdr:cNvSpPr txBox="1"/>
      </xdr:nvSpPr>
      <xdr:spPr>
        <a:xfrm>
          <a:off x="11303501" y="7515415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3968</xdr:row>
      <xdr:rowOff>85725</xdr:rowOff>
    </xdr:from>
    <xdr:to>
      <xdr:col>7</xdr:col>
      <xdr:colOff>2590800</xdr:colOff>
      <xdr:row>3973</xdr:row>
      <xdr:rowOff>0</xdr:rowOff>
    </xdr:to>
    <xdr:sp macro="" textlink="'PEDIDO 50'!A2">
      <xdr:nvSpPr>
        <xdr:cNvPr id="173" name="Retângulo: Cantos Arredondados 172">
          <a:extLst>
            <a:ext uri="{FF2B5EF4-FFF2-40B4-BE49-F238E27FC236}">
              <a16:creationId xmlns:a16="http://schemas.microsoft.com/office/drawing/2014/main" id="{E0804F7D-36B8-4E33-84B8-9C74316E4A63}"/>
            </a:ext>
          </a:extLst>
        </xdr:cNvPr>
        <xdr:cNvSpPr/>
      </xdr:nvSpPr>
      <xdr:spPr>
        <a:xfrm>
          <a:off x="11201400" y="767372100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36E8D90-2022-4251-9BFD-E3BB68ECC9DA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3969</xdr:row>
      <xdr:rowOff>47625</xdr:rowOff>
    </xdr:from>
    <xdr:ext cx="1343574" cy="345544"/>
    <xdr:sp macro="" textlink="">
      <xdr:nvSpPr>
        <xdr:cNvPr id="174" name="CaixaDeTexto 173">
          <a:extLst>
            <a:ext uri="{FF2B5EF4-FFF2-40B4-BE49-F238E27FC236}">
              <a16:creationId xmlns:a16="http://schemas.microsoft.com/office/drawing/2014/main" id="{364490A1-8304-478B-8312-BFFCDE5E66D5}"/>
            </a:ext>
          </a:extLst>
        </xdr:cNvPr>
        <xdr:cNvSpPr txBox="1"/>
      </xdr:nvSpPr>
      <xdr:spPr>
        <a:xfrm>
          <a:off x="11303501" y="7675245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twoCellAnchor>
    <xdr:from>
      <xdr:col>7</xdr:col>
      <xdr:colOff>1066800</xdr:colOff>
      <xdr:row>0</xdr:row>
      <xdr:rowOff>85725</xdr:rowOff>
    </xdr:from>
    <xdr:to>
      <xdr:col>7</xdr:col>
      <xdr:colOff>2590800</xdr:colOff>
      <xdr:row>5</xdr:row>
      <xdr:rowOff>0</xdr:rowOff>
    </xdr:to>
    <xdr:sp macro="" textlink="'PEDIDO 1'!A2">
      <xdr:nvSpPr>
        <xdr:cNvPr id="175" name="Retângulo: Cantos Arredondados 174">
          <a:extLst>
            <a:ext uri="{FF2B5EF4-FFF2-40B4-BE49-F238E27FC236}">
              <a16:creationId xmlns:a16="http://schemas.microsoft.com/office/drawing/2014/main" id="{979C1A3C-AF2A-4FD8-8A1A-E6FBE04131DD}"/>
            </a:ext>
          </a:extLst>
        </xdr:cNvPr>
        <xdr:cNvSpPr/>
      </xdr:nvSpPr>
      <xdr:spPr>
        <a:xfrm>
          <a:off x="11201400" y="15944850"/>
          <a:ext cx="1524000" cy="91440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0BE17AF-15EF-4316-8D1D-E0D699044FBD}" type="TxLink">
            <a:rPr lang="en-US" sz="1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mbria"/>
              <a:cs typeface="Arial"/>
            </a:rPr>
            <a:pPr algn="ctr"/>
            <a:t>74569</a:t>
          </a:fld>
          <a:endParaRPr lang="pt-BR" sz="2000" b="1" i="0" u="none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1168901</xdr:colOff>
      <xdr:row>1</xdr:row>
      <xdr:rowOff>47625</xdr:rowOff>
    </xdr:from>
    <xdr:ext cx="1343574" cy="345544"/>
    <xdr:sp macro="" textlink="">
      <xdr:nvSpPr>
        <xdr:cNvPr id="176" name="CaixaDeTexto 175">
          <a:extLst>
            <a:ext uri="{FF2B5EF4-FFF2-40B4-BE49-F238E27FC236}">
              <a16:creationId xmlns:a16="http://schemas.microsoft.com/office/drawing/2014/main" id="{4B28A0D6-8CB8-4039-B5F8-5D8DEE3A8960}"/>
            </a:ext>
          </a:extLst>
        </xdr:cNvPr>
        <xdr:cNvSpPr txBox="1"/>
      </xdr:nvSpPr>
      <xdr:spPr>
        <a:xfrm>
          <a:off x="11303501" y="161067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4049</xdr:row>
      <xdr:rowOff>0</xdr:rowOff>
    </xdr:from>
    <xdr:ext cx="10153649" cy="409575"/>
    <xdr:sp macro="" textlink="">
      <xdr:nvSpPr>
        <xdr:cNvPr id="161" name="CaixaDeTexto 160">
          <a:extLst>
            <a:ext uri="{FF2B5EF4-FFF2-40B4-BE49-F238E27FC236}">
              <a16:creationId xmlns:a16="http://schemas.microsoft.com/office/drawing/2014/main" id="{4500E247-1B7E-4BDC-A96B-20ABEFB170AE}"/>
            </a:ext>
          </a:extLst>
        </xdr:cNvPr>
        <xdr:cNvSpPr txBox="1"/>
      </xdr:nvSpPr>
      <xdr:spPr>
        <a:xfrm>
          <a:off x="0" y="7992522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51</a:t>
          </a:r>
        </a:p>
      </xdr:txBody>
    </xdr:sp>
    <xdr:clientData/>
  </xdr:oneCellAnchor>
  <xdr:twoCellAnchor>
    <xdr:from>
      <xdr:col>7</xdr:col>
      <xdr:colOff>895350</xdr:colOff>
      <xdr:row>4050</xdr:row>
      <xdr:rowOff>57150</xdr:rowOff>
    </xdr:from>
    <xdr:to>
      <xdr:col>7</xdr:col>
      <xdr:colOff>2419350</xdr:colOff>
      <xdr:row>4055</xdr:row>
      <xdr:rowOff>0</xdr:rowOff>
    </xdr:to>
    <xdr:sp macro="" textlink="'PEDIDO 51'!A2">
      <xdr:nvSpPr>
        <xdr:cNvPr id="177" name="Retângulo: Cantos Arredondados 176">
          <a:extLst>
            <a:ext uri="{FF2B5EF4-FFF2-40B4-BE49-F238E27FC236}">
              <a16:creationId xmlns:a16="http://schemas.microsoft.com/office/drawing/2014/main" id="{DB5621A9-FBD8-4AFD-BE0A-626F019F070E}"/>
            </a:ext>
          </a:extLst>
        </xdr:cNvPr>
        <xdr:cNvSpPr/>
      </xdr:nvSpPr>
      <xdr:spPr>
        <a:xfrm>
          <a:off x="10210800" y="799499925"/>
          <a:ext cx="1524000" cy="8953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2F73A8E-DD41-4836-9FB5-F8E869E4D83B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1000125</xdr:colOff>
      <xdr:row>4050</xdr:row>
      <xdr:rowOff>161925</xdr:rowOff>
    </xdr:from>
    <xdr:ext cx="1343574" cy="345544"/>
    <xdr:sp macro="" textlink="">
      <xdr:nvSpPr>
        <xdr:cNvPr id="178" name="CaixaDeTexto 177">
          <a:extLst>
            <a:ext uri="{FF2B5EF4-FFF2-40B4-BE49-F238E27FC236}">
              <a16:creationId xmlns:a16="http://schemas.microsoft.com/office/drawing/2014/main" id="{F1ED671D-193E-4E78-A850-5AE00FF99659}"/>
            </a:ext>
          </a:extLst>
        </xdr:cNvPr>
        <xdr:cNvSpPr txBox="1"/>
      </xdr:nvSpPr>
      <xdr:spPr>
        <a:xfrm>
          <a:off x="10315575" y="7996047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4130</xdr:row>
      <xdr:rowOff>0</xdr:rowOff>
    </xdr:from>
    <xdr:ext cx="10153649" cy="409575"/>
    <xdr:sp macro="" textlink="">
      <xdr:nvSpPr>
        <xdr:cNvPr id="179" name="CaixaDeTexto 178">
          <a:extLst>
            <a:ext uri="{FF2B5EF4-FFF2-40B4-BE49-F238E27FC236}">
              <a16:creationId xmlns:a16="http://schemas.microsoft.com/office/drawing/2014/main" id="{F570CB63-1CBE-45A1-84FA-969990D86D25}"/>
            </a:ext>
          </a:extLst>
        </xdr:cNvPr>
        <xdr:cNvSpPr txBox="1"/>
      </xdr:nvSpPr>
      <xdr:spPr>
        <a:xfrm>
          <a:off x="0" y="8152352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52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895350</xdr:colOff>
      <xdr:row>4130</xdr:row>
      <xdr:rowOff>142875</xdr:rowOff>
    </xdr:from>
    <xdr:to>
      <xdr:col>7</xdr:col>
      <xdr:colOff>2419350</xdr:colOff>
      <xdr:row>4135</xdr:row>
      <xdr:rowOff>123825</xdr:rowOff>
    </xdr:to>
    <xdr:sp macro="" textlink="'PEDIDO 52'!A2">
      <xdr:nvSpPr>
        <xdr:cNvPr id="182" name="Retângulo: Cantos Arredondados 181">
          <a:extLst>
            <a:ext uri="{FF2B5EF4-FFF2-40B4-BE49-F238E27FC236}">
              <a16:creationId xmlns:a16="http://schemas.microsoft.com/office/drawing/2014/main" id="{D42516D3-75E7-4D6F-B1F3-87E9494B65B0}"/>
            </a:ext>
          </a:extLst>
        </xdr:cNvPr>
        <xdr:cNvSpPr/>
      </xdr:nvSpPr>
      <xdr:spPr>
        <a:xfrm>
          <a:off x="10210800" y="815378100"/>
          <a:ext cx="1524000" cy="933450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2E02187-BCDF-4898-9679-78FF9DA2FD65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971550</xdr:colOff>
      <xdr:row>4130</xdr:row>
      <xdr:rowOff>180975</xdr:rowOff>
    </xdr:from>
    <xdr:ext cx="1343574" cy="345544"/>
    <xdr:sp macro="" textlink="">
      <xdr:nvSpPr>
        <xdr:cNvPr id="183" name="CaixaDeTexto 182">
          <a:extLst>
            <a:ext uri="{FF2B5EF4-FFF2-40B4-BE49-F238E27FC236}">
              <a16:creationId xmlns:a16="http://schemas.microsoft.com/office/drawing/2014/main" id="{ABE97394-203D-472D-AAC2-6DB24DDB40ED}"/>
            </a:ext>
          </a:extLst>
        </xdr:cNvPr>
        <xdr:cNvSpPr txBox="1"/>
      </xdr:nvSpPr>
      <xdr:spPr>
        <a:xfrm>
          <a:off x="10287000" y="8154162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4211</xdr:row>
      <xdr:rowOff>0</xdr:rowOff>
    </xdr:from>
    <xdr:ext cx="10153649" cy="409575"/>
    <xdr:sp macro="" textlink="">
      <xdr:nvSpPr>
        <xdr:cNvPr id="184" name="CaixaDeTexto 183">
          <a:extLst>
            <a:ext uri="{FF2B5EF4-FFF2-40B4-BE49-F238E27FC236}">
              <a16:creationId xmlns:a16="http://schemas.microsoft.com/office/drawing/2014/main" id="{EA052AE7-68E5-4695-A39E-DC4A10FA971A}"/>
            </a:ext>
          </a:extLst>
        </xdr:cNvPr>
        <xdr:cNvSpPr txBox="1"/>
      </xdr:nvSpPr>
      <xdr:spPr>
        <a:xfrm>
          <a:off x="0" y="8312181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53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914400</xdr:colOff>
      <xdr:row>4211</xdr:row>
      <xdr:rowOff>161925</xdr:rowOff>
    </xdr:from>
    <xdr:to>
      <xdr:col>7</xdr:col>
      <xdr:colOff>2438400</xdr:colOff>
      <xdr:row>4216</xdr:row>
      <xdr:rowOff>142875</xdr:rowOff>
    </xdr:to>
    <xdr:sp macro="" textlink="'PEDIDO 53'!A2">
      <xdr:nvSpPr>
        <xdr:cNvPr id="185" name="Retângulo: Cantos Arredondados 184">
          <a:extLst>
            <a:ext uri="{FF2B5EF4-FFF2-40B4-BE49-F238E27FC236}">
              <a16:creationId xmlns:a16="http://schemas.microsoft.com/office/drawing/2014/main" id="{8837641E-66AB-4DEB-B0AA-4B7D99882FAC}"/>
            </a:ext>
          </a:extLst>
        </xdr:cNvPr>
        <xdr:cNvSpPr/>
      </xdr:nvSpPr>
      <xdr:spPr>
        <a:xfrm>
          <a:off x="10229850" y="831380100"/>
          <a:ext cx="1524000" cy="9620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AC195AC2-7FE4-4344-9FED-2D17CA189052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990600</xdr:colOff>
      <xdr:row>4211</xdr:row>
      <xdr:rowOff>161925</xdr:rowOff>
    </xdr:from>
    <xdr:ext cx="1343574" cy="345544"/>
    <xdr:sp macro="" textlink="">
      <xdr:nvSpPr>
        <xdr:cNvPr id="186" name="CaixaDeTexto 185">
          <a:extLst>
            <a:ext uri="{FF2B5EF4-FFF2-40B4-BE49-F238E27FC236}">
              <a16:creationId xmlns:a16="http://schemas.microsoft.com/office/drawing/2014/main" id="{22B3B79C-2DCE-4019-B29A-87431EA4837B}"/>
            </a:ext>
          </a:extLst>
        </xdr:cNvPr>
        <xdr:cNvSpPr txBox="1"/>
      </xdr:nvSpPr>
      <xdr:spPr>
        <a:xfrm>
          <a:off x="10306050" y="8313801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4292</xdr:row>
      <xdr:rowOff>0</xdr:rowOff>
    </xdr:from>
    <xdr:ext cx="10153649" cy="409575"/>
    <xdr:sp macro="" textlink="">
      <xdr:nvSpPr>
        <xdr:cNvPr id="187" name="CaixaDeTexto 186">
          <a:extLst>
            <a:ext uri="{FF2B5EF4-FFF2-40B4-BE49-F238E27FC236}">
              <a16:creationId xmlns:a16="http://schemas.microsoft.com/office/drawing/2014/main" id="{239D9B09-EE07-4E6B-9F6A-DC7C4EBD5DA3}"/>
            </a:ext>
          </a:extLst>
        </xdr:cNvPr>
        <xdr:cNvSpPr txBox="1"/>
      </xdr:nvSpPr>
      <xdr:spPr>
        <a:xfrm>
          <a:off x="0" y="8472011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54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1028700</xdr:colOff>
      <xdr:row>4293</xdr:row>
      <xdr:rowOff>0</xdr:rowOff>
    </xdr:from>
    <xdr:to>
      <xdr:col>7</xdr:col>
      <xdr:colOff>2552700</xdr:colOff>
      <xdr:row>4298</xdr:row>
      <xdr:rowOff>9525</xdr:rowOff>
    </xdr:to>
    <xdr:sp macro="" textlink="'PEDIDO 54'!A2">
      <xdr:nvSpPr>
        <xdr:cNvPr id="188" name="Retângulo: Cantos Arredondados 187">
          <a:extLst>
            <a:ext uri="{FF2B5EF4-FFF2-40B4-BE49-F238E27FC236}">
              <a16:creationId xmlns:a16="http://schemas.microsoft.com/office/drawing/2014/main" id="{4FA20E25-E2A4-44F3-8456-673655FF5ACC}"/>
            </a:ext>
          </a:extLst>
        </xdr:cNvPr>
        <xdr:cNvSpPr/>
      </xdr:nvSpPr>
      <xdr:spPr>
        <a:xfrm>
          <a:off x="10344150" y="847391625"/>
          <a:ext cx="1524000" cy="9620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51F7771E-8884-42F0-8ADD-3F99FD675283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1095375</xdr:colOff>
      <xdr:row>4293</xdr:row>
      <xdr:rowOff>47625</xdr:rowOff>
    </xdr:from>
    <xdr:ext cx="1343574" cy="345544"/>
    <xdr:sp macro="" textlink="">
      <xdr:nvSpPr>
        <xdr:cNvPr id="190" name="CaixaDeTexto 189">
          <a:extLst>
            <a:ext uri="{FF2B5EF4-FFF2-40B4-BE49-F238E27FC236}">
              <a16:creationId xmlns:a16="http://schemas.microsoft.com/office/drawing/2014/main" id="{D8522ED9-167F-4990-9C44-C1D802B3C78C}"/>
            </a:ext>
          </a:extLst>
        </xdr:cNvPr>
        <xdr:cNvSpPr txBox="1"/>
      </xdr:nvSpPr>
      <xdr:spPr>
        <a:xfrm>
          <a:off x="10410825" y="8474392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4373</xdr:row>
      <xdr:rowOff>0</xdr:rowOff>
    </xdr:from>
    <xdr:ext cx="10153649" cy="409575"/>
    <xdr:sp macro="" textlink="">
      <xdr:nvSpPr>
        <xdr:cNvPr id="191" name="CaixaDeTexto 190">
          <a:extLst>
            <a:ext uri="{FF2B5EF4-FFF2-40B4-BE49-F238E27FC236}">
              <a16:creationId xmlns:a16="http://schemas.microsoft.com/office/drawing/2014/main" id="{C40BC19F-507E-4739-AE61-C1110E2BF75C}"/>
            </a:ext>
          </a:extLst>
        </xdr:cNvPr>
        <xdr:cNvSpPr txBox="1"/>
      </xdr:nvSpPr>
      <xdr:spPr>
        <a:xfrm>
          <a:off x="0" y="8631840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55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981075</xdr:colOff>
      <xdr:row>4373</xdr:row>
      <xdr:rowOff>180975</xdr:rowOff>
    </xdr:from>
    <xdr:to>
      <xdr:col>7</xdr:col>
      <xdr:colOff>2505075</xdr:colOff>
      <xdr:row>4379</xdr:row>
      <xdr:rowOff>38100</xdr:rowOff>
    </xdr:to>
    <xdr:sp macro="" textlink="'PEDIDO 55'!A2">
      <xdr:nvSpPr>
        <xdr:cNvPr id="192" name="Retângulo: Cantos Arredondados 191">
          <a:extLst>
            <a:ext uri="{FF2B5EF4-FFF2-40B4-BE49-F238E27FC236}">
              <a16:creationId xmlns:a16="http://schemas.microsoft.com/office/drawing/2014/main" id="{6D112204-B4AB-4C61-8286-5573DFC68DC6}"/>
            </a:ext>
          </a:extLst>
        </xdr:cNvPr>
        <xdr:cNvSpPr/>
      </xdr:nvSpPr>
      <xdr:spPr>
        <a:xfrm>
          <a:off x="10296525" y="863365050"/>
          <a:ext cx="1524000" cy="10001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11D9C37-2C43-46F2-9109-828F3E34A832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1057275</xdr:colOff>
      <xdr:row>4374</xdr:row>
      <xdr:rowOff>38100</xdr:rowOff>
    </xdr:from>
    <xdr:ext cx="1343574" cy="345544"/>
    <xdr:sp macro="" textlink="">
      <xdr:nvSpPr>
        <xdr:cNvPr id="193" name="CaixaDeTexto 192">
          <a:extLst>
            <a:ext uri="{FF2B5EF4-FFF2-40B4-BE49-F238E27FC236}">
              <a16:creationId xmlns:a16="http://schemas.microsoft.com/office/drawing/2014/main" id="{602A06DD-BC24-49A8-A798-4E2C9C98F2F9}"/>
            </a:ext>
          </a:extLst>
        </xdr:cNvPr>
        <xdr:cNvSpPr txBox="1"/>
      </xdr:nvSpPr>
      <xdr:spPr>
        <a:xfrm>
          <a:off x="10372725" y="8634126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4454</xdr:row>
      <xdr:rowOff>0</xdr:rowOff>
    </xdr:from>
    <xdr:ext cx="10153649" cy="409575"/>
    <xdr:sp macro="" textlink="">
      <xdr:nvSpPr>
        <xdr:cNvPr id="194" name="CaixaDeTexto 193">
          <a:extLst>
            <a:ext uri="{FF2B5EF4-FFF2-40B4-BE49-F238E27FC236}">
              <a16:creationId xmlns:a16="http://schemas.microsoft.com/office/drawing/2014/main" id="{47B61614-B8F4-4B36-BC77-17EC28CDADD3}"/>
            </a:ext>
          </a:extLst>
        </xdr:cNvPr>
        <xdr:cNvSpPr txBox="1"/>
      </xdr:nvSpPr>
      <xdr:spPr>
        <a:xfrm>
          <a:off x="0" y="8791670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56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857250</xdr:colOff>
      <xdr:row>4454</xdr:row>
      <xdr:rowOff>161925</xdr:rowOff>
    </xdr:from>
    <xdr:to>
      <xdr:col>7</xdr:col>
      <xdr:colOff>2381250</xdr:colOff>
      <xdr:row>4460</xdr:row>
      <xdr:rowOff>57150</xdr:rowOff>
    </xdr:to>
    <xdr:sp macro="" textlink="'PEDIDO 56'!A2">
      <xdr:nvSpPr>
        <xdr:cNvPr id="195" name="Retângulo: Cantos Arredondados 194">
          <a:extLst>
            <a:ext uri="{FF2B5EF4-FFF2-40B4-BE49-F238E27FC236}">
              <a16:creationId xmlns:a16="http://schemas.microsoft.com/office/drawing/2014/main" id="{C5686ACB-1A23-4523-A774-C9540D7DADE6}"/>
            </a:ext>
          </a:extLst>
        </xdr:cNvPr>
        <xdr:cNvSpPr/>
      </xdr:nvSpPr>
      <xdr:spPr>
        <a:xfrm>
          <a:off x="10172700" y="879328950"/>
          <a:ext cx="1524000" cy="10382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15665A0-B833-44D2-B86A-279F910DDD1F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923925</xdr:colOff>
      <xdr:row>4455</xdr:row>
      <xdr:rowOff>9525</xdr:rowOff>
    </xdr:from>
    <xdr:ext cx="1343574" cy="345544"/>
    <xdr:sp macro="" textlink="">
      <xdr:nvSpPr>
        <xdr:cNvPr id="196" name="CaixaDeTexto 195">
          <a:extLst>
            <a:ext uri="{FF2B5EF4-FFF2-40B4-BE49-F238E27FC236}">
              <a16:creationId xmlns:a16="http://schemas.microsoft.com/office/drawing/2014/main" id="{F8BF0F0D-333F-417C-A361-772BCFD386DD}"/>
            </a:ext>
          </a:extLst>
        </xdr:cNvPr>
        <xdr:cNvSpPr txBox="1"/>
      </xdr:nvSpPr>
      <xdr:spPr>
        <a:xfrm>
          <a:off x="10239375" y="8793670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4535</xdr:row>
      <xdr:rowOff>0</xdr:rowOff>
    </xdr:from>
    <xdr:ext cx="10153649" cy="409575"/>
    <xdr:sp macro="" textlink="">
      <xdr:nvSpPr>
        <xdr:cNvPr id="197" name="CaixaDeTexto 196">
          <a:extLst>
            <a:ext uri="{FF2B5EF4-FFF2-40B4-BE49-F238E27FC236}">
              <a16:creationId xmlns:a16="http://schemas.microsoft.com/office/drawing/2014/main" id="{05882FB3-9268-4BA6-9655-821B3B5DA39A}"/>
            </a:ext>
          </a:extLst>
        </xdr:cNvPr>
        <xdr:cNvSpPr txBox="1"/>
      </xdr:nvSpPr>
      <xdr:spPr>
        <a:xfrm>
          <a:off x="0" y="8951499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57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904875</xdr:colOff>
      <xdr:row>4536</xdr:row>
      <xdr:rowOff>0</xdr:rowOff>
    </xdr:from>
    <xdr:to>
      <xdr:col>7</xdr:col>
      <xdr:colOff>2428875</xdr:colOff>
      <xdr:row>4541</xdr:row>
      <xdr:rowOff>85725</xdr:rowOff>
    </xdr:to>
    <xdr:sp macro="" textlink="'PEDIDO 57'!A2">
      <xdr:nvSpPr>
        <xdr:cNvPr id="198" name="Retângulo: Cantos Arredondados 197">
          <a:extLst>
            <a:ext uri="{FF2B5EF4-FFF2-40B4-BE49-F238E27FC236}">
              <a16:creationId xmlns:a16="http://schemas.microsoft.com/office/drawing/2014/main" id="{A861E2E4-0BC9-4474-9E70-C71FE59FA65C}"/>
            </a:ext>
          </a:extLst>
        </xdr:cNvPr>
        <xdr:cNvSpPr/>
      </xdr:nvSpPr>
      <xdr:spPr>
        <a:xfrm>
          <a:off x="10220325" y="895340475"/>
          <a:ext cx="1524000" cy="10763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429546A9-09D4-40FE-A55D-987724FC2222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971550</xdr:colOff>
      <xdr:row>4536</xdr:row>
      <xdr:rowOff>19050</xdr:rowOff>
    </xdr:from>
    <xdr:ext cx="1343574" cy="345544"/>
    <xdr:sp macro="" textlink="">
      <xdr:nvSpPr>
        <xdr:cNvPr id="199" name="CaixaDeTexto 198">
          <a:extLst>
            <a:ext uri="{FF2B5EF4-FFF2-40B4-BE49-F238E27FC236}">
              <a16:creationId xmlns:a16="http://schemas.microsoft.com/office/drawing/2014/main" id="{D13B45F3-A3AB-487C-B321-BE0B073C9FF9}"/>
            </a:ext>
          </a:extLst>
        </xdr:cNvPr>
        <xdr:cNvSpPr txBox="1"/>
      </xdr:nvSpPr>
      <xdr:spPr>
        <a:xfrm>
          <a:off x="10287000" y="89535952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4616</xdr:row>
      <xdr:rowOff>0</xdr:rowOff>
    </xdr:from>
    <xdr:ext cx="10153649" cy="409575"/>
    <xdr:sp macro="" textlink="">
      <xdr:nvSpPr>
        <xdr:cNvPr id="200" name="CaixaDeTexto 199">
          <a:extLst>
            <a:ext uri="{FF2B5EF4-FFF2-40B4-BE49-F238E27FC236}">
              <a16:creationId xmlns:a16="http://schemas.microsoft.com/office/drawing/2014/main" id="{FDAAA50D-970A-4402-A8B7-6A9A9312CF9F}"/>
            </a:ext>
          </a:extLst>
        </xdr:cNvPr>
        <xdr:cNvSpPr txBox="1"/>
      </xdr:nvSpPr>
      <xdr:spPr>
        <a:xfrm>
          <a:off x="0" y="9111329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58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914400</xdr:colOff>
      <xdr:row>4617</xdr:row>
      <xdr:rowOff>28575</xdr:rowOff>
    </xdr:from>
    <xdr:to>
      <xdr:col>7</xdr:col>
      <xdr:colOff>2438400</xdr:colOff>
      <xdr:row>4622</xdr:row>
      <xdr:rowOff>152400</xdr:rowOff>
    </xdr:to>
    <xdr:sp macro="" textlink="'PEDIDO 58'!A2">
      <xdr:nvSpPr>
        <xdr:cNvPr id="201" name="Retângulo: Cantos Arredondados 200">
          <a:extLst>
            <a:ext uri="{FF2B5EF4-FFF2-40B4-BE49-F238E27FC236}">
              <a16:creationId xmlns:a16="http://schemas.microsoft.com/office/drawing/2014/main" id="{838B2A22-D28B-48B2-910E-D1E08C054B28}"/>
            </a:ext>
          </a:extLst>
        </xdr:cNvPr>
        <xdr:cNvSpPr/>
      </xdr:nvSpPr>
      <xdr:spPr>
        <a:xfrm>
          <a:off x="10229850" y="911352000"/>
          <a:ext cx="1524000" cy="10763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D245D1D1-F5CD-4222-BD8F-975FC08E1376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990600</xdr:colOff>
      <xdr:row>4617</xdr:row>
      <xdr:rowOff>28575</xdr:rowOff>
    </xdr:from>
    <xdr:ext cx="1343574" cy="345544"/>
    <xdr:sp macro="" textlink="">
      <xdr:nvSpPr>
        <xdr:cNvPr id="202" name="CaixaDeTexto 201">
          <a:extLst>
            <a:ext uri="{FF2B5EF4-FFF2-40B4-BE49-F238E27FC236}">
              <a16:creationId xmlns:a16="http://schemas.microsoft.com/office/drawing/2014/main" id="{C675077A-C486-45FC-AF66-0E1061CE1928}"/>
            </a:ext>
          </a:extLst>
        </xdr:cNvPr>
        <xdr:cNvSpPr txBox="1"/>
      </xdr:nvSpPr>
      <xdr:spPr>
        <a:xfrm>
          <a:off x="10306050" y="91135200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4697</xdr:row>
      <xdr:rowOff>0</xdr:rowOff>
    </xdr:from>
    <xdr:ext cx="10153649" cy="409575"/>
    <xdr:sp macro="" textlink="">
      <xdr:nvSpPr>
        <xdr:cNvPr id="203" name="CaixaDeTexto 202">
          <a:extLst>
            <a:ext uri="{FF2B5EF4-FFF2-40B4-BE49-F238E27FC236}">
              <a16:creationId xmlns:a16="http://schemas.microsoft.com/office/drawing/2014/main" id="{061B5163-E756-43E1-B55D-12403796467B}"/>
            </a:ext>
          </a:extLst>
        </xdr:cNvPr>
        <xdr:cNvSpPr txBox="1"/>
      </xdr:nvSpPr>
      <xdr:spPr>
        <a:xfrm>
          <a:off x="0" y="92711587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59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962025</xdr:colOff>
      <xdr:row>4697</xdr:row>
      <xdr:rowOff>171450</xdr:rowOff>
    </xdr:from>
    <xdr:to>
      <xdr:col>7</xdr:col>
      <xdr:colOff>2486025</xdr:colOff>
      <xdr:row>4703</xdr:row>
      <xdr:rowOff>142875</xdr:rowOff>
    </xdr:to>
    <xdr:sp macro="" textlink="'PEDIDO 59'!A2">
      <xdr:nvSpPr>
        <xdr:cNvPr id="204" name="Retângulo: Cantos Arredondados 203">
          <a:extLst>
            <a:ext uri="{FF2B5EF4-FFF2-40B4-BE49-F238E27FC236}">
              <a16:creationId xmlns:a16="http://schemas.microsoft.com/office/drawing/2014/main" id="{623D2670-3C70-4709-B306-0F2BDBEDEF8A}"/>
            </a:ext>
          </a:extLst>
        </xdr:cNvPr>
        <xdr:cNvSpPr/>
      </xdr:nvSpPr>
      <xdr:spPr>
        <a:xfrm>
          <a:off x="10277475" y="927287325"/>
          <a:ext cx="1524000" cy="11144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43728FCE-87B8-4613-B35E-144A9F19466D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1038225</xdr:colOff>
      <xdr:row>4697</xdr:row>
      <xdr:rowOff>180975</xdr:rowOff>
    </xdr:from>
    <xdr:ext cx="1343574" cy="345544"/>
    <xdr:sp macro="" textlink="">
      <xdr:nvSpPr>
        <xdr:cNvPr id="205" name="CaixaDeTexto 204">
          <a:extLst>
            <a:ext uri="{FF2B5EF4-FFF2-40B4-BE49-F238E27FC236}">
              <a16:creationId xmlns:a16="http://schemas.microsoft.com/office/drawing/2014/main" id="{01EB8097-34C2-4EDD-BDF4-B86D061E57FF}"/>
            </a:ext>
          </a:extLst>
        </xdr:cNvPr>
        <xdr:cNvSpPr txBox="1"/>
      </xdr:nvSpPr>
      <xdr:spPr>
        <a:xfrm>
          <a:off x="10353675" y="927296850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  <xdr:oneCellAnchor>
    <xdr:from>
      <xdr:col>0</xdr:col>
      <xdr:colOff>0</xdr:colOff>
      <xdr:row>4778</xdr:row>
      <xdr:rowOff>0</xdr:rowOff>
    </xdr:from>
    <xdr:ext cx="10153649" cy="409575"/>
    <xdr:sp macro="" textlink="">
      <xdr:nvSpPr>
        <xdr:cNvPr id="206" name="CaixaDeTexto 205">
          <a:extLst>
            <a:ext uri="{FF2B5EF4-FFF2-40B4-BE49-F238E27FC236}">
              <a16:creationId xmlns:a16="http://schemas.microsoft.com/office/drawing/2014/main" id="{8EA649CF-DB1A-47F0-AAC6-82DAB0B0CD86}"/>
            </a:ext>
          </a:extLst>
        </xdr:cNvPr>
        <xdr:cNvSpPr txBox="1"/>
      </xdr:nvSpPr>
      <xdr:spPr>
        <a:xfrm>
          <a:off x="0" y="943098825"/>
          <a:ext cx="10153649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600" b="1" u="none">
              <a:solidFill>
                <a:schemeClr val="tx1"/>
              </a:solidFill>
              <a:latin typeface="Arial Black" panose="020B0A04020102020204" pitchFamily="34" charset="0"/>
            </a:rPr>
            <a:t>PEDIDO 60</a:t>
          </a: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  <a:p>
          <a:pPr algn="ctr"/>
          <a:endParaRPr lang="pt-BR" sz="1600" b="1" u="none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7</xdr:col>
      <xdr:colOff>1028700</xdr:colOff>
      <xdr:row>4778</xdr:row>
      <xdr:rowOff>104775</xdr:rowOff>
    </xdr:from>
    <xdr:to>
      <xdr:col>7</xdr:col>
      <xdr:colOff>2552700</xdr:colOff>
      <xdr:row>4784</xdr:row>
      <xdr:rowOff>114300</xdr:rowOff>
    </xdr:to>
    <xdr:sp macro="" textlink="'PEDIDO 60'!A2">
      <xdr:nvSpPr>
        <xdr:cNvPr id="207" name="Retângulo: Cantos Arredondados 206">
          <a:extLst>
            <a:ext uri="{FF2B5EF4-FFF2-40B4-BE49-F238E27FC236}">
              <a16:creationId xmlns:a16="http://schemas.microsoft.com/office/drawing/2014/main" id="{84A55251-1595-4543-AD9C-64B0F7A46B30}"/>
            </a:ext>
          </a:extLst>
        </xdr:cNvPr>
        <xdr:cNvSpPr/>
      </xdr:nvSpPr>
      <xdr:spPr>
        <a:xfrm>
          <a:off x="10344150" y="943203600"/>
          <a:ext cx="1524000" cy="1152525"/>
        </a:xfrm>
        <a:prstGeom prst="roundRect">
          <a:avLst/>
        </a:prstGeom>
        <a:solidFill>
          <a:schemeClr val="accent4"/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innerShdw blurRad="63500" dist="50800" dir="5400000">
            <a:prstClr val="black">
              <a:alpha val="50000"/>
            </a:prstClr>
          </a:inn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772A893B-048D-4AF1-B82C-650A815B2CDA}" type="TxLink">
            <a:rPr lang="en-US" sz="1100" b="1" i="0" u="none" strike="noStrike">
              <a:solidFill>
                <a:srgbClr val="000000"/>
              </a:solidFill>
              <a:latin typeface="Arial"/>
              <a:ea typeface="Cambria"/>
              <a:cs typeface="Arial"/>
            </a:rPr>
            <a:pPr algn="ctr"/>
            <a:t> </a:t>
          </a:fld>
          <a:endParaRPr lang="pt-BR" sz="20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7</xdr:col>
      <xdr:colOff>1123950</xdr:colOff>
      <xdr:row>4778</xdr:row>
      <xdr:rowOff>133350</xdr:rowOff>
    </xdr:from>
    <xdr:ext cx="1343574" cy="345544"/>
    <xdr:sp macro="" textlink="">
      <xdr:nvSpPr>
        <xdr:cNvPr id="208" name="CaixaDeTexto 207">
          <a:extLst>
            <a:ext uri="{FF2B5EF4-FFF2-40B4-BE49-F238E27FC236}">
              <a16:creationId xmlns:a16="http://schemas.microsoft.com/office/drawing/2014/main" id="{E9983177-65E5-417E-A4BE-7387F2A9B5E3}"/>
            </a:ext>
          </a:extLst>
        </xdr:cNvPr>
        <xdr:cNvSpPr txBox="1"/>
      </xdr:nvSpPr>
      <xdr:spPr>
        <a:xfrm>
          <a:off x="10439400" y="943232175"/>
          <a:ext cx="1343574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latin typeface="Arial Black" panose="020B0A04020102020204" pitchFamily="34" charset="0"/>
            </a:rPr>
            <a:t>N° PEDIDO :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veis Bonafe" refreshedDate="45793.576055902777" createdVersion="7" refreshedVersion="7" minRefreshableVersion="3" recordCount="4859" xr:uid="{B05D092C-84F1-445F-B0FB-F98AB29F575C}">
  <cacheSource type="worksheet">
    <worksheetSource ref="A1:G4860" sheet="LISTA POR PEDIDO"/>
  </cacheSource>
  <cacheFields count="7">
    <cacheField name="NOME CLIENTE" numFmtId="49">
      <sharedItems containsBlank="1" containsMixedTypes="1" containsNumber="1" containsInteger="1" minValue="0" maxValue="0" count="19">
        <s v="Tiete-Capricholar Moveis E Utensilios Ltda Me"/>
        <m/>
        <s v="Sorocaba-Helio Koiti Inoue Moveis"/>
        <s v="Sorocaba-Orlando Motoku Yabiku Me"/>
        <s v="Piedade-Comercial Spm Eireli"/>
        <s v="Pilar Do Sul-Fabricio Jose Di Rado"/>
        <s v="Salto De Pirapora-Magazine Haddad Ltda"/>
        <s v="Aracoiaba Da Serra-Pontual Eletromoveis Epp"/>
        <s v="Tatui-Casa Dos Colchoes De Tatui Ltda"/>
        <s v="Avare-Elson Marcio Siqueira Jamal"/>
        <s v="Avare-Patricia Sueli Crivari Lopes Me"/>
        <s v="Cerqueira Cesar-Casa Moveis E Colchoes Donadel Oli"/>
        <s v="Manduri-Katia Francisca Zafalao - Me"/>
        <s v="Bernardino De Campos-Cogo E Poma Cia Ltda"/>
        <s v="Santa Cruz Do Rio Pardo-Santa Cruz Moveis Ltda"/>
        <s v="Santa Cruz Do Rio Pardo-L D Comercio Moveis E Elet"/>
        <s v="Santa Cruz Do Rio Pardo-Franciscon &amp; Cia Ltda"/>
        <s v="Ourinhos-Lauro Tarloto 53861124815"/>
        <n v="0"/>
      </sharedItems>
    </cacheField>
    <cacheField name="PRODUTOS" numFmtId="0">
      <sharedItems containsBlank="1" count="80">
        <s v="Cadeira Comum"/>
        <s v="Cadeira Alta"/>
        <s v="Cadeira Criança"/>
        <s v="Cadeira Alta Estofada"/>
        <s v="Cadeira Restaurante"/>
        <s v="Banqueta 0,50"/>
        <s v="Banqueta 0,70"/>
        <s v="Beliche"/>
        <s v="Cama Solteiro"/>
        <s v="Cama Casal"/>
        <s v="Barra de Cama"/>
        <s v="Ripas de Cama"/>
        <s v="Mesa 0,70 X 0,45"/>
        <s v="Mesa 0,75 X 0,75"/>
        <s v="Mesa 1,15 X 0,75"/>
        <s v="Mesa 1,50 X 0,80"/>
        <s v="Mesa 1,80 X 0,85"/>
        <s v="Mesa 2,00 X 0,88"/>
        <s v="Mesa 2,20 X 0,88"/>
        <s v="Mesa 0,75 Criança"/>
        <s v="Mesa 0,45 Criança"/>
        <s v="Mesa 1,10 X 0,45"/>
        <s v="Mesa MDP 0,75 X 0,75"/>
        <s v="Mesa MDP 1,15 X 0,75"/>
        <s v="Mesa MDP 1,50 X 0,80"/>
        <s v="Mesa 0,80 X 0,80"/>
        <s v="Mesa 1,20 X 0,80"/>
        <s v="Mesa 1,60 X 0,80"/>
        <s v="Mesa 1,40 X 0,80"/>
        <s v="Agulha Cadeira Alta"/>
        <s v="Agulha Cadeira Comum"/>
        <s v="Tampo 1,20"/>
        <s v="Tampo 1,60"/>
        <s v="Tampo 0,45"/>
        <s v="Tampo 0,75"/>
        <s v="Tampo 0,80"/>
        <s v="Tampo 1,10"/>
        <s v="Tampo 1,15"/>
        <s v="Tampo 1,50"/>
        <s v="Tampo 1,80"/>
        <s v="Tampo 2,00"/>
        <s v="Tampo 2,20"/>
        <s v="Pé Mesa 0,45 / 1,10 "/>
        <s v="Pé Mesa 0,75 / 1,15"/>
        <s v="Pé Mesa 0,80/ 1,20 / 1,50 / 1,60"/>
        <s v="Pé Mesa 1,80"/>
        <s v="Pé Mesa 2,00 / 2,20"/>
        <s v="Barra Mesa 0,45"/>
        <s v="Barra Mesa 0,75"/>
        <s v="Barra Mesa 0,80"/>
        <s v="Barra Mesa 1,10"/>
        <s v="Barra Mesa 1,15"/>
        <s v="Barra Mesa 1,20"/>
        <s v="Barra Mesa 1,50"/>
        <s v="Barra Mesa 1,60"/>
        <s v="Barra Mesa 1,80"/>
        <s v="Barra Mesa 2,00"/>
        <s v="Barra Mesa 2,20"/>
        <s v="Peseira Cama Casal"/>
        <s v="Peseira Cama Solteiro"/>
        <s v="Peseira Beliche"/>
        <s v="Cabeceira Casal"/>
        <s v="Cabeceira Solteiro"/>
        <s v="Cabeceira Beliche"/>
        <s v="Cabeceira Beliche Antiga"/>
        <s v="Estrado Beliche Completo"/>
        <s v="Grade de Beliche"/>
        <s v="Escada de Beliche"/>
        <s v="Sarrafo Beliche"/>
        <s v="Sarrafo Casal"/>
        <s v="Sarrafo Solteiro"/>
        <s v="Kit Parafusos Mesa 0,45 / 0,75"/>
        <s v="Kit Parafusos Mesa 1,10 / 1,15"/>
        <s v="Kit Parafusos Mesa 0,80 / 1,20 / 1,50 / 1,60"/>
        <s v="Kit Parafusos Mesa 1,80 / 2,00 / 2,20"/>
        <s v="Kit Parafusos Beliche"/>
        <s v="Kit Parafusos Cama Solteiro"/>
        <s v="Kit Parafusos Cama Casal"/>
        <s v="Tingidor"/>
        <m/>
      </sharedItems>
    </cacheField>
    <cacheField name="CE" numFmtId="0">
      <sharedItems containsString="0" containsBlank="1" containsNumber="1" containsInteger="1" minValue="0" maxValue="28"/>
    </cacheField>
    <cacheField name="MG" numFmtId="0">
      <sharedItems containsString="0" containsBlank="1" containsNumber="1" containsInteger="1" minValue="0" maxValue="0"/>
    </cacheField>
    <cacheField name="TB" numFmtId="0">
      <sharedItems containsString="0" containsBlank="1" containsNumber="1" containsInteger="1" minValue="0" maxValue="1"/>
    </cacheField>
    <cacheField name="IMB" numFmtId="0">
      <sharedItems containsString="0" containsBlank="1" containsNumber="1" containsInteger="1" minValue="0" maxValue="60"/>
    </cacheField>
    <cacheField name="TOTAL" numFmtId="0">
      <sharedItems containsString="0" containsBlank="1" containsNumber="1" containsInteg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59">
  <r>
    <x v="0"/>
    <x v="0"/>
    <n v="0"/>
    <n v="0"/>
    <n v="0"/>
    <n v="0"/>
    <n v="0"/>
  </r>
  <r>
    <x v="0"/>
    <x v="1"/>
    <n v="0"/>
    <n v="0"/>
    <n v="0"/>
    <n v="0"/>
    <n v="0"/>
  </r>
  <r>
    <x v="0"/>
    <x v="2"/>
    <n v="0"/>
    <n v="0"/>
    <n v="0"/>
    <n v="0"/>
    <n v="0"/>
  </r>
  <r>
    <x v="0"/>
    <x v="3"/>
    <n v="0"/>
    <n v="0"/>
    <n v="0"/>
    <n v="0"/>
    <n v="0"/>
  </r>
  <r>
    <x v="0"/>
    <x v="4"/>
    <n v="0"/>
    <n v="0"/>
    <n v="0"/>
    <n v="0"/>
    <n v="0"/>
  </r>
  <r>
    <x v="0"/>
    <x v="5"/>
    <n v="0"/>
    <n v="0"/>
    <n v="0"/>
    <n v="0"/>
    <n v="0"/>
  </r>
  <r>
    <x v="0"/>
    <x v="6"/>
    <n v="0"/>
    <n v="0"/>
    <n v="0"/>
    <n v="0"/>
    <n v="0"/>
  </r>
  <r>
    <x v="0"/>
    <x v="7"/>
    <n v="0"/>
    <n v="0"/>
    <n v="0"/>
    <n v="0"/>
    <n v="0"/>
  </r>
  <r>
    <x v="0"/>
    <x v="8"/>
    <n v="0"/>
    <n v="0"/>
    <n v="0"/>
    <n v="0"/>
    <n v="0"/>
  </r>
  <r>
    <x v="0"/>
    <x v="9"/>
    <n v="0"/>
    <n v="0"/>
    <n v="0"/>
    <n v="0"/>
    <n v="0"/>
  </r>
  <r>
    <x v="0"/>
    <x v="10"/>
    <n v="0"/>
    <n v="0"/>
    <n v="0"/>
    <n v="0"/>
    <n v="0"/>
  </r>
  <r>
    <x v="0"/>
    <x v="11"/>
    <n v="0"/>
    <m/>
    <m/>
    <m/>
    <n v="0"/>
  </r>
  <r>
    <x v="0"/>
    <x v="12"/>
    <n v="0"/>
    <n v="0"/>
    <n v="0"/>
    <n v="0"/>
    <n v="0"/>
  </r>
  <r>
    <x v="0"/>
    <x v="13"/>
    <n v="0"/>
    <n v="0"/>
    <n v="0"/>
    <n v="0"/>
    <n v="0"/>
  </r>
  <r>
    <x v="0"/>
    <x v="14"/>
    <n v="0"/>
    <n v="0"/>
    <n v="0"/>
    <n v="0"/>
    <n v="0"/>
  </r>
  <r>
    <x v="0"/>
    <x v="15"/>
    <n v="0"/>
    <n v="0"/>
    <n v="0"/>
    <n v="0"/>
    <n v="0"/>
  </r>
  <r>
    <x v="0"/>
    <x v="16"/>
    <n v="0"/>
    <n v="0"/>
    <n v="0"/>
    <n v="0"/>
    <n v="0"/>
  </r>
  <r>
    <x v="0"/>
    <x v="17"/>
    <n v="0"/>
    <n v="0"/>
    <n v="0"/>
    <n v="0"/>
    <n v="0"/>
  </r>
  <r>
    <x v="0"/>
    <x v="18"/>
    <n v="0"/>
    <n v="0"/>
    <n v="0"/>
    <n v="0"/>
    <n v="0"/>
  </r>
  <r>
    <x v="0"/>
    <x v="19"/>
    <n v="0"/>
    <n v="0"/>
    <n v="0"/>
    <n v="0"/>
    <n v="0"/>
  </r>
  <r>
    <x v="0"/>
    <x v="20"/>
    <n v="0"/>
    <n v="0"/>
    <n v="0"/>
    <n v="0"/>
    <n v="0"/>
  </r>
  <r>
    <x v="0"/>
    <x v="21"/>
    <n v="0"/>
    <n v="0"/>
    <n v="0"/>
    <n v="0"/>
    <n v="0"/>
  </r>
  <r>
    <x v="0"/>
    <x v="22"/>
    <n v="0"/>
    <n v="0"/>
    <n v="0"/>
    <n v="0"/>
    <n v="0"/>
  </r>
  <r>
    <x v="0"/>
    <x v="23"/>
    <n v="0"/>
    <n v="0"/>
    <n v="0"/>
    <n v="0"/>
    <n v="0"/>
  </r>
  <r>
    <x v="0"/>
    <x v="24"/>
    <n v="0"/>
    <n v="0"/>
    <n v="0"/>
    <n v="0"/>
    <n v="0"/>
  </r>
  <r>
    <x v="0"/>
    <x v="25"/>
    <n v="0"/>
    <n v="0"/>
    <n v="0"/>
    <n v="0"/>
    <n v="0"/>
  </r>
  <r>
    <x v="0"/>
    <x v="26"/>
    <n v="0"/>
    <n v="0"/>
    <n v="0"/>
    <n v="0"/>
    <n v="0"/>
  </r>
  <r>
    <x v="0"/>
    <x v="27"/>
    <n v="0"/>
    <n v="0"/>
    <n v="0"/>
    <n v="0"/>
    <n v="0"/>
  </r>
  <r>
    <x v="0"/>
    <x v="28"/>
    <n v="0"/>
    <n v="0"/>
    <n v="0"/>
    <n v="0"/>
    <n v="0"/>
  </r>
  <r>
    <x v="0"/>
    <x v="29"/>
    <n v="0"/>
    <m/>
    <m/>
    <m/>
    <n v="0"/>
  </r>
  <r>
    <x v="0"/>
    <x v="30"/>
    <n v="0"/>
    <m/>
    <m/>
    <m/>
    <n v="0"/>
  </r>
  <r>
    <x v="0"/>
    <x v="31"/>
    <n v="0"/>
    <n v="0"/>
    <n v="0"/>
    <n v="0"/>
    <n v="0"/>
  </r>
  <r>
    <x v="0"/>
    <x v="32"/>
    <n v="0"/>
    <n v="0"/>
    <n v="0"/>
    <n v="0"/>
    <n v="0"/>
  </r>
  <r>
    <x v="0"/>
    <x v="33"/>
    <n v="0"/>
    <n v="0"/>
    <n v="0"/>
    <n v="0"/>
    <n v="0"/>
  </r>
  <r>
    <x v="0"/>
    <x v="34"/>
    <n v="1"/>
    <n v="0"/>
    <n v="0"/>
    <n v="0"/>
    <n v="1"/>
  </r>
  <r>
    <x v="0"/>
    <x v="35"/>
    <n v="0"/>
    <n v="0"/>
    <n v="0"/>
    <n v="0"/>
    <n v="0"/>
  </r>
  <r>
    <x v="0"/>
    <x v="36"/>
    <n v="0"/>
    <n v="0"/>
    <n v="0"/>
    <n v="0"/>
    <n v="0"/>
  </r>
  <r>
    <x v="0"/>
    <x v="37"/>
    <n v="0"/>
    <n v="0"/>
    <n v="0"/>
    <n v="0"/>
    <n v="0"/>
  </r>
  <r>
    <x v="0"/>
    <x v="38"/>
    <n v="0"/>
    <n v="0"/>
    <n v="0"/>
    <n v="0"/>
    <n v="0"/>
  </r>
  <r>
    <x v="0"/>
    <x v="39"/>
    <n v="1"/>
    <n v="0"/>
    <n v="0"/>
    <n v="0"/>
    <n v="1"/>
  </r>
  <r>
    <x v="0"/>
    <x v="40"/>
    <n v="0"/>
    <n v="0"/>
    <n v="0"/>
    <n v="0"/>
    <n v="0"/>
  </r>
  <r>
    <x v="0"/>
    <x v="41"/>
    <n v="0"/>
    <n v="0"/>
    <n v="0"/>
    <n v="0"/>
    <n v="0"/>
  </r>
  <r>
    <x v="0"/>
    <x v="42"/>
    <n v="0"/>
    <n v="0"/>
    <n v="0"/>
    <n v="0"/>
    <n v="0"/>
  </r>
  <r>
    <x v="0"/>
    <x v="43"/>
    <n v="0"/>
    <n v="0"/>
    <n v="0"/>
    <n v="0"/>
    <n v="0"/>
  </r>
  <r>
    <x v="0"/>
    <x v="44"/>
    <n v="0"/>
    <n v="0"/>
    <n v="0"/>
    <n v="0"/>
    <n v="0"/>
  </r>
  <r>
    <x v="0"/>
    <x v="45"/>
    <n v="0"/>
    <n v="0"/>
    <n v="0"/>
    <n v="0"/>
    <n v="0"/>
  </r>
  <r>
    <x v="0"/>
    <x v="46"/>
    <n v="0"/>
    <n v="0"/>
    <n v="0"/>
    <n v="0"/>
    <n v="0"/>
  </r>
  <r>
    <x v="0"/>
    <x v="47"/>
    <n v="0"/>
    <n v="0"/>
    <n v="0"/>
    <n v="0"/>
    <n v="0"/>
  </r>
  <r>
    <x v="0"/>
    <x v="48"/>
    <n v="0"/>
    <n v="0"/>
    <n v="0"/>
    <n v="0"/>
    <n v="0"/>
  </r>
  <r>
    <x v="0"/>
    <x v="49"/>
    <n v="0"/>
    <n v="0"/>
    <n v="0"/>
    <n v="0"/>
    <n v="0"/>
  </r>
  <r>
    <x v="0"/>
    <x v="50"/>
    <n v="0"/>
    <n v="0"/>
    <n v="0"/>
    <n v="0"/>
    <n v="0"/>
  </r>
  <r>
    <x v="0"/>
    <x v="51"/>
    <n v="0"/>
    <n v="0"/>
    <n v="0"/>
    <n v="0"/>
    <n v="0"/>
  </r>
  <r>
    <x v="0"/>
    <x v="52"/>
    <n v="0"/>
    <n v="0"/>
    <n v="0"/>
    <n v="0"/>
    <n v="0"/>
  </r>
  <r>
    <x v="0"/>
    <x v="53"/>
    <n v="0"/>
    <n v="0"/>
    <n v="0"/>
    <n v="0"/>
    <n v="0"/>
  </r>
  <r>
    <x v="0"/>
    <x v="54"/>
    <n v="0"/>
    <n v="0"/>
    <n v="0"/>
    <n v="0"/>
    <n v="0"/>
  </r>
  <r>
    <x v="0"/>
    <x v="55"/>
    <n v="0"/>
    <n v="0"/>
    <n v="0"/>
    <n v="0"/>
    <n v="0"/>
  </r>
  <r>
    <x v="0"/>
    <x v="56"/>
    <n v="0"/>
    <n v="0"/>
    <n v="0"/>
    <n v="0"/>
    <n v="0"/>
  </r>
  <r>
    <x v="0"/>
    <x v="57"/>
    <n v="0"/>
    <n v="0"/>
    <n v="0"/>
    <n v="0"/>
    <n v="0"/>
  </r>
  <r>
    <x v="0"/>
    <x v="58"/>
    <n v="0"/>
    <n v="0"/>
    <n v="0"/>
    <n v="0"/>
    <n v="0"/>
  </r>
  <r>
    <x v="0"/>
    <x v="59"/>
    <n v="0"/>
    <n v="0"/>
    <n v="0"/>
    <n v="0"/>
    <n v="0"/>
  </r>
  <r>
    <x v="0"/>
    <x v="60"/>
    <n v="0"/>
    <n v="0"/>
    <n v="0"/>
    <n v="0"/>
    <n v="0"/>
  </r>
  <r>
    <x v="0"/>
    <x v="61"/>
    <n v="0"/>
    <n v="0"/>
    <n v="0"/>
    <n v="0"/>
    <n v="0"/>
  </r>
  <r>
    <x v="0"/>
    <x v="62"/>
    <n v="0"/>
    <n v="0"/>
    <n v="0"/>
    <n v="0"/>
    <n v="0"/>
  </r>
  <r>
    <x v="0"/>
    <x v="63"/>
    <n v="0"/>
    <n v="0"/>
    <n v="0"/>
    <n v="0"/>
    <n v="0"/>
  </r>
  <r>
    <x v="0"/>
    <x v="64"/>
    <n v="0"/>
    <n v="0"/>
    <n v="0"/>
    <n v="0"/>
    <n v="0"/>
  </r>
  <r>
    <x v="0"/>
    <x v="65"/>
    <n v="0"/>
    <n v="0"/>
    <n v="0"/>
    <n v="0"/>
    <n v="0"/>
  </r>
  <r>
    <x v="0"/>
    <x v="66"/>
    <n v="0"/>
    <n v="0"/>
    <n v="0"/>
    <n v="0"/>
    <n v="0"/>
  </r>
  <r>
    <x v="0"/>
    <x v="67"/>
    <n v="0"/>
    <n v="0"/>
    <n v="0"/>
    <n v="0"/>
    <n v="0"/>
  </r>
  <r>
    <x v="0"/>
    <x v="68"/>
    <n v="0"/>
    <m/>
    <m/>
    <m/>
    <n v="0"/>
  </r>
  <r>
    <x v="0"/>
    <x v="69"/>
    <n v="0"/>
    <m/>
    <m/>
    <m/>
    <n v="0"/>
  </r>
  <r>
    <x v="0"/>
    <x v="70"/>
    <n v="0"/>
    <m/>
    <m/>
    <m/>
    <n v="0"/>
  </r>
  <r>
    <x v="0"/>
    <x v="71"/>
    <n v="0"/>
    <m/>
    <m/>
    <m/>
    <n v="0"/>
  </r>
  <r>
    <x v="0"/>
    <x v="72"/>
    <n v="0"/>
    <m/>
    <m/>
    <m/>
    <n v="0"/>
  </r>
  <r>
    <x v="0"/>
    <x v="73"/>
    <n v="0"/>
    <m/>
    <m/>
    <m/>
    <n v="0"/>
  </r>
  <r>
    <x v="0"/>
    <x v="74"/>
    <n v="0"/>
    <m/>
    <m/>
    <m/>
    <n v="0"/>
  </r>
  <r>
    <x v="0"/>
    <x v="75"/>
    <n v="0"/>
    <m/>
    <m/>
    <m/>
    <n v="0"/>
  </r>
  <r>
    <x v="0"/>
    <x v="76"/>
    <n v="0"/>
    <m/>
    <m/>
    <m/>
    <n v="0"/>
  </r>
  <r>
    <x v="0"/>
    <x v="77"/>
    <n v="0"/>
    <m/>
    <m/>
    <m/>
    <n v="0"/>
  </r>
  <r>
    <x v="0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0"/>
    <x v="0"/>
    <n v="16"/>
    <n v="0"/>
    <n v="0"/>
    <n v="0"/>
    <n v="16"/>
  </r>
  <r>
    <x v="0"/>
    <x v="1"/>
    <n v="28"/>
    <n v="0"/>
    <n v="0"/>
    <n v="0"/>
    <n v="28"/>
  </r>
  <r>
    <x v="0"/>
    <x v="2"/>
    <n v="0"/>
    <n v="0"/>
    <n v="0"/>
    <n v="0"/>
    <n v="0"/>
  </r>
  <r>
    <x v="0"/>
    <x v="3"/>
    <n v="0"/>
    <n v="0"/>
    <n v="0"/>
    <n v="0"/>
    <n v="0"/>
  </r>
  <r>
    <x v="0"/>
    <x v="4"/>
    <n v="0"/>
    <n v="0"/>
    <n v="0"/>
    <n v="0"/>
    <n v="0"/>
  </r>
  <r>
    <x v="0"/>
    <x v="5"/>
    <n v="0"/>
    <n v="0"/>
    <n v="0"/>
    <n v="0"/>
    <n v="0"/>
  </r>
  <r>
    <x v="0"/>
    <x v="6"/>
    <n v="0"/>
    <n v="0"/>
    <n v="0"/>
    <n v="0"/>
    <n v="0"/>
  </r>
  <r>
    <x v="0"/>
    <x v="7"/>
    <n v="0"/>
    <n v="0"/>
    <n v="0"/>
    <n v="0"/>
    <n v="0"/>
  </r>
  <r>
    <x v="0"/>
    <x v="8"/>
    <n v="0"/>
    <n v="0"/>
    <n v="0"/>
    <n v="0"/>
    <n v="0"/>
  </r>
  <r>
    <x v="0"/>
    <x v="9"/>
    <n v="0"/>
    <n v="0"/>
    <n v="0"/>
    <n v="0"/>
    <n v="0"/>
  </r>
  <r>
    <x v="0"/>
    <x v="10"/>
    <n v="0"/>
    <n v="0"/>
    <n v="0"/>
    <n v="0"/>
    <n v="0"/>
  </r>
  <r>
    <x v="0"/>
    <x v="11"/>
    <n v="0"/>
    <m/>
    <m/>
    <m/>
    <n v="0"/>
  </r>
  <r>
    <x v="0"/>
    <x v="12"/>
    <n v="4"/>
    <n v="0"/>
    <n v="0"/>
    <n v="0"/>
    <n v="4"/>
  </r>
  <r>
    <x v="0"/>
    <x v="13"/>
    <n v="0"/>
    <n v="0"/>
    <n v="0"/>
    <n v="0"/>
    <n v="0"/>
  </r>
  <r>
    <x v="0"/>
    <x v="14"/>
    <n v="3"/>
    <n v="0"/>
    <n v="0"/>
    <n v="0"/>
    <n v="3"/>
  </r>
  <r>
    <x v="0"/>
    <x v="15"/>
    <n v="2"/>
    <n v="0"/>
    <n v="0"/>
    <n v="0"/>
    <n v="2"/>
  </r>
  <r>
    <x v="0"/>
    <x v="16"/>
    <n v="0"/>
    <n v="0"/>
    <n v="0"/>
    <n v="0"/>
    <n v="0"/>
  </r>
  <r>
    <x v="0"/>
    <x v="17"/>
    <n v="0"/>
    <n v="0"/>
    <n v="0"/>
    <n v="0"/>
    <n v="0"/>
  </r>
  <r>
    <x v="0"/>
    <x v="18"/>
    <n v="0"/>
    <n v="0"/>
    <n v="0"/>
    <n v="0"/>
    <n v="0"/>
  </r>
  <r>
    <x v="0"/>
    <x v="19"/>
    <n v="0"/>
    <n v="0"/>
    <n v="0"/>
    <n v="0"/>
    <n v="0"/>
  </r>
  <r>
    <x v="0"/>
    <x v="20"/>
    <n v="0"/>
    <n v="0"/>
    <n v="0"/>
    <n v="0"/>
    <n v="0"/>
  </r>
  <r>
    <x v="0"/>
    <x v="21"/>
    <n v="0"/>
    <n v="0"/>
    <n v="0"/>
    <n v="0"/>
    <n v="0"/>
  </r>
  <r>
    <x v="0"/>
    <x v="22"/>
    <n v="0"/>
    <n v="0"/>
    <n v="0"/>
    <n v="0"/>
    <n v="0"/>
  </r>
  <r>
    <x v="0"/>
    <x v="23"/>
    <n v="0"/>
    <n v="0"/>
    <n v="0"/>
    <n v="0"/>
    <n v="0"/>
  </r>
  <r>
    <x v="0"/>
    <x v="24"/>
    <n v="0"/>
    <n v="0"/>
    <n v="0"/>
    <n v="0"/>
    <n v="0"/>
  </r>
  <r>
    <x v="0"/>
    <x v="25"/>
    <n v="0"/>
    <n v="0"/>
    <n v="0"/>
    <n v="0"/>
    <n v="0"/>
  </r>
  <r>
    <x v="0"/>
    <x v="26"/>
    <n v="2"/>
    <n v="0"/>
    <n v="0"/>
    <n v="0"/>
    <n v="2"/>
  </r>
  <r>
    <x v="0"/>
    <x v="27"/>
    <n v="0"/>
    <n v="0"/>
    <n v="0"/>
    <n v="0"/>
    <n v="0"/>
  </r>
  <r>
    <x v="0"/>
    <x v="28"/>
    <n v="0"/>
    <n v="0"/>
    <n v="0"/>
    <n v="0"/>
    <n v="0"/>
  </r>
  <r>
    <x v="0"/>
    <x v="29"/>
    <n v="0"/>
    <m/>
    <m/>
    <m/>
    <n v="0"/>
  </r>
  <r>
    <x v="0"/>
    <x v="30"/>
    <n v="0"/>
    <m/>
    <m/>
    <m/>
    <n v="0"/>
  </r>
  <r>
    <x v="0"/>
    <x v="31"/>
    <n v="0"/>
    <n v="0"/>
    <n v="0"/>
    <n v="0"/>
    <n v="0"/>
  </r>
  <r>
    <x v="0"/>
    <x v="32"/>
    <n v="0"/>
    <n v="0"/>
    <n v="0"/>
    <n v="0"/>
    <n v="0"/>
  </r>
  <r>
    <x v="0"/>
    <x v="33"/>
    <n v="0"/>
    <n v="0"/>
    <n v="0"/>
    <n v="0"/>
    <n v="0"/>
  </r>
  <r>
    <x v="0"/>
    <x v="34"/>
    <n v="0"/>
    <n v="0"/>
    <n v="0"/>
    <n v="0"/>
    <n v="0"/>
  </r>
  <r>
    <x v="0"/>
    <x v="35"/>
    <n v="0"/>
    <n v="0"/>
    <n v="0"/>
    <n v="0"/>
    <n v="0"/>
  </r>
  <r>
    <x v="0"/>
    <x v="36"/>
    <n v="0"/>
    <n v="0"/>
    <n v="0"/>
    <n v="0"/>
    <n v="0"/>
  </r>
  <r>
    <x v="0"/>
    <x v="37"/>
    <n v="0"/>
    <n v="0"/>
    <n v="0"/>
    <n v="0"/>
    <n v="0"/>
  </r>
  <r>
    <x v="0"/>
    <x v="38"/>
    <n v="0"/>
    <n v="0"/>
    <n v="0"/>
    <n v="0"/>
    <n v="0"/>
  </r>
  <r>
    <x v="0"/>
    <x v="39"/>
    <n v="0"/>
    <n v="0"/>
    <n v="0"/>
    <n v="0"/>
    <n v="0"/>
  </r>
  <r>
    <x v="0"/>
    <x v="40"/>
    <n v="0"/>
    <n v="0"/>
    <n v="0"/>
    <n v="0"/>
    <n v="0"/>
  </r>
  <r>
    <x v="0"/>
    <x v="41"/>
    <n v="0"/>
    <n v="0"/>
    <n v="0"/>
    <n v="0"/>
    <n v="0"/>
  </r>
  <r>
    <x v="0"/>
    <x v="42"/>
    <n v="0"/>
    <n v="0"/>
    <n v="0"/>
    <n v="0"/>
    <n v="0"/>
  </r>
  <r>
    <x v="0"/>
    <x v="43"/>
    <n v="0"/>
    <n v="0"/>
    <n v="0"/>
    <n v="0"/>
    <n v="0"/>
  </r>
  <r>
    <x v="0"/>
    <x v="44"/>
    <n v="0"/>
    <n v="0"/>
    <n v="0"/>
    <n v="0"/>
    <n v="0"/>
  </r>
  <r>
    <x v="0"/>
    <x v="45"/>
    <n v="0"/>
    <n v="0"/>
    <n v="0"/>
    <n v="0"/>
    <n v="0"/>
  </r>
  <r>
    <x v="0"/>
    <x v="46"/>
    <n v="0"/>
    <n v="0"/>
    <n v="0"/>
    <n v="0"/>
    <n v="0"/>
  </r>
  <r>
    <x v="0"/>
    <x v="47"/>
    <n v="0"/>
    <n v="0"/>
    <n v="0"/>
    <n v="0"/>
    <n v="0"/>
  </r>
  <r>
    <x v="0"/>
    <x v="48"/>
    <n v="0"/>
    <n v="0"/>
    <n v="0"/>
    <n v="0"/>
    <n v="0"/>
  </r>
  <r>
    <x v="0"/>
    <x v="49"/>
    <n v="0"/>
    <n v="0"/>
    <n v="0"/>
    <n v="0"/>
    <n v="0"/>
  </r>
  <r>
    <x v="0"/>
    <x v="50"/>
    <n v="0"/>
    <n v="0"/>
    <n v="0"/>
    <n v="0"/>
    <n v="0"/>
  </r>
  <r>
    <x v="0"/>
    <x v="51"/>
    <n v="0"/>
    <n v="0"/>
    <n v="0"/>
    <n v="0"/>
    <n v="0"/>
  </r>
  <r>
    <x v="0"/>
    <x v="52"/>
    <n v="0"/>
    <n v="0"/>
    <n v="0"/>
    <n v="0"/>
    <n v="0"/>
  </r>
  <r>
    <x v="0"/>
    <x v="53"/>
    <n v="0"/>
    <n v="0"/>
    <n v="0"/>
    <n v="0"/>
    <n v="0"/>
  </r>
  <r>
    <x v="0"/>
    <x v="54"/>
    <n v="0"/>
    <n v="0"/>
    <n v="0"/>
    <n v="0"/>
    <n v="0"/>
  </r>
  <r>
    <x v="0"/>
    <x v="55"/>
    <n v="0"/>
    <n v="0"/>
    <n v="0"/>
    <n v="0"/>
    <n v="0"/>
  </r>
  <r>
    <x v="0"/>
    <x v="56"/>
    <n v="0"/>
    <n v="0"/>
    <n v="0"/>
    <n v="0"/>
    <n v="0"/>
  </r>
  <r>
    <x v="0"/>
    <x v="57"/>
    <n v="0"/>
    <n v="0"/>
    <n v="0"/>
    <n v="0"/>
    <n v="0"/>
  </r>
  <r>
    <x v="0"/>
    <x v="58"/>
    <n v="0"/>
    <n v="0"/>
    <n v="0"/>
    <n v="0"/>
    <n v="0"/>
  </r>
  <r>
    <x v="0"/>
    <x v="59"/>
    <n v="0"/>
    <n v="0"/>
    <n v="0"/>
    <n v="0"/>
    <n v="0"/>
  </r>
  <r>
    <x v="0"/>
    <x v="60"/>
    <n v="0"/>
    <n v="0"/>
    <n v="0"/>
    <n v="0"/>
    <n v="0"/>
  </r>
  <r>
    <x v="0"/>
    <x v="61"/>
    <n v="0"/>
    <n v="0"/>
    <n v="0"/>
    <n v="0"/>
    <n v="0"/>
  </r>
  <r>
    <x v="0"/>
    <x v="62"/>
    <n v="0"/>
    <n v="0"/>
    <n v="0"/>
    <n v="0"/>
    <n v="0"/>
  </r>
  <r>
    <x v="0"/>
    <x v="63"/>
    <n v="0"/>
    <n v="0"/>
    <n v="0"/>
    <n v="0"/>
    <n v="0"/>
  </r>
  <r>
    <x v="0"/>
    <x v="64"/>
    <n v="0"/>
    <n v="0"/>
    <n v="0"/>
    <n v="0"/>
    <n v="0"/>
  </r>
  <r>
    <x v="0"/>
    <x v="65"/>
    <n v="0"/>
    <n v="0"/>
    <n v="0"/>
    <n v="0"/>
    <n v="0"/>
  </r>
  <r>
    <x v="0"/>
    <x v="66"/>
    <n v="0"/>
    <n v="0"/>
    <n v="0"/>
    <n v="0"/>
    <n v="0"/>
  </r>
  <r>
    <x v="0"/>
    <x v="67"/>
    <n v="0"/>
    <n v="0"/>
    <n v="0"/>
    <n v="0"/>
    <n v="0"/>
  </r>
  <r>
    <x v="0"/>
    <x v="68"/>
    <n v="0"/>
    <m/>
    <m/>
    <m/>
    <n v="0"/>
  </r>
  <r>
    <x v="0"/>
    <x v="69"/>
    <n v="0"/>
    <m/>
    <m/>
    <m/>
    <n v="0"/>
  </r>
  <r>
    <x v="0"/>
    <x v="70"/>
    <n v="0"/>
    <m/>
    <m/>
    <m/>
    <n v="0"/>
  </r>
  <r>
    <x v="0"/>
    <x v="71"/>
    <n v="0"/>
    <m/>
    <m/>
    <m/>
    <n v="0"/>
  </r>
  <r>
    <x v="0"/>
    <x v="72"/>
    <n v="0"/>
    <m/>
    <m/>
    <m/>
    <n v="0"/>
  </r>
  <r>
    <x v="0"/>
    <x v="73"/>
    <n v="0"/>
    <m/>
    <m/>
    <m/>
    <n v="0"/>
  </r>
  <r>
    <x v="0"/>
    <x v="74"/>
    <n v="0"/>
    <m/>
    <m/>
    <m/>
    <n v="0"/>
  </r>
  <r>
    <x v="0"/>
    <x v="75"/>
    <n v="0"/>
    <m/>
    <m/>
    <m/>
    <n v="0"/>
  </r>
  <r>
    <x v="0"/>
    <x v="76"/>
    <n v="0"/>
    <m/>
    <m/>
    <m/>
    <n v="0"/>
  </r>
  <r>
    <x v="0"/>
    <x v="77"/>
    <n v="0"/>
    <m/>
    <m/>
    <m/>
    <n v="0"/>
  </r>
  <r>
    <x v="0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2"/>
    <x v="0"/>
    <n v="0"/>
    <n v="0"/>
    <n v="0"/>
    <n v="0"/>
    <n v="0"/>
  </r>
  <r>
    <x v="2"/>
    <x v="1"/>
    <n v="0"/>
    <n v="0"/>
    <n v="0"/>
    <n v="0"/>
    <n v="0"/>
  </r>
  <r>
    <x v="2"/>
    <x v="2"/>
    <n v="0"/>
    <n v="0"/>
    <n v="0"/>
    <n v="0"/>
    <n v="0"/>
  </r>
  <r>
    <x v="2"/>
    <x v="3"/>
    <n v="0"/>
    <n v="0"/>
    <n v="0"/>
    <n v="0"/>
    <n v="0"/>
  </r>
  <r>
    <x v="2"/>
    <x v="4"/>
    <n v="0"/>
    <n v="0"/>
    <n v="0"/>
    <n v="0"/>
    <n v="0"/>
  </r>
  <r>
    <x v="2"/>
    <x v="5"/>
    <n v="0"/>
    <n v="0"/>
    <n v="0"/>
    <n v="0"/>
    <n v="0"/>
  </r>
  <r>
    <x v="2"/>
    <x v="6"/>
    <n v="0"/>
    <n v="0"/>
    <n v="0"/>
    <n v="0"/>
    <n v="0"/>
  </r>
  <r>
    <x v="2"/>
    <x v="7"/>
    <n v="0"/>
    <n v="0"/>
    <n v="0"/>
    <n v="0"/>
    <n v="0"/>
  </r>
  <r>
    <x v="2"/>
    <x v="8"/>
    <n v="0"/>
    <n v="0"/>
    <n v="0"/>
    <n v="0"/>
    <n v="0"/>
  </r>
  <r>
    <x v="2"/>
    <x v="9"/>
    <n v="0"/>
    <n v="0"/>
    <n v="0"/>
    <n v="0"/>
    <n v="0"/>
  </r>
  <r>
    <x v="2"/>
    <x v="10"/>
    <n v="0"/>
    <n v="0"/>
    <n v="0"/>
    <n v="1"/>
    <n v="1"/>
  </r>
  <r>
    <x v="2"/>
    <x v="11"/>
    <n v="0"/>
    <m/>
    <m/>
    <m/>
    <n v="0"/>
  </r>
  <r>
    <x v="2"/>
    <x v="12"/>
    <n v="0"/>
    <n v="0"/>
    <n v="0"/>
    <n v="0"/>
    <n v="0"/>
  </r>
  <r>
    <x v="2"/>
    <x v="13"/>
    <n v="0"/>
    <n v="0"/>
    <n v="0"/>
    <n v="0"/>
    <n v="0"/>
  </r>
  <r>
    <x v="2"/>
    <x v="14"/>
    <n v="0"/>
    <n v="0"/>
    <n v="0"/>
    <n v="0"/>
    <n v="0"/>
  </r>
  <r>
    <x v="2"/>
    <x v="15"/>
    <n v="0"/>
    <n v="0"/>
    <n v="0"/>
    <n v="0"/>
    <n v="0"/>
  </r>
  <r>
    <x v="2"/>
    <x v="16"/>
    <n v="0"/>
    <n v="0"/>
    <n v="0"/>
    <n v="0"/>
    <n v="0"/>
  </r>
  <r>
    <x v="2"/>
    <x v="17"/>
    <n v="0"/>
    <n v="0"/>
    <n v="0"/>
    <n v="0"/>
    <n v="0"/>
  </r>
  <r>
    <x v="2"/>
    <x v="18"/>
    <n v="0"/>
    <n v="0"/>
    <n v="0"/>
    <n v="0"/>
    <n v="0"/>
  </r>
  <r>
    <x v="2"/>
    <x v="19"/>
    <n v="0"/>
    <n v="0"/>
    <n v="0"/>
    <n v="0"/>
    <n v="0"/>
  </r>
  <r>
    <x v="2"/>
    <x v="20"/>
    <n v="0"/>
    <n v="0"/>
    <n v="0"/>
    <n v="0"/>
    <n v="0"/>
  </r>
  <r>
    <x v="2"/>
    <x v="21"/>
    <n v="0"/>
    <n v="0"/>
    <n v="0"/>
    <n v="0"/>
    <n v="0"/>
  </r>
  <r>
    <x v="2"/>
    <x v="22"/>
    <n v="0"/>
    <n v="0"/>
    <n v="0"/>
    <n v="0"/>
    <n v="0"/>
  </r>
  <r>
    <x v="2"/>
    <x v="23"/>
    <n v="0"/>
    <n v="0"/>
    <n v="0"/>
    <n v="0"/>
    <n v="0"/>
  </r>
  <r>
    <x v="2"/>
    <x v="24"/>
    <n v="0"/>
    <n v="0"/>
    <n v="0"/>
    <n v="0"/>
    <n v="0"/>
  </r>
  <r>
    <x v="2"/>
    <x v="25"/>
    <n v="0"/>
    <n v="0"/>
    <n v="0"/>
    <n v="0"/>
    <n v="0"/>
  </r>
  <r>
    <x v="2"/>
    <x v="26"/>
    <n v="0"/>
    <n v="0"/>
    <n v="0"/>
    <n v="0"/>
    <n v="0"/>
  </r>
  <r>
    <x v="2"/>
    <x v="27"/>
    <n v="0"/>
    <n v="0"/>
    <n v="0"/>
    <n v="0"/>
    <n v="0"/>
  </r>
  <r>
    <x v="2"/>
    <x v="28"/>
    <n v="0"/>
    <n v="0"/>
    <n v="0"/>
    <n v="0"/>
    <n v="0"/>
  </r>
  <r>
    <x v="2"/>
    <x v="29"/>
    <n v="0"/>
    <m/>
    <m/>
    <m/>
    <n v="0"/>
  </r>
  <r>
    <x v="2"/>
    <x v="30"/>
    <n v="0"/>
    <m/>
    <m/>
    <m/>
    <n v="0"/>
  </r>
  <r>
    <x v="2"/>
    <x v="31"/>
    <n v="0"/>
    <n v="0"/>
    <n v="0"/>
    <n v="0"/>
    <n v="0"/>
  </r>
  <r>
    <x v="2"/>
    <x v="32"/>
    <n v="0"/>
    <n v="0"/>
    <n v="0"/>
    <n v="0"/>
    <n v="0"/>
  </r>
  <r>
    <x v="2"/>
    <x v="33"/>
    <n v="0"/>
    <n v="0"/>
    <n v="0"/>
    <n v="0"/>
    <n v="0"/>
  </r>
  <r>
    <x v="2"/>
    <x v="34"/>
    <n v="0"/>
    <n v="0"/>
    <n v="0"/>
    <n v="0"/>
    <n v="0"/>
  </r>
  <r>
    <x v="2"/>
    <x v="35"/>
    <n v="0"/>
    <n v="0"/>
    <n v="0"/>
    <n v="0"/>
    <n v="0"/>
  </r>
  <r>
    <x v="2"/>
    <x v="36"/>
    <n v="0"/>
    <n v="0"/>
    <n v="0"/>
    <n v="0"/>
    <n v="0"/>
  </r>
  <r>
    <x v="2"/>
    <x v="37"/>
    <n v="0"/>
    <n v="0"/>
    <n v="0"/>
    <n v="0"/>
    <n v="0"/>
  </r>
  <r>
    <x v="2"/>
    <x v="38"/>
    <n v="0"/>
    <n v="0"/>
    <n v="0"/>
    <n v="0"/>
    <n v="0"/>
  </r>
  <r>
    <x v="2"/>
    <x v="39"/>
    <n v="0"/>
    <n v="0"/>
    <n v="0"/>
    <n v="0"/>
    <n v="0"/>
  </r>
  <r>
    <x v="2"/>
    <x v="40"/>
    <n v="0"/>
    <n v="0"/>
    <n v="0"/>
    <n v="0"/>
    <n v="0"/>
  </r>
  <r>
    <x v="2"/>
    <x v="41"/>
    <n v="0"/>
    <n v="0"/>
    <n v="0"/>
    <n v="0"/>
    <n v="0"/>
  </r>
  <r>
    <x v="2"/>
    <x v="42"/>
    <n v="0"/>
    <n v="0"/>
    <n v="0"/>
    <n v="0"/>
    <n v="0"/>
  </r>
  <r>
    <x v="2"/>
    <x v="43"/>
    <n v="0"/>
    <n v="0"/>
    <n v="0"/>
    <n v="0"/>
    <n v="0"/>
  </r>
  <r>
    <x v="2"/>
    <x v="44"/>
    <n v="0"/>
    <n v="0"/>
    <n v="0"/>
    <n v="0"/>
    <n v="0"/>
  </r>
  <r>
    <x v="2"/>
    <x v="45"/>
    <n v="0"/>
    <n v="0"/>
    <n v="0"/>
    <n v="0"/>
    <n v="0"/>
  </r>
  <r>
    <x v="2"/>
    <x v="46"/>
    <n v="0"/>
    <n v="0"/>
    <n v="0"/>
    <n v="0"/>
    <n v="0"/>
  </r>
  <r>
    <x v="2"/>
    <x v="47"/>
    <n v="0"/>
    <n v="0"/>
    <n v="0"/>
    <n v="0"/>
    <n v="0"/>
  </r>
  <r>
    <x v="2"/>
    <x v="48"/>
    <n v="0"/>
    <n v="0"/>
    <n v="0"/>
    <n v="0"/>
    <n v="0"/>
  </r>
  <r>
    <x v="2"/>
    <x v="49"/>
    <n v="0"/>
    <n v="0"/>
    <n v="0"/>
    <n v="0"/>
    <n v="0"/>
  </r>
  <r>
    <x v="2"/>
    <x v="50"/>
    <n v="0"/>
    <n v="0"/>
    <n v="0"/>
    <n v="0"/>
    <n v="0"/>
  </r>
  <r>
    <x v="2"/>
    <x v="51"/>
    <n v="0"/>
    <n v="0"/>
    <n v="0"/>
    <n v="0"/>
    <n v="0"/>
  </r>
  <r>
    <x v="2"/>
    <x v="52"/>
    <n v="0"/>
    <n v="0"/>
    <n v="0"/>
    <n v="0"/>
    <n v="0"/>
  </r>
  <r>
    <x v="2"/>
    <x v="53"/>
    <n v="0"/>
    <n v="0"/>
    <n v="0"/>
    <n v="0"/>
    <n v="0"/>
  </r>
  <r>
    <x v="2"/>
    <x v="54"/>
    <n v="0"/>
    <n v="0"/>
    <n v="0"/>
    <n v="0"/>
    <n v="0"/>
  </r>
  <r>
    <x v="2"/>
    <x v="55"/>
    <n v="0"/>
    <n v="0"/>
    <n v="0"/>
    <n v="0"/>
    <n v="0"/>
  </r>
  <r>
    <x v="2"/>
    <x v="56"/>
    <n v="0"/>
    <n v="0"/>
    <n v="0"/>
    <n v="0"/>
    <n v="0"/>
  </r>
  <r>
    <x v="2"/>
    <x v="57"/>
    <n v="0"/>
    <n v="0"/>
    <n v="0"/>
    <n v="0"/>
    <n v="0"/>
  </r>
  <r>
    <x v="2"/>
    <x v="58"/>
    <n v="0"/>
    <n v="0"/>
    <n v="0"/>
    <n v="0"/>
    <n v="0"/>
  </r>
  <r>
    <x v="2"/>
    <x v="59"/>
    <n v="0"/>
    <n v="0"/>
    <n v="0"/>
    <n v="0"/>
    <n v="0"/>
  </r>
  <r>
    <x v="2"/>
    <x v="60"/>
    <n v="0"/>
    <n v="0"/>
    <n v="0"/>
    <n v="0"/>
    <n v="0"/>
  </r>
  <r>
    <x v="2"/>
    <x v="61"/>
    <n v="0"/>
    <n v="0"/>
    <n v="0"/>
    <n v="0"/>
    <n v="0"/>
  </r>
  <r>
    <x v="2"/>
    <x v="62"/>
    <n v="0"/>
    <n v="0"/>
    <n v="0"/>
    <n v="0"/>
    <n v="0"/>
  </r>
  <r>
    <x v="2"/>
    <x v="63"/>
    <n v="0"/>
    <n v="0"/>
    <n v="0"/>
    <n v="1"/>
    <n v="1"/>
  </r>
  <r>
    <x v="2"/>
    <x v="64"/>
    <n v="0"/>
    <n v="0"/>
    <n v="0"/>
    <n v="0"/>
    <n v="0"/>
  </r>
  <r>
    <x v="2"/>
    <x v="65"/>
    <n v="0"/>
    <n v="0"/>
    <n v="0"/>
    <n v="0"/>
    <n v="0"/>
  </r>
  <r>
    <x v="2"/>
    <x v="66"/>
    <n v="0"/>
    <n v="0"/>
    <n v="0"/>
    <n v="0"/>
    <n v="0"/>
  </r>
  <r>
    <x v="2"/>
    <x v="67"/>
    <n v="0"/>
    <n v="0"/>
    <n v="0"/>
    <n v="0"/>
    <n v="0"/>
  </r>
  <r>
    <x v="2"/>
    <x v="68"/>
    <n v="0"/>
    <m/>
    <m/>
    <m/>
    <n v="0"/>
  </r>
  <r>
    <x v="2"/>
    <x v="69"/>
    <n v="0"/>
    <m/>
    <m/>
    <m/>
    <n v="0"/>
  </r>
  <r>
    <x v="2"/>
    <x v="70"/>
    <n v="0"/>
    <m/>
    <m/>
    <m/>
    <n v="0"/>
  </r>
  <r>
    <x v="2"/>
    <x v="71"/>
    <n v="0"/>
    <m/>
    <m/>
    <m/>
    <n v="0"/>
  </r>
  <r>
    <x v="2"/>
    <x v="72"/>
    <n v="0"/>
    <m/>
    <m/>
    <m/>
    <n v="0"/>
  </r>
  <r>
    <x v="2"/>
    <x v="73"/>
    <n v="0"/>
    <m/>
    <m/>
    <m/>
    <n v="0"/>
  </r>
  <r>
    <x v="2"/>
    <x v="74"/>
    <n v="0"/>
    <m/>
    <m/>
    <m/>
    <n v="0"/>
  </r>
  <r>
    <x v="2"/>
    <x v="75"/>
    <n v="0"/>
    <m/>
    <m/>
    <m/>
    <n v="0"/>
  </r>
  <r>
    <x v="2"/>
    <x v="76"/>
    <n v="0"/>
    <m/>
    <m/>
    <m/>
    <n v="0"/>
  </r>
  <r>
    <x v="2"/>
    <x v="77"/>
    <n v="0"/>
    <m/>
    <m/>
    <m/>
    <n v="0"/>
  </r>
  <r>
    <x v="2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3"/>
    <x v="0"/>
    <n v="0"/>
    <n v="0"/>
    <n v="0"/>
    <n v="0"/>
    <n v="0"/>
  </r>
  <r>
    <x v="3"/>
    <x v="1"/>
    <n v="0"/>
    <n v="0"/>
    <n v="0"/>
    <n v="0"/>
    <n v="0"/>
  </r>
  <r>
    <x v="3"/>
    <x v="2"/>
    <n v="0"/>
    <n v="0"/>
    <n v="0"/>
    <n v="0"/>
    <n v="0"/>
  </r>
  <r>
    <x v="3"/>
    <x v="3"/>
    <n v="0"/>
    <n v="0"/>
    <n v="0"/>
    <n v="0"/>
    <n v="0"/>
  </r>
  <r>
    <x v="3"/>
    <x v="4"/>
    <n v="0"/>
    <n v="0"/>
    <n v="0"/>
    <n v="0"/>
    <n v="0"/>
  </r>
  <r>
    <x v="3"/>
    <x v="5"/>
    <n v="0"/>
    <n v="0"/>
    <n v="0"/>
    <n v="0"/>
    <n v="0"/>
  </r>
  <r>
    <x v="3"/>
    <x v="6"/>
    <n v="0"/>
    <n v="0"/>
    <n v="0"/>
    <n v="0"/>
    <n v="0"/>
  </r>
  <r>
    <x v="3"/>
    <x v="7"/>
    <n v="0"/>
    <n v="0"/>
    <n v="0"/>
    <n v="0"/>
    <n v="0"/>
  </r>
  <r>
    <x v="3"/>
    <x v="8"/>
    <n v="0"/>
    <n v="0"/>
    <n v="0"/>
    <n v="0"/>
    <n v="0"/>
  </r>
  <r>
    <x v="3"/>
    <x v="9"/>
    <n v="0"/>
    <n v="0"/>
    <n v="0"/>
    <n v="0"/>
    <n v="0"/>
  </r>
  <r>
    <x v="3"/>
    <x v="10"/>
    <n v="0"/>
    <n v="0"/>
    <n v="0"/>
    <n v="0"/>
    <n v="0"/>
  </r>
  <r>
    <x v="3"/>
    <x v="11"/>
    <n v="0"/>
    <m/>
    <m/>
    <m/>
    <n v="0"/>
  </r>
  <r>
    <x v="3"/>
    <x v="12"/>
    <n v="0"/>
    <n v="0"/>
    <n v="0"/>
    <n v="0"/>
    <n v="0"/>
  </r>
  <r>
    <x v="3"/>
    <x v="13"/>
    <n v="0"/>
    <n v="0"/>
    <n v="0"/>
    <n v="0"/>
    <n v="0"/>
  </r>
  <r>
    <x v="3"/>
    <x v="14"/>
    <n v="0"/>
    <n v="0"/>
    <n v="0"/>
    <n v="0"/>
    <n v="0"/>
  </r>
  <r>
    <x v="3"/>
    <x v="15"/>
    <n v="0"/>
    <n v="0"/>
    <n v="0"/>
    <n v="0"/>
    <n v="0"/>
  </r>
  <r>
    <x v="3"/>
    <x v="16"/>
    <n v="0"/>
    <n v="0"/>
    <n v="0"/>
    <n v="1"/>
    <n v="1"/>
  </r>
  <r>
    <x v="3"/>
    <x v="17"/>
    <n v="0"/>
    <n v="0"/>
    <n v="0"/>
    <n v="0"/>
    <n v="0"/>
  </r>
  <r>
    <x v="3"/>
    <x v="18"/>
    <n v="0"/>
    <n v="0"/>
    <n v="0"/>
    <n v="0"/>
    <n v="0"/>
  </r>
  <r>
    <x v="3"/>
    <x v="19"/>
    <n v="0"/>
    <n v="0"/>
    <n v="0"/>
    <n v="0"/>
    <n v="0"/>
  </r>
  <r>
    <x v="3"/>
    <x v="20"/>
    <n v="0"/>
    <n v="0"/>
    <n v="0"/>
    <n v="0"/>
    <n v="0"/>
  </r>
  <r>
    <x v="3"/>
    <x v="21"/>
    <n v="0"/>
    <n v="0"/>
    <n v="0"/>
    <n v="0"/>
    <n v="0"/>
  </r>
  <r>
    <x v="3"/>
    <x v="22"/>
    <n v="0"/>
    <n v="0"/>
    <n v="0"/>
    <n v="0"/>
    <n v="0"/>
  </r>
  <r>
    <x v="3"/>
    <x v="23"/>
    <n v="0"/>
    <n v="0"/>
    <n v="0"/>
    <n v="0"/>
    <n v="0"/>
  </r>
  <r>
    <x v="3"/>
    <x v="24"/>
    <n v="0"/>
    <n v="0"/>
    <n v="0"/>
    <n v="0"/>
    <n v="0"/>
  </r>
  <r>
    <x v="3"/>
    <x v="25"/>
    <n v="0"/>
    <n v="0"/>
    <n v="0"/>
    <n v="0"/>
    <n v="0"/>
  </r>
  <r>
    <x v="3"/>
    <x v="26"/>
    <n v="0"/>
    <n v="0"/>
    <n v="0"/>
    <n v="0"/>
    <n v="0"/>
  </r>
  <r>
    <x v="3"/>
    <x v="27"/>
    <n v="0"/>
    <n v="0"/>
    <n v="0"/>
    <n v="0"/>
    <n v="0"/>
  </r>
  <r>
    <x v="3"/>
    <x v="28"/>
    <n v="0"/>
    <n v="0"/>
    <n v="0"/>
    <n v="0"/>
    <n v="0"/>
  </r>
  <r>
    <x v="3"/>
    <x v="29"/>
    <n v="0"/>
    <m/>
    <m/>
    <m/>
    <n v="0"/>
  </r>
  <r>
    <x v="3"/>
    <x v="30"/>
    <n v="0"/>
    <m/>
    <m/>
    <m/>
    <n v="0"/>
  </r>
  <r>
    <x v="3"/>
    <x v="31"/>
    <n v="0"/>
    <n v="0"/>
    <n v="0"/>
    <n v="0"/>
    <n v="0"/>
  </r>
  <r>
    <x v="3"/>
    <x v="32"/>
    <n v="0"/>
    <n v="0"/>
    <n v="0"/>
    <n v="0"/>
    <n v="0"/>
  </r>
  <r>
    <x v="3"/>
    <x v="33"/>
    <n v="0"/>
    <n v="0"/>
    <n v="0"/>
    <n v="0"/>
    <n v="0"/>
  </r>
  <r>
    <x v="3"/>
    <x v="34"/>
    <n v="0"/>
    <n v="0"/>
    <n v="0"/>
    <n v="0"/>
    <n v="0"/>
  </r>
  <r>
    <x v="3"/>
    <x v="35"/>
    <n v="0"/>
    <n v="0"/>
    <n v="0"/>
    <n v="0"/>
    <n v="0"/>
  </r>
  <r>
    <x v="3"/>
    <x v="36"/>
    <n v="0"/>
    <n v="0"/>
    <n v="0"/>
    <n v="0"/>
    <n v="0"/>
  </r>
  <r>
    <x v="3"/>
    <x v="37"/>
    <n v="0"/>
    <n v="0"/>
    <n v="0"/>
    <n v="0"/>
    <n v="0"/>
  </r>
  <r>
    <x v="3"/>
    <x v="38"/>
    <n v="0"/>
    <n v="0"/>
    <n v="0"/>
    <n v="0"/>
    <n v="0"/>
  </r>
  <r>
    <x v="3"/>
    <x v="39"/>
    <n v="0"/>
    <n v="0"/>
    <n v="0"/>
    <n v="0"/>
    <n v="0"/>
  </r>
  <r>
    <x v="3"/>
    <x v="40"/>
    <n v="0"/>
    <n v="0"/>
    <n v="0"/>
    <n v="0"/>
    <n v="0"/>
  </r>
  <r>
    <x v="3"/>
    <x v="41"/>
    <n v="0"/>
    <n v="0"/>
    <n v="0"/>
    <n v="0"/>
    <n v="0"/>
  </r>
  <r>
    <x v="3"/>
    <x v="42"/>
    <n v="0"/>
    <n v="0"/>
    <n v="0"/>
    <n v="0"/>
    <n v="0"/>
  </r>
  <r>
    <x v="3"/>
    <x v="43"/>
    <n v="0"/>
    <n v="0"/>
    <n v="0"/>
    <n v="0"/>
    <n v="0"/>
  </r>
  <r>
    <x v="3"/>
    <x v="44"/>
    <n v="0"/>
    <n v="0"/>
    <n v="0"/>
    <n v="0"/>
    <n v="0"/>
  </r>
  <r>
    <x v="3"/>
    <x v="45"/>
    <n v="0"/>
    <n v="0"/>
    <n v="0"/>
    <n v="0"/>
    <n v="0"/>
  </r>
  <r>
    <x v="3"/>
    <x v="46"/>
    <n v="0"/>
    <n v="0"/>
    <n v="0"/>
    <n v="0"/>
    <n v="0"/>
  </r>
  <r>
    <x v="3"/>
    <x v="47"/>
    <n v="0"/>
    <n v="0"/>
    <n v="0"/>
    <n v="0"/>
    <n v="0"/>
  </r>
  <r>
    <x v="3"/>
    <x v="48"/>
    <n v="0"/>
    <n v="0"/>
    <n v="0"/>
    <n v="0"/>
    <n v="0"/>
  </r>
  <r>
    <x v="3"/>
    <x v="49"/>
    <n v="0"/>
    <n v="0"/>
    <n v="0"/>
    <n v="0"/>
    <n v="0"/>
  </r>
  <r>
    <x v="3"/>
    <x v="50"/>
    <n v="0"/>
    <n v="0"/>
    <n v="0"/>
    <n v="0"/>
    <n v="0"/>
  </r>
  <r>
    <x v="3"/>
    <x v="51"/>
    <n v="0"/>
    <n v="0"/>
    <n v="0"/>
    <n v="0"/>
    <n v="0"/>
  </r>
  <r>
    <x v="3"/>
    <x v="52"/>
    <n v="0"/>
    <n v="0"/>
    <n v="0"/>
    <n v="0"/>
    <n v="0"/>
  </r>
  <r>
    <x v="3"/>
    <x v="53"/>
    <n v="0"/>
    <n v="0"/>
    <n v="0"/>
    <n v="0"/>
    <n v="0"/>
  </r>
  <r>
    <x v="3"/>
    <x v="54"/>
    <n v="0"/>
    <n v="0"/>
    <n v="0"/>
    <n v="0"/>
    <n v="0"/>
  </r>
  <r>
    <x v="3"/>
    <x v="55"/>
    <n v="0"/>
    <n v="0"/>
    <n v="0"/>
    <n v="0"/>
    <n v="0"/>
  </r>
  <r>
    <x v="3"/>
    <x v="56"/>
    <n v="0"/>
    <n v="0"/>
    <n v="0"/>
    <n v="0"/>
    <n v="0"/>
  </r>
  <r>
    <x v="3"/>
    <x v="57"/>
    <n v="0"/>
    <n v="0"/>
    <n v="0"/>
    <n v="0"/>
    <n v="0"/>
  </r>
  <r>
    <x v="3"/>
    <x v="58"/>
    <n v="0"/>
    <n v="0"/>
    <n v="0"/>
    <n v="0"/>
    <n v="0"/>
  </r>
  <r>
    <x v="3"/>
    <x v="59"/>
    <n v="0"/>
    <n v="0"/>
    <n v="0"/>
    <n v="0"/>
    <n v="0"/>
  </r>
  <r>
    <x v="3"/>
    <x v="60"/>
    <n v="0"/>
    <n v="0"/>
    <n v="0"/>
    <n v="0"/>
    <n v="0"/>
  </r>
  <r>
    <x v="3"/>
    <x v="61"/>
    <n v="0"/>
    <n v="0"/>
    <n v="0"/>
    <n v="0"/>
    <n v="0"/>
  </r>
  <r>
    <x v="3"/>
    <x v="62"/>
    <n v="0"/>
    <n v="0"/>
    <n v="0"/>
    <n v="0"/>
    <n v="0"/>
  </r>
  <r>
    <x v="3"/>
    <x v="63"/>
    <n v="0"/>
    <n v="0"/>
    <n v="0"/>
    <n v="0"/>
    <n v="0"/>
  </r>
  <r>
    <x v="3"/>
    <x v="64"/>
    <n v="0"/>
    <n v="0"/>
    <n v="0"/>
    <n v="0"/>
    <n v="0"/>
  </r>
  <r>
    <x v="3"/>
    <x v="65"/>
    <n v="0"/>
    <n v="0"/>
    <n v="0"/>
    <n v="0"/>
    <n v="0"/>
  </r>
  <r>
    <x v="3"/>
    <x v="66"/>
    <n v="0"/>
    <n v="0"/>
    <n v="0"/>
    <n v="0"/>
    <n v="0"/>
  </r>
  <r>
    <x v="3"/>
    <x v="67"/>
    <n v="0"/>
    <n v="0"/>
    <n v="0"/>
    <n v="0"/>
    <n v="0"/>
  </r>
  <r>
    <x v="3"/>
    <x v="68"/>
    <n v="0"/>
    <m/>
    <m/>
    <m/>
    <n v="0"/>
  </r>
  <r>
    <x v="3"/>
    <x v="69"/>
    <n v="0"/>
    <m/>
    <m/>
    <m/>
    <n v="0"/>
  </r>
  <r>
    <x v="3"/>
    <x v="70"/>
    <n v="0"/>
    <m/>
    <m/>
    <m/>
    <n v="0"/>
  </r>
  <r>
    <x v="3"/>
    <x v="71"/>
    <n v="0"/>
    <m/>
    <m/>
    <m/>
    <n v="0"/>
  </r>
  <r>
    <x v="3"/>
    <x v="72"/>
    <n v="0"/>
    <m/>
    <m/>
    <m/>
    <n v="0"/>
  </r>
  <r>
    <x v="3"/>
    <x v="73"/>
    <n v="0"/>
    <m/>
    <m/>
    <m/>
    <n v="0"/>
  </r>
  <r>
    <x v="3"/>
    <x v="74"/>
    <n v="0"/>
    <m/>
    <m/>
    <m/>
    <n v="0"/>
  </r>
  <r>
    <x v="3"/>
    <x v="75"/>
    <n v="0"/>
    <m/>
    <m/>
    <m/>
    <n v="0"/>
  </r>
  <r>
    <x v="3"/>
    <x v="76"/>
    <n v="0"/>
    <m/>
    <m/>
    <m/>
    <n v="0"/>
  </r>
  <r>
    <x v="3"/>
    <x v="77"/>
    <n v="0"/>
    <m/>
    <m/>
    <m/>
    <n v="0"/>
  </r>
  <r>
    <x v="3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3"/>
    <x v="0"/>
    <n v="0"/>
    <n v="0"/>
    <n v="0"/>
    <n v="0"/>
    <n v="0"/>
  </r>
  <r>
    <x v="3"/>
    <x v="1"/>
    <n v="0"/>
    <n v="0"/>
    <n v="0"/>
    <n v="25"/>
    <n v="25"/>
  </r>
  <r>
    <x v="3"/>
    <x v="2"/>
    <n v="0"/>
    <n v="0"/>
    <n v="0"/>
    <n v="0"/>
    <n v="0"/>
  </r>
  <r>
    <x v="3"/>
    <x v="3"/>
    <n v="0"/>
    <n v="0"/>
    <n v="0"/>
    <n v="0"/>
    <n v="0"/>
  </r>
  <r>
    <x v="3"/>
    <x v="4"/>
    <n v="0"/>
    <n v="0"/>
    <n v="0"/>
    <n v="0"/>
    <n v="0"/>
  </r>
  <r>
    <x v="3"/>
    <x v="5"/>
    <n v="0"/>
    <n v="0"/>
    <n v="0"/>
    <n v="0"/>
    <n v="0"/>
  </r>
  <r>
    <x v="3"/>
    <x v="6"/>
    <n v="0"/>
    <n v="0"/>
    <n v="0"/>
    <n v="0"/>
    <n v="0"/>
  </r>
  <r>
    <x v="3"/>
    <x v="7"/>
    <n v="0"/>
    <n v="0"/>
    <n v="0"/>
    <n v="0"/>
    <n v="0"/>
  </r>
  <r>
    <x v="3"/>
    <x v="8"/>
    <n v="0"/>
    <n v="0"/>
    <n v="0"/>
    <n v="0"/>
    <n v="0"/>
  </r>
  <r>
    <x v="3"/>
    <x v="9"/>
    <n v="0"/>
    <n v="0"/>
    <n v="0"/>
    <n v="0"/>
    <n v="0"/>
  </r>
  <r>
    <x v="3"/>
    <x v="10"/>
    <n v="0"/>
    <n v="0"/>
    <n v="0"/>
    <n v="0"/>
    <n v="0"/>
  </r>
  <r>
    <x v="3"/>
    <x v="11"/>
    <n v="0"/>
    <m/>
    <m/>
    <m/>
    <n v="0"/>
  </r>
  <r>
    <x v="3"/>
    <x v="12"/>
    <n v="0"/>
    <n v="0"/>
    <n v="0"/>
    <n v="0"/>
    <n v="0"/>
  </r>
  <r>
    <x v="3"/>
    <x v="13"/>
    <n v="0"/>
    <n v="0"/>
    <n v="0"/>
    <n v="0"/>
    <n v="0"/>
  </r>
  <r>
    <x v="3"/>
    <x v="14"/>
    <n v="0"/>
    <n v="0"/>
    <n v="0"/>
    <n v="0"/>
    <n v="0"/>
  </r>
  <r>
    <x v="3"/>
    <x v="15"/>
    <n v="0"/>
    <n v="0"/>
    <n v="0"/>
    <n v="0"/>
    <n v="0"/>
  </r>
  <r>
    <x v="3"/>
    <x v="16"/>
    <n v="0"/>
    <n v="0"/>
    <n v="0"/>
    <n v="3"/>
    <n v="3"/>
  </r>
  <r>
    <x v="3"/>
    <x v="17"/>
    <n v="0"/>
    <n v="0"/>
    <n v="0"/>
    <n v="0"/>
    <n v="0"/>
  </r>
  <r>
    <x v="3"/>
    <x v="18"/>
    <n v="0"/>
    <n v="0"/>
    <n v="0"/>
    <n v="0"/>
    <n v="0"/>
  </r>
  <r>
    <x v="3"/>
    <x v="19"/>
    <n v="0"/>
    <n v="0"/>
    <n v="0"/>
    <n v="0"/>
    <n v="0"/>
  </r>
  <r>
    <x v="3"/>
    <x v="20"/>
    <n v="0"/>
    <n v="0"/>
    <n v="0"/>
    <n v="0"/>
    <n v="0"/>
  </r>
  <r>
    <x v="3"/>
    <x v="21"/>
    <n v="0"/>
    <n v="0"/>
    <n v="0"/>
    <n v="0"/>
    <n v="0"/>
  </r>
  <r>
    <x v="3"/>
    <x v="22"/>
    <n v="0"/>
    <n v="0"/>
    <n v="0"/>
    <n v="0"/>
    <n v="0"/>
  </r>
  <r>
    <x v="3"/>
    <x v="23"/>
    <n v="0"/>
    <n v="0"/>
    <n v="0"/>
    <n v="0"/>
    <n v="0"/>
  </r>
  <r>
    <x v="3"/>
    <x v="24"/>
    <n v="0"/>
    <n v="0"/>
    <n v="0"/>
    <n v="0"/>
    <n v="0"/>
  </r>
  <r>
    <x v="3"/>
    <x v="25"/>
    <n v="0"/>
    <n v="0"/>
    <n v="0"/>
    <n v="0"/>
    <n v="0"/>
  </r>
  <r>
    <x v="3"/>
    <x v="26"/>
    <n v="0"/>
    <n v="0"/>
    <n v="0"/>
    <n v="0"/>
    <n v="0"/>
  </r>
  <r>
    <x v="3"/>
    <x v="27"/>
    <n v="0"/>
    <n v="0"/>
    <n v="0"/>
    <n v="0"/>
    <n v="0"/>
  </r>
  <r>
    <x v="3"/>
    <x v="28"/>
    <n v="0"/>
    <n v="0"/>
    <n v="0"/>
    <n v="0"/>
    <n v="0"/>
  </r>
  <r>
    <x v="3"/>
    <x v="29"/>
    <n v="0"/>
    <m/>
    <m/>
    <m/>
    <n v="0"/>
  </r>
  <r>
    <x v="3"/>
    <x v="30"/>
    <n v="0"/>
    <m/>
    <m/>
    <m/>
    <n v="0"/>
  </r>
  <r>
    <x v="3"/>
    <x v="31"/>
    <n v="0"/>
    <n v="0"/>
    <n v="0"/>
    <n v="0"/>
    <n v="0"/>
  </r>
  <r>
    <x v="3"/>
    <x v="32"/>
    <n v="0"/>
    <n v="0"/>
    <n v="0"/>
    <n v="0"/>
    <n v="0"/>
  </r>
  <r>
    <x v="3"/>
    <x v="33"/>
    <n v="0"/>
    <n v="0"/>
    <n v="0"/>
    <n v="0"/>
    <n v="0"/>
  </r>
  <r>
    <x v="3"/>
    <x v="34"/>
    <n v="0"/>
    <n v="0"/>
    <n v="0"/>
    <n v="0"/>
    <n v="0"/>
  </r>
  <r>
    <x v="3"/>
    <x v="35"/>
    <n v="0"/>
    <n v="0"/>
    <n v="0"/>
    <n v="0"/>
    <n v="0"/>
  </r>
  <r>
    <x v="3"/>
    <x v="36"/>
    <n v="0"/>
    <n v="0"/>
    <n v="0"/>
    <n v="0"/>
    <n v="0"/>
  </r>
  <r>
    <x v="3"/>
    <x v="37"/>
    <n v="0"/>
    <n v="0"/>
    <n v="0"/>
    <n v="0"/>
    <n v="0"/>
  </r>
  <r>
    <x v="3"/>
    <x v="38"/>
    <n v="0"/>
    <n v="0"/>
    <n v="0"/>
    <n v="0"/>
    <n v="0"/>
  </r>
  <r>
    <x v="3"/>
    <x v="39"/>
    <n v="0"/>
    <n v="0"/>
    <n v="0"/>
    <n v="0"/>
    <n v="0"/>
  </r>
  <r>
    <x v="3"/>
    <x v="40"/>
    <n v="0"/>
    <n v="0"/>
    <n v="0"/>
    <n v="0"/>
    <n v="0"/>
  </r>
  <r>
    <x v="3"/>
    <x v="41"/>
    <n v="0"/>
    <n v="0"/>
    <n v="0"/>
    <n v="0"/>
    <n v="0"/>
  </r>
  <r>
    <x v="3"/>
    <x v="42"/>
    <n v="0"/>
    <n v="0"/>
    <n v="0"/>
    <n v="0"/>
    <n v="0"/>
  </r>
  <r>
    <x v="3"/>
    <x v="43"/>
    <n v="0"/>
    <n v="0"/>
    <n v="0"/>
    <n v="0"/>
    <n v="0"/>
  </r>
  <r>
    <x v="3"/>
    <x v="44"/>
    <n v="0"/>
    <n v="0"/>
    <n v="0"/>
    <n v="0"/>
    <n v="0"/>
  </r>
  <r>
    <x v="3"/>
    <x v="45"/>
    <n v="0"/>
    <n v="0"/>
    <n v="0"/>
    <n v="0"/>
    <n v="0"/>
  </r>
  <r>
    <x v="3"/>
    <x v="46"/>
    <n v="0"/>
    <n v="0"/>
    <n v="0"/>
    <n v="0"/>
    <n v="0"/>
  </r>
  <r>
    <x v="3"/>
    <x v="47"/>
    <n v="0"/>
    <n v="0"/>
    <n v="0"/>
    <n v="0"/>
    <n v="0"/>
  </r>
  <r>
    <x v="3"/>
    <x v="48"/>
    <n v="0"/>
    <n v="0"/>
    <n v="0"/>
    <n v="0"/>
    <n v="0"/>
  </r>
  <r>
    <x v="3"/>
    <x v="49"/>
    <n v="0"/>
    <n v="0"/>
    <n v="0"/>
    <n v="0"/>
    <n v="0"/>
  </r>
  <r>
    <x v="3"/>
    <x v="50"/>
    <n v="0"/>
    <n v="0"/>
    <n v="0"/>
    <n v="0"/>
    <n v="0"/>
  </r>
  <r>
    <x v="3"/>
    <x v="51"/>
    <n v="0"/>
    <n v="0"/>
    <n v="0"/>
    <n v="0"/>
    <n v="0"/>
  </r>
  <r>
    <x v="3"/>
    <x v="52"/>
    <n v="0"/>
    <n v="0"/>
    <n v="0"/>
    <n v="0"/>
    <n v="0"/>
  </r>
  <r>
    <x v="3"/>
    <x v="53"/>
    <n v="0"/>
    <n v="0"/>
    <n v="0"/>
    <n v="0"/>
    <n v="0"/>
  </r>
  <r>
    <x v="3"/>
    <x v="54"/>
    <n v="0"/>
    <n v="0"/>
    <n v="0"/>
    <n v="0"/>
    <n v="0"/>
  </r>
  <r>
    <x v="3"/>
    <x v="55"/>
    <n v="0"/>
    <n v="0"/>
    <n v="0"/>
    <n v="0"/>
    <n v="0"/>
  </r>
  <r>
    <x v="3"/>
    <x v="56"/>
    <n v="0"/>
    <n v="0"/>
    <n v="0"/>
    <n v="0"/>
    <n v="0"/>
  </r>
  <r>
    <x v="3"/>
    <x v="57"/>
    <n v="0"/>
    <n v="0"/>
    <n v="0"/>
    <n v="0"/>
    <n v="0"/>
  </r>
  <r>
    <x v="3"/>
    <x v="58"/>
    <n v="0"/>
    <n v="0"/>
    <n v="0"/>
    <n v="0"/>
    <n v="0"/>
  </r>
  <r>
    <x v="3"/>
    <x v="59"/>
    <n v="0"/>
    <n v="0"/>
    <n v="0"/>
    <n v="0"/>
    <n v="0"/>
  </r>
  <r>
    <x v="3"/>
    <x v="60"/>
    <n v="0"/>
    <n v="0"/>
    <n v="0"/>
    <n v="0"/>
    <n v="0"/>
  </r>
  <r>
    <x v="3"/>
    <x v="61"/>
    <n v="0"/>
    <n v="0"/>
    <n v="0"/>
    <n v="0"/>
    <n v="0"/>
  </r>
  <r>
    <x v="3"/>
    <x v="62"/>
    <n v="0"/>
    <n v="0"/>
    <n v="0"/>
    <n v="0"/>
    <n v="0"/>
  </r>
  <r>
    <x v="3"/>
    <x v="63"/>
    <n v="0"/>
    <n v="0"/>
    <n v="0"/>
    <n v="0"/>
    <n v="0"/>
  </r>
  <r>
    <x v="3"/>
    <x v="64"/>
    <n v="0"/>
    <n v="0"/>
    <n v="0"/>
    <n v="0"/>
    <n v="0"/>
  </r>
  <r>
    <x v="3"/>
    <x v="65"/>
    <n v="0"/>
    <n v="0"/>
    <n v="0"/>
    <n v="0"/>
    <n v="0"/>
  </r>
  <r>
    <x v="3"/>
    <x v="66"/>
    <n v="0"/>
    <n v="0"/>
    <n v="0"/>
    <n v="0"/>
    <n v="0"/>
  </r>
  <r>
    <x v="3"/>
    <x v="67"/>
    <n v="0"/>
    <n v="0"/>
    <n v="0"/>
    <n v="0"/>
    <n v="0"/>
  </r>
  <r>
    <x v="3"/>
    <x v="68"/>
    <n v="0"/>
    <m/>
    <m/>
    <m/>
    <n v="0"/>
  </r>
  <r>
    <x v="3"/>
    <x v="69"/>
    <n v="0"/>
    <m/>
    <m/>
    <m/>
    <n v="0"/>
  </r>
  <r>
    <x v="3"/>
    <x v="70"/>
    <n v="0"/>
    <m/>
    <m/>
    <m/>
    <n v="0"/>
  </r>
  <r>
    <x v="3"/>
    <x v="71"/>
    <n v="0"/>
    <m/>
    <m/>
    <m/>
    <n v="0"/>
  </r>
  <r>
    <x v="3"/>
    <x v="72"/>
    <n v="0"/>
    <m/>
    <m/>
    <m/>
    <n v="0"/>
  </r>
  <r>
    <x v="3"/>
    <x v="73"/>
    <n v="0"/>
    <m/>
    <m/>
    <m/>
    <n v="0"/>
  </r>
  <r>
    <x v="3"/>
    <x v="74"/>
    <n v="0"/>
    <m/>
    <m/>
    <m/>
    <n v="0"/>
  </r>
  <r>
    <x v="3"/>
    <x v="75"/>
    <n v="0"/>
    <m/>
    <m/>
    <m/>
    <n v="0"/>
  </r>
  <r>
    <x v="3"/>
    <x v="76"/>
    <n v="0"/>
    <m/>
    <m/>
    <m/>
    <n v="0"/>
  </r>
  <r>
    <x v="3"/>
    <x v="77"/>
    <n v="0"/>
    <m/>
    <m/>
    <m/>
    <n v="0"/>
  </r>
  <r>
    <x v="3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4"/>
    <x v="0"/>
    <n v="0"/>
    <n v="0"/>
    <n v="0"/>
    <n v="42"/>
    <n v="42"/>
  </r>
  <r>
    <x v="4"/>
    <x v="1"/>
    <n v="0"/>
    <n v="0"/>
    <n v="0"/>
    <n v="0"/>
    <n v="0"/>
  </r>
  <r>
    <x v="4"/>
    <x v="2"/>
    <n v="0"/>
    <n v="0"/>
    <n v="0"/>
    <n v="0"/>
    <n v="0"/>
  </r>
  <r>
    <x v="4"/>
    <x v="3"/>
    <n v="0"/>
    <n v="0"/>
    <n v="0"/>
    <n v="0"/>
    <n v="0"/>
  </r>
  <r>
    <x v="4"/>
    <x v="4"/>
    <n v="0"/>
    <n v="0"/>
    <n v="0"/>
    <n v="0"/>
    <n v="0"/>
  </r>
  <r>
    <x v="4"/>
    <x v="5"/>
    <n v="0"/>
    <n v="0"/>
    <n v="0"/>
    <n v="0"/>
    <n v="0"/>
  </r>
  <r>
    <x v="4"/>
    <x v="6"/>
    <n v="0"/>
    <n v="0"/>
    <n v="0"/>
    <n v="0"/>
    <n v="0"/>
  </r>
  <r>
    <x v="4"/>
    <x v="7"/>
    <n v="0"/>
    <n v="0"/>
    <n v="0"/>
    <n v="0"/>
    <n v="0"/>
  </r>
  <r>
    <x v="4"/>
    <x v="8"/>
    <n v="0"/>
    <n v="0"/>
    <n v="0"/>
    <n v="0"/>
    <n v="0"/>
  </r>
  <r>
    <x v="4"/>
    <x v="9"/>
    <n v="0"/>
    <n v="0"/>
    <n v="0"/>
    <n v="0"/>
    <n v="0"/>
  </r>
  <r>
    <x v="4"/>
    <x v="10"/>
    <n v="0"/>
    <n v="0"/>
    <n v="0"/>
    <n v="0"/>
    <n v="0"/>
  </r>
  <r>
    <x v="4"/>
    <x v="11"/>
    <n v="0"/>
    <m/>
    <m/>
    <m/>
    <n v="0"/>
  </r>
  <r>
    <x v="4"/>
    <x v="12"/>
    <n v="0"/>
    <n v="0"/>
    <n v="0"/>
    <n v="0"/>
    <n v="0"/>
  </r>
  <r>
    <x v="4"/>
    <x v="13"/>
    <n v="0"/>
    <n v="0"/>
    <n v="0"/>
    <n v="0"/>
    <n v="0"/>
  </r>
  <r>
    <x v="4"/>
    <x v="14"/>
    <n v="0"/>
    <n v="0"/>
    <n v="0"/>
    <n v="4"/>
    <n v="4"/>
  </r>
  <r>
    <x v="4"/>
    <x v="15"/>
    <n v="0"/>
    <n v="0"/>
    <n v="0"/>
    <n v="0"/>
    <n v="0"/>
  </r>
  <r>
    <x v="4"/>
    <x v="16"/>
    <n v="0"/>
    <n v="0"/>
    <n v="0"/>
    <n v="0"/>
    <n v="0"/>
  </r>
  <r>
    <x v="4"/>
    <x v="17"/>
    <n v="0"/>
    <n v="0"/>
    <n v="0"/>
    <n v="0"/>
    <n v="0"/>
  </r>
  <r>
    <x v="4"/>
    <x v="18"/>
    <n v="0"/>
    <n v="0"/>
    <n v="0"/>
    <n v="0"/>
    <n v="0"/>
  </r>
  <r>
    <x v="4"/>
    <x v="19"/>
    <n v="0"/>
    <n v="0"/>
    <n v="0"/>
    <n v="0"/>
    <n v="0"/>
  </r>
  <r>
    <x v="4"/>
    <x v="20"/>
    <n v="0"/>
    <n v="0"/>
    <n v="0"/>
    <n v="0"/>
    <n v="0"/>
  </r>
  <r>
    <x v="4"/>
    <x v="21"/>
    <n v="0"/>
    <n v="0"/>
    <n v="0"/>
    <n v="0"/>
    <n v="0"/>
  </r>
  <r>
    <x v="4"/>
    <x v="22"/>
    <n v="0"/>
    <n v="0"/>
    <n v="0"/>
    <n v="0"/>
    <n v="0"/>
  </r>
  <r>
    <x v="4"/>
    <x v="23"/>
    <n v="0"/>
    <n v="0"/>
    <n v="0"/>
    <n v="0"/>
    <n v="0"/>
  </r>
  <r>
    <x v="4"/>
    <x v="24"/>
    <n v="0"/>
    <n v="0"/>
    <n v="0"/>
    <n v="0"/>
    <n v="0"/>
  </r>
  <r>
    <x v="4"/>
    <x v="25"/>
    <n v="0"/>
    <n v="0"/>
    <n v="0"/>
    <n v="0"/>
    <n v="0"/>
  </r>
  <r>
    <x v="4"/>
    <x v="26"/>
    <n v="0"/>
    <n v="0"/>
    <n v="0"/>
    <n v="0"/>
    <n v="0"/>
  </r>
  <r>
    <x v="4"/>
    <x v="27"/>
    <n v="0"/>
    <n v="0"/>
    <n v="0"/>
    <n v="0"/>
    <n v="0"/>
  </r>
  <r>
    <x v="4"/>
    <x v="28"/>
    <n v="0"/>
    <n v="0"/>
    <n v="0"/>
    <n v="0"/>
    <n v="0"/>
  </r>
  <r>
    <x v="4"/>
    <x v="29"/>
    <n v="0"/>
    <m/>
    <m/>
    <m/>
    <n v="0"/>
  </r>
  <r>
    <x v="4"/>
    <x v="30"/>
    <n v="0"/>
    <m/>
    <m/>
    <m/>
    <n v="0"/>
  </r>
  <r>
    <x v="4"/>
    <x v="31"/>
    <n v="0"/>
    <n v="0"/>
    <n v="0"/>
    <n v="0"/>
    <n v="0"/>
  </r>
  <r>
    <x v="4"/>
    <x v="32"/>
    <n v="0"/>
    <n v="0"/>
    <n v="0"/>
    <n v="0"/>
    <n v="0"/>
  </r>
  <r>
    <x v="4"/>
    <x v="33"/>
    <n v="0"/>
    <n v="0"/>
    <n v="0"/>
    <n v="0"/>
    <n v="0"/>
  </r>
  <r>
    <x v="4"/>
    <x v="34"/>
    <n v="0"/>
    <n v="0"/>
    <n v="0"/>
    <n v="0"/>
    <n v="0"/>
  </r>
  <r>
    <x v="4"/>
    <x v="35"/>
    <n v="0"/>
    <n v="0"/>
    <n v="0"/>
    <n v="0"/>
    <n v="0"/>
  </r>
  <r>
    <x v="4"/>
    <x v="36"/>
    <n v="0"/>
    <n v="0"/>
    <n v="0"/>
    <n v="0"/>
    <n v="0"/>
  </r>
  <r>
    <x v="4"/>
    <x v="37"/>
    <n v="0"/>
    <n v="0"/>
    <n v="0"/>
    <n v="0"/>
    <n v="0"/>
  </r>
  <r>
    <x v="4"/>
    <x v="38"/>
    <n v="0"/>
    <n v="0"/>
    <n v="0"/>
    <n v="0"/>
    <n v="0"/>
  </r>
  <r>
    <x v="4"/>
    <x v="39"/>
    <n v="0"/>
    <n v="0"/>
    <n v="0"/>
    <n v="0"/>
    <n v="0"/>
  </r>
  <r>
    <x v="4"/>
    <x v="40"/>
    <n v="0"/>
    <n v="0"/>
    <n v="0"/>
    <n v="0"/>
    <n v="0"/>
  </r>
  <r>
    <x v="4"/>
    <x v="41"/>
    <n v="0"/>
    <n v="0"/>
    <n v="0"/>
    <n v="0"/>
    <n v="0"/>
  </r>
  <r>
    <x v="4"/>
    <x v="42"/>
    <n v="0"/>
    <n v="0"/>
    <n v="0"/>
    <n v="0"/>
    <n v="0"/>
  </r>
  <r>
    <x v="4"/>
    <x v="43"/>
    <n v="0"/>
    <n v="0"/>
    <n v="0"/>
    <n v="0"/>
    <n v="0"/>
  </r>
  <r>
    <x v="4"/>
    <x v="44"/>
    <n v="0"/>
    <n v="0"/>
    <n v="0"/>
    <n v="0"/>
    <n v="0"/>
  </r>
  <r>
    <x v="4"/>
    <x v="45"/>
    <n v="0"/>
    <n v="0"/>
    <n v="0"/>
    <n v="0"/>
    <n v="0"/>
  </r>
  <r>
    <x v="4"/>
    <x v="46"/>
    <n v="0"/>
    <n v="0"/>
    <n v="0"/>
    <n v="0"/>
    <n v="0"/>
  </r>
  <r>
    <x v="4"/>
    <x v="47"/>
    <n v="0"/>
    <n v="0"/>
    <n v="0"/>
    <n v="0"/>
    <n v="0"/>
  </r>
  <r>
    <x v="4"/>
    <x v="48"/>
    <n v="0"/>
    <n v="0"/>
    <n v="0"/>
    <n v="0"/>
    <n v="0"/>
  </r>
  <r>
    <x v="4"/>
    <x v="49"/>
    <n v="0"/>
    <n v="0"/>
    <n v="0"/>
    <n v="0"/>
    <n v="0"/>
  </r>
  <r>
    <x v="4"/>
    <x v="50"/>
    <n v="0"/>
    <n v="0"/>
    <n v="0"/>
    <n v="0"/>
    <n v="0"/>
  </r>
  <r>
    <x v="4"/>
    <x v="51"/>
    <n v="0"/>
    <n v="0"/>
    <n v="0"/>
    <n v="0"/>
    <n v="0"/>
  </r>
  <r>
    <x v="4"/>
    <x v="52"/>
    <n v="0"/>
    <n v="0"/>
    <n v="0"/>
    <n v="0"/>
    <n v="0"/>
  </r>
  <r>
    <x v="4"/>
    <x v="53"/>
    <n v="0"/>
    <n v="0"/>
    <n v="0"/>
    <n v="0"/>
    <n v="0"/>
  </r>
  <r>
    <x v="4"/>
    <x v="54"/>
    <n v="0"/>
    <n v="0"/>
    <n v="0"/>
    <n v="0"/>
    <n v="0"/>
  </r>
  <r>
    <x v="4"/>
    <x v="55"/>
    <n v="0"/>
    <n v="0"/>
    <n v="0"/>
    <n v="0"/>
    <n v="0"/>
  </r>
  <r>
    <x v="4"/>
    <x v="56"/>
    <n v="0"/>
    <n v="0"/>
    <n v="0"/>
    <n v="0"/>
    <n v="0"/>
  </r>
  <r>
    <x v="4"/>
    <x v="57"/>
    <n v="0"/>
    <n v="0"/>
    <n v="0"/>
    <n v="0"/>
    <n v="0"/>
  </r>
  <r>
    <x v="4"/>
    <x v="58"/>
    <n v="0"/>
    <n v="0"/>
    <n v="0"/>
    <n v="0"/>
    <n v="0"/>
  </r>
  <r>
    <x v="4"/>
    <x v="59"/>
    <n v="0"/>
    <n v="0"/>
    <n v="0"/>
    <n v="0"/>
    <n v="0"/>
  </r>
  <r>
    <x v="4"/>
    <x v="60"/>
    <n v="0"/>
    <n v="0"/>
    <n v="0"/>
    <n v="0"/>
    <n v="0"/>
  </r>
  <r>
    <x v="4"/>
    <x v="61"/>
    <n v="0"/>
    <n v="0"/>
    <n v="0"/>
    <n v="0"/>
    <n v="0"/>
  </r>
  <r>
    <x v="4"/>
    <x v="62"/>
    <n v="0"/>
    <n v="0"/>
    <n v="0"/>
    <n v="0"/>
    <n v="0"/>
  </r>
  <r>
    <x v="4"/>
    <x v="63"/>
    <n v="0"/>
    <n v="0"/>
    <n v="0"/>
    <n v="0"/>
    <n v="0"/>
  </r>
  <r>
    <x v="4"/>
    <x v="64"/>
    <n v="0"/>
    <n v="0"/>
    <n v="0"/>
    <n v="0"/>
    <n v="0"/>
  </r>
  <r>
    <x v="4"/>
    <x v="65"/>
    <n v="0"/>
    <n v="0"/>
    <n v="0"/>
    <n v="0"/>
    <n v="0"/>
  </r>
  <r>
    <x v="4"/>
    <x v="66"/>
    <n v="0"/>
    <n v="0"/>
    <n v="0"/>
    <n v="0"/>
    <n v="0"/>
  </r>
  <r>
    <x v="4"/>
    <x v="67"/>
    <n v="0"/>
    <n v="0"/>
    <n v="0"/>
    <n v="0"/>
    <n v="0"/>
  </r>
  <r>
    <x v="4"/>
    <x v="68"/>
    <n v="0"/>
    <m/>
    <m/>
    <m/>
    <n v="0"/>
  </r>
  <r>
    <x v="4"/>
    <x v="69"/>
    <n v="0"/>
    <m/>
    <m/>
    <m/>
    <n v="0"/>
  </r>
  <r>
    <x v="4"/>
    <x v="70"/>
    <n v="0"/>
    <m/>
    <m/>
    <m/>
    <n v="0"/>
  </r>
  <r>
    <x v="4"/>
    <x v="71"/>
    <n v="0"/>
    <m/>
    <m/>
    <m/>
    <n v="0"/>
  </r>
  <r>
    <x v="4"/>
    <x v="72"/>
    <n v="0"/>
    <m/>
    <m/>
    <m/>
    <n v="0"/>
  </r>
  <r>
    <x v="4"/>
    <x v="73"/>
    <n v="0"/>
    <m/>
    <m/>
    <m/>
    <n v="0"/>
  </r>
  <r>
    <x v="4"/>
    <x v="74"/>
    <n v="0"/>
    <m/>
    <m/>
    <m/>
    <n v="0"/>
  </r>
  <r>
    <x v="4"/>
    <x v="75"/>
    <n v="0"/>
    <m/>
    <m/>
    <m/>
    <n v="0"/>
  </r>
  <r>
    <x v="4"/>
    <x v="76"/>
    <n v="0"/>
    <m/>
    <m/>
    <m/>
    <n v="0"/>
  </r>
  <r>
    <x v="4"/>
    <x v="77"/>
    <n v="0"/>
    <m/>
    <m/>
    <m/>
    <n v="0"/>
  </r>
  <r>
    <x v="4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5"/>
    <x v="0"/>
    <n v="6"/>
    <n v="0"/>
    <n v="0"/>
    <n v="0"/>
    <n v="6"/>
  </r>
  <r>
    <x v="5"/>
    <x v="1"/>
    <n v="0"/>
    <n v="0"/>
    <n v="0"/>
    <n v="0"/>
    <n v="0"/>
  </r>
  <r>
    <x v="5"/>
    <x v="2"/>
    <n v="0"/>
    <n v="0"/>
    <n v="0"/>
    <n v="0"/>
    <n v="0"/>
  </r>
  <r>
    <x v="5"/>
    <x v="3"/>
    <n v="0"/>
    <n v="0"/>
    <n v="0"/>
    <n v="0"/>
    <n v="0"/>
  </r>
  <r>
    <x v="5"/>
    <x v="4"/>
    <n v="0"/>
    <n v="0"/>
    <n v="0"/>
    <n v="0"/>
    <n v="0"/>
  </r>
  <r>
    <x v="5"/>
    <x v="5"/>
    <n v="6"/>
    <n v="0"/>
    <n v="0"/>
    <n v="0"/>
    <n v="6"/>
  </r>
  <r>
    <x v="5"/>
    <x v="6"/>
    <n v="0"/>
    <n v="0"/>
    <n v="0"/>
    <n v="0"/>
    <n v="0"/>
  </r>
  <r>
    <x v="5"/>
    <x v="7"/>
    <n v="0"/>
    <n v="0"/>
    <n v="0"/>
    <n v="0"/>
    <n v="0"/>
  </r>
  <r>
    <x v="5"/>
    <x v="8"/>
    <n v="0"/>
    <n v="0"/>
    <n v="0"/>
    <n v="0"/>
    <n v="0"/>
  </r>
  <r>
    <x v="5"/>
    <x v="9"/>
    <n v="0"/>
    <n v="0"/>
    <n v="0"/>
    <n v="0"/>
    <n v="0"/>
  </r>
  <r>
    <x v="5"/>
    <x v="10"/>
    <n v="0"/>
    <n v="0"/>
    <n v="0"/>
    <n v="0"/>
    <n v="0"/>
  </r>
  <r>
    <x v="5"/>
    <x v="11"/>
    <n v="0"/>
    <m/>
    <m/>
    <m/>
    <n v="0"/>
  </r>
  <r>
    <x v="5"/>
    <x v="12"/>
    <n v="0"/>
    <n v="0"/>
    <n v="0"/>
    <n v="1"/>
    <n v="1"/>
  </r>
  <r>
    <x v="5"/>
    <x v="13"/>
    <n v="3"/>
    <n v="0"/>
    <n v="0"/>
    <n v="1"/>
    <n v="4"/>
  </r>
  <r>
    <x v="5"/>
    <x v="14"/>
    <n v="0"/>
    <n v="0"/>
    <n v="0"/>
    <n v="0"/>
    <n v="0"/>
  </r>
  <r>
    <x v="5"/>
    <x v="15"/>
    <n v="0"/>
    <n v="0"/>
    <n v="0"/>
    <n v="0"/>
    <n v="0"/>
  </r>
  <r>
    <x v="5"/>
    <x v="16"/>
    <n v="0"/>
    <n v="0"/>
    <n v="0"/>
    <n v="0"/>
    <n v="0"/>
  </r>
  <r>
    <x v="5"/>
    <x v="17"/>
    <n v="1"/>
    <n v="0"/>
    <n v="0"/>
    <n v="0"/>
    <n v="1"/>
  </r>
  <r>
    <x v="5"/>
    <x v="18"/>
    <n v="0"/>
    <n v="0"/>
    <n v="0"/>
    <n v="0"/>
    <n v="0"/>
  </r>
  <r>
    <x v="5"/>
    <x v="19"/>
    <n v="0"/>
    <n v="0"/>
    <n v="0"/>
    <n v="0"/>
    <n v="0"/>
  </r>
  <r>
    <x v="5"/>
    <x v="20"/>
    <n v="0"/>
    <n v="0"/>
    <n v="0"/>
    <n v="0"/>
    <n v="0"/>
  </r>
  <r>
    <x v="5"/>
    <x v="21"/>
    <n v="0"/>
    <n v="0"/>
    <n v="0"/>
    <n v="0"/>
    <n v="0"/>
  </r>
  <r>
    <x v="5"/>
    <x v="22"/>
    <n v="0"/>
    <n v="0"/>
    <n v="0"/>
    <n v="0"/>
    <n v="0"/>
  </r>
  <r>
    <x v="5"/>
    <x v="23"/>
    <n v="0"/>
    <n v="0"/>
    <n v="0"/>
    <n v="0"/>
    <n v="0"/>
  </r>
  <r>
    <x v="5"/>
    <x v="24"/>
    <n v="0"/>
    <n v="0"/>
    <n v="0"/>
    <n v="0"/>
    <n v="0"/>
  </r>
  <r>
    <x v="5"/>
    <x v="25"/>
    <n v="0"/>
    <n v="0"/>
    <n v="0"/>
    <n v="0"/>
    <n v="0"/>
  </r>
  <r>
    <x v="5"/>
    <x v="26"/>
    <n v="0"/>
    <n v="0"/>
    <n v="0"/>
    <n v="0"/>
    <n v="0"/>
  </r>
  <r>
    <x v="5"/>
    <x v="27"/>
    <n v="0"/>
    <n v="0"/>
    <n v="0"/>
    <n v="0"/>
    <n v="0"/>
  </r>
  <r>
    <x v="5"/>
    <x v="28"/>
    <n v="0"/>
    <n v="0"/>
    <n v="0"/>
    <n v="0"/>
    <n v="0"/>
  </r>
  <r>
    <x v="5"/>
    <x v="29"/>
    <n v="0"/>
    <m/>
    <m/>
    <m/>
    <n v="0"/>
  </r>
  <r>
    <x v="5"/>
    <x v="30"/>
    <n v="0"/>
    <m/>
    <m/>
    <m/>
    <n v="0"/>
  </r>
  <r>
    <x v="5"/>
    <x v="31"/>
    <n v="0"/>
    <n v="0"/>
    <n v="0"/>
    <n v="0"/>
    <n v="0"/>
  </r>
  <r>
    <x v="5"/>
    <x v="32"/>
    <n v="0"/>
    <n v="0"/>
    <n v="0"/>
    <n v="0"/>
    <n v="0"/>
  </r>
  <r>
    <x v="5"/>
    <x v="33"/>
    <n v="0"/>
    <n v="0"/>
    <n v="0"/>
    <n v="0"/>
    <n v="0"/>
  </r>
  <r>
    <x v="5"/>
    <x v="34"/>
    <n v="0"/>
    <n v="0"/>
    <n v="0"/>
    <n v="0"/>
    <n v="0"/>
  </r>
  <r>
    <x v="5"/>
    <x v="35"/>
    <n v="0"/>
    <n v="0"/>
    <n v="0"/>
    <n v="0"/>
    <n v="0"/>
  </r>
  <r>
    <x v="5"/>
    <x v="36"/>
    <n v="0"/>
    <n v="0"/>
    <n v="0"/>
    <n v="0"/>
    <n v="0"/>
  </r>
  <r>
    <x v="5"/>
    <x v="37"/>
    <n v="0"/>
    <n v="0"/>
    <n v="0"/>
    <n v="0"/>
    <n v="0"/>
  </r>
  <r>
    <x v="5"/>
    <x v="38"/>
    <n v="0"/>
    <n v="0"/>
    <n v="0"/>
    <n v="0"/>
    <n v="0"/>
  </r>
  <r>
    <x v="5"/>
    <x v="39"/>
    <n v="0"/>
    <n v="0"/>
    <n v="0"/>
    <n v="0"/>
    <n v="0"/>
  </r>
  <r>
    <x v="5"/>
    <x v="40"/>
    <n v="0"/>
    <n v="0"/>
    <n v="0"/>
    <n v="0"/>
    <n v="0"/>
  </r>
  <r>
    <x v="5"/>
    <x v="41"/>
    <n v="0"/>
    <n v="0"/>
    <n v="0"/>
    <n v="0"/>
    <n v="0"/>
  </r>
  <r>
    <x v="5"/>
    <x v="42"/>
    <n v="0"/>
    <n v="0"/>
    <n v="0"/>
    <n v="0"/>
    <n v="0"/>
  </r>
  <r>
    <x v="5"/>
    <x v="43"/>
    <n v="0"/>
    <n v="0"/>
    <n v="0"/>
    <n v="0"/>
    <n v="0"/>
  </r>
  <r>
    <x v="5"/>
    <x v="44"/>
    <n v="0"/>
    <n v="0"/>
    <n v="0"/>
    <n v="0"/>
    <n v="0"/>
  </r>
  <r>
    <x v="5"/>
    <x v="45"/>
    <n v="0"/>
    <n v="0"/>
    <n v="0"/>
    <n v="0"/>
    <n v="0"/>
  </r>
  <r>
    <x v="5"/>
    <x v="46"/>
    <n v="0"/>
    <n v="0"/>
    <n v="0"/>
    <n v="0"/>
    <n v="0"/>
  </r>
  <r>
    <x v="5"/>
    <x v="47"/>
    <n v="0"/>
    <n v="0"/>
    <n v="0"/>
    <n v="0"/>
    <n v="0"/>
  </r>
  <r>
    <x v="5"/>
    <x v="48"/>
    <n v="0"/>
    <n v="0"/>
    <n v="0"/>
    <n v="0"/>
    <n v="0"/>
  </r>
  <r>
    <x v="5"/>
    <x v="49"/>
    <n v="0"/>
    <n v="0"/>
    <n v="0"/>
    <n v="0"/>
    <n v="0"/>
  </r>
  <r>
    <x v="5"/>
    <x v="50"/>
    <n v="0"/>
    <n v="0"/>
    <n v="0"/>
    <n v="0"/>
    <n v="0"/>
  </r>
  <r>
    <x v="5"/>
    <x v="51"/>
    <n v="0"/>
    <n v="0"/>
    <n v="0"/>
    <n v="0"/>
    <n v="0"/>
  </r>
  <r>
    <x v="5"/>
    <x v="52"/>
    <n v="0"/>
    <n v="0"/>
    <n v="0"/>
    <n v="0"/>
    <n v="0"/>
  </r>
  <r>
    <x v="5"/>
    <x v="53"/>
    <n v="0"/>
    <n v="0"/>
    <n v="0"/>
    <n v="0"/>
    <n v="0"/>
  </r>
  <r>
    <x v="5"/>
    <x v="54"/>
    <n v="0"/>
    <n v="0"/>
    <n v="0"/>
    <n v="0"/>
    <n v="0"/>
  </r>
  <r>
    <x v="5"/>
    <x v="55"/>
    <n v="0"/>
    <n v="0"/>
    <n v="0"/>
    <n v="0"/>
    <n v="0"/>
  </r>
  <r>
    <x v="5"/>
    <x v="56"/>
    <n v="0"/>
    <n v="0"/>
    <n v="0"/>
    <n v="0"/>
    <n v="0"/>
  </r>
  <r>
    <x v="5"/>
    <x v="57"/>
    <n v="0"/>
    <n v="0"/>
    <n v="0"/>
    <n v="0"/>
    <n v="0"/>
  </r>
  <r>
    <x v="5"/>
    <x v="58"/>
    <n v="0"/>
    <n v="0"/>
    <n v="0"/>
    <n v="0"/>
    <n v="0"/>
  </r>
  <r>
    <x v="5"/>
    <x v="59"/>
    <n v="0"/>
    <n v="0"/>
    <n v="0"/>
    <n v="0"/>
    <n v="0"/>
  </r>
  <r>
    <x v="5"/>
    <x v="60"/>
    <n v="0"/>
    <n v="0"/>
    <n v="0"/>
    <n v="0"/>
    <n v="0"/>
  </r>
  <r>
    <x v="5"/>
    <x v="61"/>
    <n v="0"/>
    <n v="0"/>
    <n v="0"/>
    <n v="0"/>
    <n v="0"/>
  </r>
  <r>
    <x v="5"/>
    <x v="62"/>
    <n v="0"/>
    <n v="0"/>
    <n v="0"/>
    <n v="0"/>
    <n v="0"/>
  </r>
  <r>
    <x v="5"/>
    <x v="63"/>
    <n v="0"/>
    <n v="0"/>
    <n v="0"/>
    <n v="0"/>
    <n v="0"/>
  </r>
  <r>
    <x v="5"/>
    <x v="64"/>
    <n v="0"/>
    <n v="0"/>
    <n v="0"/>
    <n v="0"/>
    <n v="0"/>
  </r>
  <r>
    <x v="5"/>
    <x v="65"/>
    <n v="0"/>
    <n v="0"/>
    <n v="0"/>
    <n v="0"/>
    <n v="0"/>
  </r>
  <r>
    <x v="5"/>
    <x v="66"/>
    <n v="0"/>
    <n v="0"/>
    <n v="0"/>
    <n v="0"/>
    <n v="0"/>
  </r>
  <r>
    <x v="5"/>
    <x v="67"/>
    <n v="0"/>
    <n v="0"/>
    <n v="0"/>
    <n v="0"/>
    <n v="0"/>
  </r>
  <r>
    <x v="5"/>
    <x v="68"/>
    <n v="0"/>
    <m/>
    <m/>
    <m/>
    <n v="0"/>
  </r>
  <r>
    <x v="5"/>
    <x v="69"/>
    <n v="0"/>
    <m/>
    <m/>
    <m/>
    <n v="0"/>
  </r>
  <r>
    <x v="5"/>
    <x v="70"/>
    <n v="0"/>
    <m/>
    <m/>
    <m/>
    <n v="0"/>
  </r>
  <r>
    <x v="5"/>
    <x v="71"/>
    <n v="0"/>
    <m/>
    <m/>
    <m/>
    <n v="0"/>
  </r>
  <r>
    <x v="5"/>
    <x v="72"/>
    <n v="0"/>
    <m/>
    <m/>
    <m/>
    <n v="0"/>
  </r>
  <r>
    <x v="5"/>
    <x v="73"/>
    <n v="0"/>
    <m/>
    <m/>
    <m/>
    <n v="0"/>
  </r>
  <r>
    <x v="5"/>
    <x v="74"/>
    <n v="0"/>
    <m/>
    <m/>
    <m/>
    <n v="0"/>
  </r>
  <r>
    <x v="5"/>
    <x v="75"/>
    <n v="0"/>
    <m/>
    <m/>
    <m/>
    <n v="0"/>
  </r>
  <r>
    <x v="5"/>
    <x v="76"/>
    <n v="0"/>
    <m/>
    <m/>
    <m/>
    <n v="0"/>
  </r>
  <r>
    <x v="5"/>
    <x v="77"/>
    <n v="0"/>
    <m/>
    <m/>
    <m/>
    <n v="0"/>
  </r>
  <r>
    <x v="5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6"/>
    <x v="0"/>
    <n v="0"/>
    <n v="0"/>
    <n v="0"/>
    <n v="0"/>
    <n v="0"/>
  </r>
  <r>
    <x v="6"/>
    <x v="1"/>
    <n v="0"/>
    <n v="0"/>
    <n v="0"/>
    <n v="0"/>
    <n v="0"/>
  </r>
  <r>
    <x v="6"/>
    <x v="2"/>
    <n v="0"/>
    <n v="0"/>
    <n v="0"/>
    <n v="0"/>
    <n v="0"/>
  </r>
  <r>
    <x v="6"/>
    <x v="3"/>
    <n v="0"/>
    <n v="0"/>
    <n v="0"/>
    <n v="0"/>
    <n v="0"/>
  </r>
  <r>
    <x v="6"/>
    <x v="4"/>
    <n v="0"/>
    <n v="0"/>
    <n v="0"/>
    <n v="0"/>
    <n v="0"/>
  </r>
  <r>
    <x v="6"/>
    <x v="5"/>
    <n v="0"/>
    <n v="0"/>
    <n v="0"/>
    <n v="0"/>
    <n v="0"/>
  </r>
  <r>
    <x v="6"/>
    <x v="6"/>
    <n v="0"/>
    <n v="0"/>
    <n v="0"/>
    <n v="0"/>
    <n v="0"/>
  </r>
  <r>
    <x v="6"/>
    <x v="7"/>
    <n v="0"/>
    <n v="0"/>
    <n v="0"/>
    <n v="0"/>
    <n v="0"/>
  </r>
  <r>
    <x v="6"/>
    <x v="8"/>
    <n v="0"/>
    <n v="0"/>
    <n v="0"/>
    <n v="0"/>
    <n v="0"/>
  </r>
  <r>
    <x v="6"/>
    <x v="9"/>
    <n v="0"/>
    <n v="0"/>
    <n v="0"/>
    <n v="0"/>
    <n v="0"/>
  </r>
  <r>
    <x v="6"/>
    <x v="10"/>
    <n v="0"/>
    <n v="0"/>
    <n v="0"/>
    <n v="0"/>
    <n v="0"/>
  </r>
  <r>
    <x v="6"/>
    <x v="11"/>
    <n v="0"/>
    <m/>
    <m/>
    <m/>
    <n v="0"/>
  </r>
  <r>
    <x v="6"/>
    <x v="12"/>
    <n v="0"/>
    <n v="0"/>
    <n v="0"/>
    <n v="0"/>
    <n v="0"/>
  </r>
  <r>
    <x v="6"/>
    <x v="13"/>
    <n v="0"/>
    <n v="0"/>
    <n v="0"/>
    <n v="0"/>
    <n v="0"/>
  </r>
  <r>
    <x v="6"/>
    <x v="14"/>
    <n v="0"/>
    <n v="0"/>
    <n v="0"/>
    <n v="0"/>
    <n v="0"/>
  </r>
  <r>
    <x v="6"/>
    <x v="15"/>
    <n v="0"/>
    <n v="0"/>
    <n v="0"/>
    <n v="0"/>
    <n v="0"/>
  </r>
  <r>
    <x v="6"/>
    <x v="16"/>
    <n v="0"/>
    <n v="0"/>
    <n v="0"/>
    <n v="0"/>
    <n v="0"/>
  </r>
  <r>
    <x v="6"/>
    <x v="17"/>
    <n v="0"/>
    <n v="0"/>
    <n v="0"/>
    <n v="0"/>
    <n v="0"/>
  </r>
  <r>
    <x v="6"/>
    <x v="18"/>
    <n v="0"/>
    <n v="0"/>
    <n v="0"/>
    <n v="0"/>
    <n v="0"/>
  </r>
  <r>
    <x v="6"/>
    <x v="19"/>
    <n v="0"/>
    <n v="0"/>
    <n v="0"/>
    <n v="0"/>
    <n v="0"/>
  </r>
  <r>
    <x v="6"/>
    <x v="20"/>
    <n v="0"/>
    <n v="0"/>
    <n v="0"/>
    <n v="0"/>
    <n v="0"/>
  </r>
  <r>
    <x v="6"/>
    <x v="21"/>
    <n v="0"/>
    <n v="0"/>
    <n v="0"/>
    <n v="0"/>
    <n v="0"/>
  </r>
  <r>
    <x v="6"/>
    <x v="22"/>
    <n v="0"/>
    <n v="0"/>
    <n v="0"/>
    <n v="0"/>
    <n v="0"/>
  </r>
  <r>
    <x v="6"/>
    <x v="23"/>
    <n v="0"/>
    <n v="0"/>
    <n v="0"/>
    <n v="0"/>
    <n v="0"/>
  </r>
  <r>
    <x v="6"/>
    <x v="24"/>
    <n v="0"/>
    <n v="0"/>
    <n v="0"/>
    <n v="0"/>
    <n v="0"/>
  </r>
  <r>
    <x v="6"/>
    <x v="25"/>
    <n v="0"/>
    <n v="0"/>
    <n v="0"/>
    <n v="0"/>
    <n v="0"/>
  </r>
  <r>
    <x v="6"/>
    <x v="26"/>
    <n v="0"/>
    <n v="0"/>
    <n v="0"/>
    <n v="0"/>
    <n v="0"/>
  </r>
  <r>
    <x v="6"/>
    <x v="27"/>
    <n v="0"/>
    <n v="0"/>
    <n v="0"/>
    <n v="0"/>
    <n v="0"/>
  </r>
  <r>
    <x v="6"/>
    <x v="28"/>
    <n v="0"/>
    <n v="0"/>
    <n v="0"/>
    <n v="0"/>
    <n v="0"/>
  </r>
  <r>
    <x v="6"/>
    <x v="29"/>
    <n v="0"/>
    <m/>
    <m/>
    <m/>
    <n v="0"/>
  </r>
  <r>
    <x v="6"/>
    <x v="30"/>
    <n v="0"/>
    <m/>
    <m/>
    <m/>
    <n v="0"/>
  </r>
  <r>
    <x v="6"/>
    <x v="31"/>
    <n v="0"/>
    <n v="0"/>
    <n v="0"/>
    <n v="0"/>
    <n v="0"/>
  </r>
  <r>
    <x v="6"/>
    <x v="32"/>
    <n v="0"/>
    <n v="0"/>
    <n v="0"/>
    <n v="0"/>
    <n v="0"/>
  </r>
  <r>
    <x v="6"/>
    <x v="33"/>
    <n v="0"/>
    <n v="0"/>
    <n v="0"/>
    <n v="0"/>
    <n v="0"/>
  </r>
  <r>
    <x v="6"/>
    <x v="34"/>
    <n v="0"/>
    <n v="0"/>
    <n v="0"/>
    <n v="0"/>
    <n v="0"/>
  </r>
  <r>
    <x v="6"/>
    <x v="35"/>
    <n v="0"/>
    <n v="0"/>
    <n v="0"/>
    <n v="0"/>
    <n v="0"/>
  </r>
  <r>
    <x v="6"/>
    <x v="36"/>
    <n v="0"/>
    <n v="0"/>
    <n v="0"/>
    <n v="0"/>
    <n v="0"/>
  </r>
  <r>
    <x v="6"/>
    <x v="37"/>
    <n v="0"/>
    <n v="0"/>
    <n v="0"/>
    <n v="0"/>
    <n v="0"/>
  </r>
  <r>
    <x v="6"/>
    <x v="38"/>
    <n v="0"/>
    <n v="0"/>
    <n v="0"/>
    <n v="0"/>
    <n v="0"/>
  </r>
  <r>
    <x v="6"/>
    <x v="39"/>
    <n v="0"/>
    <n v="0"/>
    <n v="0"/>
    <n v="0"/>
    <n v="0"/>
  </r>
  <r>
    <x v="6"/>
    <x v="40"/>
    <n v="0"/>
    <n v="0"/>
    <n v="0"/>
    <n v="0"/>
    <n v="0"/>
  </r>
  <r>
    <x v="6"/>
    <x v="41"/>
    <n v="0"/>
    <n v="0"/>
    <n v="0"/>
    <n v="0"/>
    <n v="0"/>
  </r>
  <r>
    <x v="6"/>
    <x v="42"/>
    <n v="0"/>
    <n v="0"/>
    <n v="0"/>
    <n v="0"/>
    <n v="0"/>
  </r>
  <r>
    <x v="6"/>
    <x v="43"/>
    <n v="0"/>
    <n v="0"/>
    <n v="0"/>
    <n v="0"/>
    <n v="0"/>
  </r>
  <r>
    <x v="6"/>
    <x v="44"/>
    <n v="0"/>
    <n v="0"/>
    <n v="0"/>
    <n v="0"/>
    <n v="0"/>
  </r>
  <r>
    <x v="6"/>
    <x v="45"/>
    <n v="0"/>
    <n v="0"/>
    <n v="0"/>
    <n v="0"/>
    <n v="0"/>
  </r>
  <r>
    <x v="6"/>
    <x v="46"/>
    <n v="0"/>
    <n v="0"/>
    <n v="0"/>
    <n v="0"/>
    <n v="0"/>
  </r>
  <r>
    <x v="6"/>
    <x v="47"/>
    <n v="0"/>
    <n v="0"/>
    <n v="0"/>
    <n v="0"/>
    <n v="0"/>
  </r>
  <r>
    <x v="6"/>
    <x v="48"/>
    <n v="0"/>
    <n v="0"/>
    <n v="0"/>
    <n v="0"/>
    <n v="0"/>
  </r>
  <r>
    <x v="6"/>
    <x v="49"/>
    <n v="0"/>
    <n v="0"/>
    <n v="0"/>
    <n v="0"/>
    <n v="0"/>
  </r>
  <r>
    <x v="6"/>
    <x v="50"/>
    <n v="0"/>
    <n v="0"/>
    <n v="0"/>
    <n v="0"/>
    <n v="0"/>
  </r>
  <r>
    <x v="6"/>
    <x v="51"/>
    <n v="0"/>
    <n v="0"/>
    <n v="0"/>
    <n v="0"/>
    <n v="0"/>
  </r>
  <r>
    <x v="6"/>
    <x v="52"/>
    <n v="0"/>
    <n v="0"/>
    <n v="0"/>
    <n v="0"/>
    <n v="0"/>
  </r>
  <r>
    <x v="6"/>
    <x v="53"/>
    <n v="0"/>
    <n v="0"/>
    <n v="0"/>
    <n v="0"/>
    <n v="0"/>
  </r>
  <r>
    <x v="6"/>
    <x v="54"/>
    <n v="0"/>
    <n v="0"/>
    <n v="0"/>
    <n v="0"/>
    <n v="0"/>
  </r>
  <r>
    <x v="6"/>
    <x v="55"/>
    <n v="0"/>
    <n v="0"/>
    <n v="0"/>
    <n v="0"/>
    <n v="0"/>
  </r>
  <r>
    <x v="6"/>
    <x v="56"/>
    <n v="0"/>
    <n v="0"/>
    <n v="0"/>
    <n v="1"/>
    <n v="1"/>
  </r>
  <r>
    <x v="6"/>
    <x v="57"/>
    <n v="0"/>
    <n v="0"/>
    <n v="0"/>
    <n v="0"/>
    <n v="0"/>
  </r>
  <r>
    <x v="6"/>
    <x v="58"/>
    <n v="0"/>
    <n v="0"/>
    <n v="0"/>
    <n v="0"/>
    <n v="0"/>
  </r>
  <r>
    <x v="6"/>
    <x v="59"/>
    <n v="0"/>
    <n v="0"/>
    <n v="0"/>
    <n v="0"/>
    <n v="0"/>
  </r>
  <r>
    <x v="6"/>
    <x v="60"/>
    <n v="0"/>
    <n v="0"/>
    <n v="0"/>
    <n v="0"/>
    <n v="0"/>
  </r>
  <r>
    <x v="6"/>
    <x v="61"/>
    <n v="0"/>
    <n v="0"/>
    <n v="0"/>
    <n v="0"/>
    <n v="0"/>
  </r>
  <r>
    <x v="6"/>
    <x v="62"/>
    <n v="0"/>
    <n v="0"/>
    <n v="0"/>
    <n v="0"/>
    <n v="0"/>
  </r>
  <r>
    <x v="6"/>
    <x v="63"/>
    <n v="0"/>
    <n v="0"/>
    <n v="0"/>
    <n v="0"/>
    <n v="0"/>
  </r>
  <r>
    <x v="6"/>
    <x v="64"/>
    <n v="0"/>
    <n v="0"/>
    <n v="0"/>
    <n v="0"/>
    <n v="0"/>
  </r>
  <r>
    <x v="6"/>
    <x v="65"/>
    <n v="0"/>
    <n v="0"/>
    <n v="0"/>
    <n v="0"/>
    <n v="0"/>
  </r>
  <r>
    <x v="6"/>
    <x v="66"/>
    <n v="0"/>
    <n v="0"/>
    <n v="0"/>
    <n v="0"/>
    <n v="0"/>
  </r>
  <r>
    <x v="6"/>
    <x v="67"/>
    <n v="0"/>
    <n v="0"/>
    <n v="0"/>
    <n v="0"/>
    <n v="0"/>
  </r>
  <r>
    <x v="6"/>
    <x v="68"/>
    <n v="0"/>
    <m/>
    <m/>
    <m/>
    <n v="0"/>
  </r>
  <r>
    <x v="6"/>
    <x v="69"/>
    <n v="0"/>
    <m/>
    <m/>
    <m/>
    <n v="0"/>
  </r>
  <r>
    <x v="6"/>
    <x v="70"/>
    <n v="0"/>
    <m/>
    <m/>
    <m/>
    <n v="0"/>
  </r>
  <r>
    <x v="6"/>
    <x v="71"/>
    <n v="0"/>
    <m/>
    <m/>
    <m/>
    <n v="0"/>
  </r>
  <r>
    <x v="6"/>
    <x v="72"/>
    <n v="0"/>
    <m/>
    <m/>
    <m/>
    <n v="0"/>
  </r>
  <r>
    <x v="6"/>
    <x v="73"/>
    <n v="0"/>
    <m/>
    <m/>
    <m/>
    <n v="0"/>
  </r>
  <r>
    <x v="6"/>
    <x v="74"/>
    <n v="0"/>
    <m/>
    <m/>
    <m/>
    <n v="0"/>
  </r>
  <r>
    <x v="6"/>
    <x v="75"/>
    <n v="0"/>
    <m/>
    <m/>
    <m/>
    <n v="0"/>
  </r>
  <r>
    <x v="6"/>
    <x v="76"/>
    <n v="0"/>
    <m/>
    <m/>
    <m/>
    <n v="0"/>
  </r>
  <r>
    <x v="6"/>
    <x v="77"/>
    <n v="0"/>
    <m/>
    <m/>
    <m/>
    <n v="0"/>
  </r>
  <r>
    <x v="6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6"/>
    <x v="0"/>
    <n v="0"/>
    <n v="0"/>
    <n v="0"/>
    <n v="0"/>
    <n v="0"/>
  </r>
  <r>
    <x v="6"/>
    <x v="1"/>
    <n v="0"/>
    <n v="0"/>
    <n v="0"/>
    <n v="56"/>
    <n v="56"/>
  </r>
  <r>
    <x v="6"/>
    <x v="2"/>
    <n v="0"/>
    <n v="0"/>
    <n v="0"/>
    <n v="0"/>
    <n v="0"/>
  </r>
  <r>
    <x v="6"/>
    <x v="3"/>
    <n v="0"/>
    <n v="0"/>
    <n v="0"/>
    <n v="0"/>
    <n v="0"/>
  </r>
  <r>
    <x v="6"/>
    <x v="4"/>
    <n v="0"/>
    <n v="0"/>
    <n v="0"/>
    <n v="0"/>
    <n v="0"/>
  </r>
  <r>
    <x v="6"/>
    <x v="5"/>
    <n v="0"/>
    <n v="0"/>
    <n v="0"/>
    <n v="0"/>
    <n v="0"/>
  </r>
  <r>
    <x v="6"/>
    <x v="6"/>
    <n v="0"/>
    <n v="0"/>
    <n v="0"/>
    <n v="0"/>
    <n v="0"/>
  </r>
  <r>
    <x v="6"/>
    <x v="7"/>
    <n v="0"/>
    <n v="0"/>
    <n v="0"/>
    <n v="10"/>
    <n v="10"/>
  </r>
  <r>
    <x v="6"/>
    <x v="8"/>
    <n v="0"/>
    <n v="0"/>
    <n v="0"/>
    <n v="0"/>
    <n v="0"/>
  </r>
  <r>
    <x v="6"/>
    <x v="9"/>
    <n v="0"/>
    <n v="0"/>
    <n v="0"/>
    <n v="0"/>
    <n v="0"/>
  </r>
  <r>
    <x v="6"/>
    <x v="10"/>
    <n v="0"/>
    <n v="0"/>
    <n v="0"/>
    <n v="0"/>
    <n v="0"/>
  </r>
  <r>
    <x v="6"/>
    <x v="11"/>
    <n v="0"/>
    <m/>
    <m/>
    <m/>
    <n v="0"/>
  </r>
  <r>
    <x v="6"/>
    <x v="12"/>
    <n v="0"/>
    <n v="0"/>
    <n v="0"/>
    <n v="0"/>
    <n v="0"/>
  </r>
  <r>
    <x v="6"/>
    <x v="13"/>
    <n v="0"/>
    <n v="0"/>
    <n v="0"/>
    <n v="0"/>
    <n v="0"/>
  </r>
  <r>
    <x v="6"/>
    <x v="14"/>
    <n v="0"/>
    <n v="0"/>
    <n v="0"/>
    <n v="3"/>
    <n v="3"/>
  </r>
  <r>
    <x v="6"/>
    <x v="15"/>
    <n v="0"/>
    <n v="0"/>
    <n v="0"/>
    <n v="3"/>
    <n v="3"/>
  </r>
  <r>
    <x v="6"/>
    <x v="16"/>
    <n v="0"/>
    <n v="0"/>
    <n v="0"/>
    <n v="0"/>
    <n v="0"/>
  </r>
  <r>
    <x v="6"/>
    <x v="17"/>
    <n v="0"/>
    <n v="0"/>
    <n v="0"/>
    <n v="2"/>
    <n v="2"/>
  </r>
  <r>
    <x v="6"/>
    <x v="18"/>
    <n v="0"/>
    <n v="0"/>
    <n v="0"/>
    <n v="0"/>
    <n v="0"/>
  </r>
  <r>
    <x v="6"/>
    <x v="19"/>
    <n v="0"/>
    <n v="0"/>
    <n v="0"/>
    <n v="0"/>
    <n v="0"/>
  </r>
  <r>
    <x v="6"/>
    <x v="20"/>
    <n v="0"/>
    <n v="0"/>
    <n v="0"/>
    <n v="0"/>
    <n v="0"/>
  </r>
  <r>
    <x v="6"/>
    <x v="21"/>
    <n v="0"/>
    <n v="0"/>
    <n v="0"/>
    <n v="0"/>
    <n v="0"/>
  </r>
  <r>
    <x v="6"/>
    <x v="22"/>
    <n v="0"/>
    <n v="0"/>
    <n v="0"/>
    <n v="0"/>
    <n v="0"/>
  </r>
  <r>
    <x v="6"/>
    <x v="23"/>
    <n v="0"/>
    <n v="0"/>
    <n v="0"/>
    <n v="0"/>
    <n v="0"/>
  </r>
  <r>
    <x v="6"/>
    <x v="24"/>
    <n v="0"/>
    <n v="0"/>
    <n v="0"/>
    <n v="0"/>
    <n v="0"/>
  </r>
  <r>
    <x v="6"/>
    <x v="25"/>
    <n v="0"/>
    <n v="0"/>
    <n v="0"/>
    <n v="0"/>
    <n v="0"/>
  </r>
  <r>
    <x v="6"/>
    <x v="26"/>
    <n v="0"/>
    <n v="0"/>
    <n v="0"/>
    <n v="0"/>
    <n v="0"/>
  </r>
  <r>
    <x v="6"/>
    <x v="27"/>
    <n v="0"/>
    <n v="0"/>
    <n v="0"/>
    <n v="0"/>
    <n v="0"/>
  </r>
  <r>
    <x v="6"/>
    <x v="28"/>
    <n v="0"/>
    <n v="0"/>
    <n v="0"/>
    <n v="0"/>
    <n v="0"/>
  </r>
  <r>
    <x v="6"/>
    <x v="29"/>
    <n v="0"/>
    <m/>
    <m/>
    <m/>
    <n v="0"/>
  </r>
  <r>
    <x v="6"/>
    <x v="30"/>
    <n v="0"/>
    <m/>
    <m/>
    <m/>
    <n v="0"/>
  </r>
  <r>
    <x v="6"/>
    <x v="31"/>
    <n v="0"/>
    <n v="0"/>
    <n v="0"/>
    <n v="0"/>
    <n v="0"/>
  </r>
  <r>
    <x v="6"/>
    <x v="32"/>
    <n v="0"/>
    <n v="0"/>
    <n v="0"/>
    <n v="0"/>
    <n v="0"/>
  </r>
  <r>
    <x v="6"/>
    <x v="33"/>
    <n v="0"/>
    <n v="0"/>
    <n v="0"/>
    <n v="0"/>
    <n v="0"/>
  </r>
  <r>
    <x v="6"/>
    <x v="34"/>
    <n v="0"/>
    <n v="0"/>
    <n v="0"/>
    <n v="0"/>
    <n v="0"/>
  </r>
  <r>
    <x v="6"/>
    <x v="35"/>
    <n v="0"/>
    <n v="0"/>
    <n v="0"/>
    <n v="0"/>
    <n v="0"/>
  </r>
  <r>
    <x v="6"/>
    <x v="36"/>
    <n v="0"/>
    <n v="0"/>
    <n v="0"/>
    <n v="0"/>
    <n v="0"/>
  </r>
  <r>
    <x v="6"/>
    <x v="37"/>
    <n v="0"/>
    <n v="0"/>
    <n v="0"/>
    <n v="0"/>
    <n v="0"/>
  </r>
  <r>
    <x v="6"/>
    <x v="38"/>
    <n v="0"/>
    <n v="0"/>
    <n v="0"/>
    <n v="0"/>
    <n v="0"/>
  </r>
  <r>
    <x v="6"/>
    <x v="39"/>
    <n v="0"/>
    <n v="0"/>
    <n v="0"/>
    <n v="0"/>
    <n v="0"/>
  </r>
  <r>
    <x v="6"/>
    <x v="40"/>
    <n v="0"/>
    <n v="0"/>
    <n v="0"/>
    <n v="0"/>
    <n v="0"/>
  </r>
  <r>
    <x v="6"/>
    <x v="41"/>
    <n v="0"/>
    <n v="0"/>
    <n v="0"/>
    <n v="0"/>
    <n v="0"/>
  </r>
  <r>
    <x v="6"/>
    <x v="42"/>
    <n v="0"/>
    <n v="0"/>
    <n v="0"/>
    <n v="0"/>
    <n v="0"/>
  </r>
  <r>
    <x v="6"/>
    <x v="43"/>
    <n v="0"/>
    <n v="0"/>
    <n v="0"/>
    <n v="0"/>
    <n v="0"/>
  </r>
  <r>
    <x v="6"/>
    <x v="44"/>
    <n v="0"/>
    <n v="0"/>
    <n v="0"/>
    <n v="0"/>
    <n v="0"/>
  </r>
  <r>
    <x v="6"/>
    <x v="45"/>
    <n v="0"/>
    <n v="0"/>
    <n v="0"/>
    <n v="0"/>
    <n v="0"/>
  </r>
  <r>
    <x v="6"/>
    <x v="46"/>
    <n v="0"/>
    <n v="0"/>
    <n v="0"/>
    <n v="0"/>
    <n v="0"/>
  </r>
  <r>
    <x v="6"/>
    <x v="47"/>
    <n v="0"/>
    <n v="0"/>
    <n v="0"/>
    <n v="0"/>
    <n v="0"/>
  </r>
  <r>
    <x v="6"/>
    <x v="48"/>
    <n v="0"/>
    <n v="0"/>
    <n v="0"/>
    <n v="0"/>
    <n v="0"/>
  </r>
  <r>
    <x v="6"/>
    <x v="49"/>
    <n v="0"/>
    <n v="0"/>
    <n v="0"/>
    <n v="0"/>
    <n v="0"/>
  </r>
  <r>
    <x v="6"/>
    <x v="50"/>
    <n v="0"/>
    <n v="0"/>
    <n v="0"/>
    <n v="0"/>
    <n v="0"/>
  </r>
  <r>
    <x v="6"/>
    <x v="51"/>
    <n v="0"/>
    <n v="0"/>
    <n v="0"/>
    <n v="0"/>
    <n v="0"/>
  </r>
  <r>
    <x v="6"/>
    <x v="52"/>
    <n v="0"/>
    <n v="0"/>
    <n v="0"/>
    <n v="0"/>
    <n v="0"/>
  </r>
  <r>
    <x v="6"/>
    <x v="53"/>
    <n v="0"/>
    <n v="0"/>
    <n v="0"/>
    <n v="0"/>
    <n v="0"/>
  </r>
  <r>
    <x v="6"/>
    <x v="54"/>
    <n v="0"/>
    <n v="0"/>
    <n v="0"/>
    <n v="0"/>
    <n v="0"/>
  </r>
  <r>
    <x v="6"/>
    <x v="55"/>
    <n v="0"/>
    <n v="0"/>
    <n v="0"/>
    <n v="0"/>
    <n v="0"/>
  </r>
  <r>
    <x v="6"/>
    <x v="56"/>
    <n v="0"/>
    <n v="0"/>
    <n v="0"/>
    <n v="0"/>
    <n v="0"/>
  </r>
  <r>
    <x v="6"/>
    <x v="57"/>
    <n v="0"/>
    <n v="0"/>
    <n v="0"/>
    <n v="0"/>
    <n v="0"/>
  </r>
  <r>
    <x v="6"/>
    <x v="58"/>
    <n v="0"/>
    <n v="0"/>
    <n v="0"/>
    <n v="0"/>
    <n v="0"/>
  </r>
  <r>
    <x v="6"/>
    <x v="59"/>
    <n v="0"/>
    <n v="0"/>
    <n v="0"/>
    <n v="0"/>
    <n v="0"/>
  </r>
  <r>
    <x v="6"/>
    <x v="60"/>
    <n v="0"/>
    <n v="0"/>
    <n v="0"/>
    <n v="0"/>
    <n v="0"/>
  </r>
  <r>
    <x v="6"/>
    <x v="61"/>
    <n v="0"/>
    <n v="0"/>
    <n v="0"/>
    <n v="0"/>
    <n v="0"/>
  </r>
  <r>
    <x v="6"/>
    <x v="62"/>
    <n v="0"/>
    <n v="0"/>
    <n v="0"/>
    <n v="0"/>
    <n v="0"/>
  </r>
  <r>
    <x v="6"/>
    <x v="63"/>
    <n v="0"/>
    <n v="0"/>
    <n v="0"/>
    <n v="0"/>
    <n v="0"/>
  </r>
  <r>
    <x v="6"/>
    <x v="64"/>
    <n v="0"/>
    <n v="0"/>
    <n v="0"/>
    <n v="0"/>
    <n v="0"/>
  </r>
  <r>
    <x v="6"/>
    <x v="65"/>
    <n v="0"/>
    <n v="0"/>
    <n v="0"/>
    <n v="0"/>
    <n v="0"/>
  </r>
  <r>
    <x v="6"/>
    <x v="66"/>
    <n v="0"/>
    <n v="0"/>
    <n v="0"/>
    <n v="0"/>
    <n v="0"/>
  </r>
  <r>
    <x v="6"/>
    <x v="67"/>
    <n v="0"/>
    <n v="0"/>
    <n v="0"/>
    <n v="0"/>
    <n v="0"/>
  </r>
  <r>
    <x v="6"/>
    <x v="68"/>
    <n v="0"/>
    <m/>
    <m/>
    <m/>
    <n v="0"/>
  </r>
  <r>
    <x v="6"/>
    <x v="69"/>
    <n v="0"/>
    <m/>
    <m/>
    <m/>
    <n v="0"/>
  </r>
  <r>
    <x v="6"/>
    <x v="70"/>
    <n v="0"/>
    <m/>
    <m/>
    <m/>
    <n v="0"/>
  </r>
  <r>
    <x v="6"/>
    <x v="71"/>
    <n v="0"/>
    <m/>
    <m/>
    <m/>
    <n v="0"/>
  </r>
  <r>
    <x v="6"/>
    <x v="72"/>
    <n v="0"/>
    <m/>
    <m/>
    <m/>
    <n v="0"/>
  </r>
  <r>
    <x v="6"/>
    <x v="73"/>
    <n v="0"/>
    <m/>
    <m/>
    <m/>
    <n v="0"/>
  </r>
  <r>
    <x v="6"/>
    <x v="74"/>
    <n v="0"/>
    <m/>
    <m/>
    <m/>
    <n v="0"/>
  </r>
  <r>
    <x v="6"/>
    <x v="75"/>
    <n v="0"/>
    <m/>
    <m/>
    <m/>
    <n v="0"/>
  </r>
  <r>
    <x v="6"/>
    <x v="76"/>
    <n v="0"/>
    <m/>
    <m/>
    <m/>
    <n v="0"/>
  </r>
  <r>
    <x v="6"/>
    <x v="77"/>
    <n v="0"/>
    <m/>
    <m/>
    <m/>
    <n v="0"/>
  </r>
  <r>
    <x v="6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7"/>
    <x v="0"/>
    <n v="0"/>
    <n v="0"/>
    <n v="0"/>
    <n v="0"/>
    <n v="0"/>
  </r>
  <r>
    <x v="7"/>
    <x v="1"/>
    <n v="0"/>
    <n v="0"/>
    <n v="0"/>
    <n v="20"/>
    <n v="20"/>
  </r>
  <r>
    <x v="7"/>
    <x v="2"/>
    <n v="0"/>
    <n v="0"/>
    <n v="0"/>
    <n v="0"/>
    <n v="0"/>
  </r>
  <r>
    <x v="7"/>
    <x v="3"/>
    <n v="0"/>
    <n v="0"/>
    <n v="0"/>
    <n v="0"/>
    <n v="0"/>
  </r>
  <r>
    <x v="7"/>
    <x v="4"/>
    <n v="0"/>
    <n v="0"/>
    <n v="0"/>
    <n v="0"/>
    <n v="0"/>
  </r>
  <r>
    <x v="7"/>
    <x v="5"/>
    <n v="0"/>
    <n v="0"/>
    <n v="0"/>
    <n v="0"/>
    <n v="0"/>
  </r>
  <r>
    <x v="7"/>
    <x v="6"/>
    <n v="0"/>
    <n v="0"/>
    <n v="0"/>
    <n v="0"/>
    <n v="0"/>
  </r>
  <r>
    <x v="7"/>
    <x v="7"/>
    <n v="0"/>
    <n v="0"/>
    <n v="0"/>
    <n v="0"/>
    <n v="0"/>
  </r>
  <r>
    <x v="7"/>
    <x v="8"/>
    <n v="0"/>
    <n v="0"/>
    <n v="0"/>
    <n v="0"/>
    <n v="0"/>
  </r>
  <r>
    <x v="7"/>
    <x v="9"/>
    <n v="0"/>
    <n v="0"/>
    <n v="0"/>
    <n v="0"/>
    <n v="0"/>
  </r>
  <r>
    <x v="7"/>
    <x v="10"/>
    <n v="0"/>
    <n v="0"/>
    <n v="0"/>
    <n v="0"/>
    <n v="0"/>
  </r>
  <r>
    <x v="7"/>
    <x v="11"/>
    <n v="0"/>
    <m/>
    <m/>
    <m/>
    <n v="0"/>
  </r>
  <r>
    <x v="7"/>
    <x v="12"/>
    <n v="0"/>
    <n v="0"/>
    <n v="0"/>
    <n v="3"/>
    <n v="3"/>
  </r>
  <r>
    <x v="7"/>
    <x v="13"/>
    <n v="0"/>
    <n v="0"/>
    <n v="0"/>
    <n v="2"/>
    <n v="2"/>
  </r>
  <r>
    <x v="7"/>
    <x v="14"/>
    <n v="0"/>
    <n v="0"/>
    <n v="0"/>
    <n v="0"/>
    <n v="0"/>
  </r>
  <r>
    <x v="7"/>
    <x v="15"/>
    <n v="0"/>
    <n v="0"/>
    <n v="0"/>
    <n v="1"/>
    <n v="1"/>
  </r>
  <r>
    <x v="7"/>
    <x v="16"/>
    <n v="0"/>
    <n v="0"/>
    <n v="0"/>
    <n v="0"/>
    <n v="0"/>
  </r>
  <r>
    <x v="7"/>
    <x v="17"/>
    <n v="0"/>
    <n v="0"/>
    <n v="0"/>
    <n v="0"/>
    <n v="0"/>
  </r>
  <r>
    <x v="7"/>
    <x v="18"/>
    <n v="0"/>
    <n v="0"/>
    <n v="0"/>
    <n v="0"/>
    <n v="0"/>
  </r>
  <r>
    <x v="7"/>
    <x v="19"/>
    <n v="0"/>
    <n v="0"/>
    <n v="0"/>
    <n v="0"/>
    <n v="0"/>
  </r>
  <r>
    <x v="7"/>
    <x v="20"/>
    <n v="0"/>
    <n v="0"/>
    <n v="0"/>
    <n v="0"/>
    <n v="0"/>
  </r>
  <r>
    <x v="7"/>
    <x v="21"/>
    <n v="0"/>
    <n v="0"/>
    <n v="0"/>
    <n v="0"/>
    <n v="0"/>
  </r>
  <r>
    <x v="7"/>
    <x v="22"/>
    <n v="0"/>
    <n v="0"/>
    <n v="0"/>
    <n v="0"/>
    <n v="0"/>
  </r>
  <r>
    <x v="7"/>
    <x v="23"/>
    <n v="0"/>
    <n v="0"/>
    <n v="0"/>
    <n v="0"/>
    <n v="0"/>
  </r>
  <r>
    <x v="7"/>
    <x v="24"/>
    <n v="0"/>
    <n v="0"/>
    <n v="0"/>
    <n v="0"/>
    <n v="0"/>
  </r>
  <r>
    <x v="7"/>
    <x v="25"/>
    <n v="0"/>
    <n v="0"/>
    <n v="0"/>
    <n v="0"/>
    <n v="0"/>
  </r>
  <r>
    <x v="7"/>
    <x v="26"/>
    <n v="0"/>
    <n v="0"/>
    <n v="0"/>
    <n v="0"/>
    <n v="0"/>
  </r>
  <r>
    <x v="7"/>
    <x v="27"/>
    <n v="0"/>
    <n v="0"/>
    <n v="0"/>
    <n v="0"/>
    <n v="0"/>
  </r>
  <r>
    <x v="7"/>
    <x v="28"/>
    <n v="0"/>
    <n v="0"/>
    <n v="0"/>
    <n v="0"/>
    <n v="0"/>
  </r>
  <r>
    <x v="7"/>
    <x v="29"/>
    <n v="0"/>
    <m/>
    <m/>
    <m/>
    <n v="0"/>
  </r>
  <r>
    <x v="7"/>
    <x v="30"/>
    <n v="0"/>
    <m/>
    <m/>
    <m/>
    <n v="0"/>
  </r>
  <r>
    <x v="7"/>
    <x v="31"/>
    <n v="0"/>
    <n v="0"/>
    <n v="0"/>
    <n v="0"/>
    <n v="0"/>
  </r>
  <r>
    <x v="7"/>
    <x v="32"/>
    <n v="0"/>
    <n v="0"/>
    <n v="0"/>
    <n v="0"/>
    <n v="0"/>
  </r>
  <r>
    <x v="7"/>
    <x v="33"/>
    <n v="0"/>
    <n v="0"/>
    <n v="0"/>
    <n v="0"/>
    <n v="0"/>
  </r>
  <r>
    <x v="7"/>
    <x v="34"/>
    <n v="0"/>
    <n v="0"/>
    <n v="0"/>
    <n v="0"/>
    <n v="0"/>
  </r>
  <r>
    <x v="7"/>
    <x v="35"/>
    <n v="0"/>
    <n v="0"/>
    <n v="0"/>
    <n v="0"/>
    <n v="0"/>
  </r>
  <r>
    <x v="7"/>
    <x v="36"/>
    <n v="0"/>
    <n v="0"/>
    <n v="0"/>
    <n v="0"/>
    <n v="0"/>
  </r>
  <r>
    <x v="7"/>
    <x v="37"/>
    <n v="0"/>
    <n v="0"/>
    <n v="0"/>
    <n v="0"/>
    <n v="0"/>
  </r>
  <r>
    <x v="7"/>
    <x v="38"/>
    <n v="0"/>
    <n v="0"/>
    <n v="0"/>
    <n v="0"/>
    <n v="0"/>
  </r>
  <r>
    <x v="7"/>
    <x v="39"/>
    <n v="0"/>
    <n v="0"/>
    <n v="0"/>
    <n v="0"/>
    <n v="0"/>
  </r>
  <r>
    <x v="7"/>
    <x v="40"/>
    <n v="0"/>
    <n v="0"/>
    <n v="0"/>
    <n v="0"/>
    <n v="0"/>
  </r>
  <r>
    <x v="7"/>
    <x v="41"/>
    <n v="0"/>
    <n v="0"/>
    <n v="0"/>
    <n v="0"/>
    <n v="0"/>
  </r>
  <r>
    <x v="7"/>
    <x v="42"/>
    <n v="0"/>
    <n v="0"/>
    <n v="0"/>
    <n v="0"/>
    <n v="0"/>
  </r>
  <r>
    <x v="7"/>
    <x v="43"/>
    <n v="0"/>
    <n v="0"/>
    <n v="0"/>
    <n v="0"/>
    <n v="0"/>
  </r>
  <r>
    <x v="7"/>
    <x v="44"/>
    <n v="0"/>
    <n v="0"/>
    <n v="0"/>
    <n v="0"/>
    <n v="0"/>
  </r>
  <r>
    <x v="7"/>
    <x v="45"/>
    <n v="0"/>
    <n v="0"/>
    <n v="0"/>
    <n v="0"/>
    <n v="0"/>
  </r>
  <r>
    <x v="7"/>
    <x v="46"/>
    <n v="0"/>
    <n v="0"/>
    <n v="0"/>
    <n v="0"/>
    <n v="0"/>
  </r>
  <r>
    <x v="7"/>
    <x v="47"/>
    <n v="0"/>
    <n v="0"/>
    <n v="0"/>
    <n v="0"/>
    <n v="0"/>
  </r>
  <r>
    <x v="7"/>
    <x v="48"/>
    <n v="0"/>
    <n v="0"/>
    <n v="0"/>
    <n v="0"/>
    <n v="0"/>
  </r>
  <r>
    <x v="7"/>
    <x v="49"/>
    <n v="0"/>
    <n v="0"/>
    <n v="0"/>
    <n v="0"/>
    <n v="0"/>
  </r>
  <r>
    <x v="7"/>
    <x v="50"/>
    <n v="0"/>
    <n v="0"/>
    <n v="0"/>
    <n v="0"/>
    <n v="0"/>
  </r>
  <r>
    <x v="7"/>
    <x v="51"/>
    <n v="0"/>
    <n v="0"/>
    <n v="0"/>
    <n v="0"/>
    <n v="0"/>
  </r>
  <r>
    <x v="7"/>
    <x v="52"/>
    <n v="0"/>
    <n v="0"/>
    <n v="0"/>
    <n v="0"/>
    <n v="0"/>
  </r>
  <r>
    <x v="7"/>
    <x v="53"/>
    <n v="0"/>
    <n v="0"/>
    <n v="0"/>
    <n v="0"/>
    <n v="0"/>
  </r>
  <r>
    <x v="7"/>
    <x v="54"/>
    <n v="0"/>
    <n v="0"/>
    <n v="0"/>
    <n v="0"/>
    <n v="0"/>
  </r>
  <r>
    <x v="7"/>
    <x v="55"/>
    <n v="0"/>
    <n v="0"/>
    <n v="0"/>
    <n v="0"/>
    <n v="0"/>
  </r>
  <r>
    <x v="7"/>
    <x v="56"/>
    <n v="0"/>
    <n v="0"/>
    <n v="0"/>
    <n v="0"/>
    <n v="0"/>
  </r>
  <r>
    <x v="7"/>
    <x v="57"/>
    <n v="0"/>
    <n v="0"/>
    <n v="0"/>
    <n v="0"/>
    <n v="0"/>
  </r>
  <r>
    <x v="7"/>
    <x v="58"/>
    <n v="0"/>
    <n v="0"/>
    <n v="0"/>
    <n v="0"/>
    <n v="0"/>
  </r>
  <r>
    <x v="7"/>
    <x v="59"/>
    <n v="0"/>
    <n v="0"/>
    <n v="0"/>
    <n v="0"/>
    <n v="0"/>
  </r>
  <r>
    <x v="7"/>
    <x v="60"/>
    <n v="0"/>
    <n v="0"/>
    <n v="0"/>
    <n v="0"/>
    <n v="0"/>
  </r>
  <r>
    <x v="7"/>
    <x v="61"/>
    <n v="0"/>
    <n v="0"/>
    <n v="0"/>
    <n v="0"/>
    <n v="0"/>
  </r>
  <r>
    <x v="7"/>
    <x v="62"/>
    <n v="0"/>
    <n v="0"/>
    <n v="0"/>
    <n v="0"/>
    <n v="0"/>
  </r>
  <r>
    <x v="7"/>
    <x v="63"/>
    <n v="0"/>
    <n v="0"/>
    <n v="0"/>
    <n v="0"/>
    <n v="0"/>
  </r>
  <r>
    <x v="7"/>
    <x v="64"/>
    <n v="0"/>
    <n v="0"/>
    <n v="0"/>
    <n v="0"/>
    <n v="0"/>
  </r>
  <r>
    <x v="7"/>
    <x v="65"/>
    <n v="0"/>
    <n v="0"/>
    <n v="0"/>
    <n v="0"/>
    <n v="0"/>
  </r>
  <r>
    <x v="7"/>
    <x v="66"/>
    <n v="0"/>
    <n v="0"/>
    <n v="0"/>
    <n v="0"/>
    <n v="0"/>
  </r>
  <r>
    <x v="7"/>
    <x v="67"/>
    <n v="0"/>
    <n v="0"/>
    <n v="0"/>
    <n v="0"/>
    <n v="0"/>
  </r>
  <r>
    <x v="7"/>
    <x v="68"/>
    <n v="0"/>
    <m/>
    <m/>
    <m/>
    <n v="0"/>
  </r>
  <r>
    <x v="7"/>
    <x v="69"/>
    <n v="0"/>
    <m/>
    <m/>
    <m/>
    <n v="0"/>
  </r>
  <r>
    <x v="7"/>
    <x v="70"/>
    <n v="0"/>
    <m/>
    <m/>
    <m/>
    <n v="0"/>
  </r>
  <r>
    <x v="7"/>
    <x v="71"/>
    <n v="0"/>
    <m/>
    <m/>
    <m/>
    <n v="0"/>
  </r>
  <r>
    <x v="7"/>
    <x v="72"/>
    <n v="0"/>
    <m/>
    <m/>
    <m/>
    <n v="0"/>
  </r>
  <r>
    <x v="7"/>
    <x v="73"/>
    <n v="0"/>
    <m/>
    <m/>
    <m/>
    <n v="0"/>
  </r>
  <r>
    <x v="7"/>
    <x v="74"/>
    <n v="0"/>
    <m/>
    <m/>
    <m/>
    <n v="0"/>
  </r>
  <r>
    <x v="7"/>
    <x v="75"/>
    <n v="0"/>
    <m/>
    <m/>
    <m/>
    <n v="0"/>
  </r>
  <r>
    <x v="7"/>
    <x v="76"/>
    <n v="0"/>
    <m/>
    <m/>
    <m/>
    <n v="0"/>
  </r>
  <r>
    <x v="7"/>
    <x v="77"/>
    <n v="0"/>
    <m/>
    <m/>
    <m/>
    <n v="0"/>
  </r>
  <r>
    <x v="7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8"/>
    <x v="0"/>
    <n v="0"/>
    <n v="0"/>
    <n v="0"/>
    <n v="40"/>
    <n v="40"/>
  </r>
  <r>
    <x v="8"/>
    <x v="1"/>
    <n v="0"/>
    <n v="0"/>
    <n v="0"/>
    <n v="0"/>
    <n v="0"/>
  </r>
  <r>
    <x v="8"/>
    <x v="2"/>
    <n v="0"/>
    <n v="0"/>
    <n v="0"/>
    <n v="0"/>
    <n v="0"/>
  </r>
  <r>
    <x v="8"/>
    <x v="3"/>
    <n v="0"/>
    <n v="0"/>
    <n v="0"/>
    <n v="0"/>
    <n v="0"/>
  </r>
  <r>
    <x v="8"/>
    <x v="4"/>
    <n v="0"/>
    <n v="0"/>
    <n v="0"/>
    <n v="0"/>
    <n v="0"/>
  </r>
  <r>
    <x v="8"/>
    <x v="5"/>
    <n v="0"/>
    <n v="0"/>
    <n v="0"/>
    <n v="0"/>
    <n v="0"/>
  </r>
  <r>
    <x v="8"/>
    <x v="6"/>
    <n v="0"/>
    <n v="0"/>
    <n v="0"/>
    <n v="0"/>
    <n v="0"/>
  </r>
  <r>
    <x v="8"/>
    <x v="7"/>
    <n v="0"/>
    <n v="0"/>
    <n v="0"/>
    <n v="1"/>
    <n v="1"/>
  </r>
  <r>
    <x v="8"/>
    <x v="8"/>
    <n v="0"/>
    <n v="0"/>
    <n v="0"/>
    <n v="0"/>
    <n v="0"/>
  </r>
  <r>
    <x v="8"/>
    <x v="9"/>
    <n v="0"/>
    <n v="0"/>
    <n v="0"/>
    <n v="0"/>
    <n v="0"/>
  </r>
  <r>
    <x v="8"/>
    <x v="10"/>
    <n v="0"/>
    <n v="0"/>
    <n v="0"/>
    <n v="0"/>
    <n v="0"/>
  </r>
  <r>
    <x v="8"/>
    <x v="11"/>
    <n v="0"/>
    <m/>
    <m/>
    <m/>
    <n v="0"/>
  </r>
  <r>
    <x v="8"/>
    <x v="12"/>
    <n v="0"/>
    <n v="0"/>
    <n v="0"/>
    <n v="1"/>
    <n v="1"/>
  </r>
  <r>
    <x v="8"/>
    <x v="13"/>
    <n v="0"/>
    <n v="0"/>
    <n v="0"/>
    <n v="3"/>
    <n v="3"/>
  </r>
  <r>
    <x v="8"/>
    <x v="14"/>
    <n v="0"/>
    <n v="0"/>
    <n v="0"/>
    <n v="5"/>
    <n v="5"/>
  </r>
  <r>
    <x v="8"/>
    <x v="15"/>
    <n v="0"/>
    <n v="0"/>
    <n v="0"/>
    <n v="2"/>
    <n v="2"/>
  </r>
  <r>
    <x v="8"/>
    <x v="16"/>
    <n v="0"/>
    <n v="0"/>
    <n v="0"/>
    <n v="0"/>
    <n v="0"/>
  </r>
  <r>
    <x v="8"/>
    <x v="17"/>
    <n v="0"/>
    <n v="0"/>
    <n v="0"/>
    <n v="0"/>
    <n v="0"/>
  </r>
  <r>
    <x v="8"/>
    <x v="18"/>
    <n v="0"/>
    <n v="0"/>
    <n v="0"/>
    <n v="0"/>
    <n v="0"/>
  </r>
  <r>
    <x v="8"/>
    <x v="19"/>
    <n v="0"/>
    <n v="0"/>
    <n v="0"/>
    <n v="0"/>
    <n v="0"/>
  </r>
  <r>
    <x v="8"/>
    <x v="20"/>
    <n v="0"/>
    <n v="0"/>
    <n v="0"/>
    <n v="0"/>
    <n v="0"/>
  </r>
  <r>
    <x v="8"/>
    <x v="21"/>
    <n v="0"/>
    <n v="0"/>
    <n v="0"/>
    <n v="0"/>
    <n v="0"/>
  </r>
  <r>
    <x v="8"/>
    <x v="22"/>
    <n v="0"/>
    <n v="0"/>
    <n v="0"/>
    <n v="0"/>
    <n v="0"/>
  </r>
  <r>
    <x v="8"/>
    <x v="23"/>
    <n v="0"/>
    <n v="0"/>
    <n v="0"/>
    <n v="0"/>
    <n v="0"/>
  </r>
  <r>
    <x v="8"/>
    <x v="24"/>
    <n v="0"/>
    <n v="0"/>
    <n v="0"/>
    <n v="0"/>
    <n v="0"/>
  </r>
  <r>
    <x v="8"/>
    <x v="25"/>
    <n v="0"/>
    <n v="0"/>
    <n v="0"/>
    <n v="0"/>
    <n v="0"/>
  </r>
  <r>
    <x v="8"/>
    <x v="26"/>
    <n v="0"/>
    <n v="0"/>
    <n v="0"/>
    <n v="0"/>
    <n v="0"/>
  </r>
  <r>
    <x v="8"/>
    <x v="27"/>
    <n v="0"/>
    <n v="0"/>
    <n v="0"/>
    <n v="0"/>
    <n v="0"/>
  </r>
  <r>
    <x v="8"/>
    <x v="28"/>
    <n v="0"/>
    <n v="0"/>
    <n v="0"/>
    <n v="0"/>
    <n v="0"/>
  </r>
  <r>
    <x v="8"/>
    <x v="29"/>
    <n v="0"/>
    <m/>
    <m/>
    <m/>
    <n v="0"/>
  </r>
  <r>
    <x v="8"/>
    <x v="30"/>
    <n v="0"/>
    <m/>
    <m/>
    <m/>
    <n v="0"/>
  </r>
  <r>
    <x v="8"/>
    <x v="31"/>
    <n v="0"/>
    <n v="0"/>
    <n v="0"/>
    <n v="0"/>
    <n v="0"/>
  </r>
  <r>
    <x v="8"/>
    <x v="32"/>
    <n v="0"/>
    <n v="0"/>
    <n v="0"/>
    <n v="0"/>
    <n v="0"/>
  </r>
  <r>
    <x v="8"/>
    <x v="33"/>
    <n v="0"/>
    <n v="0"/>
    <n v="0"/>
    <n v="0"/>
    <n v="0"/>
  </r>
  <r>
    <x v="8"/>
    <x v="34"/>
    <n v="0"/>
    <n v="0"/>
    <n v="0"/>
    <n v="0"/>
    <n v="0"/>
  </r>
  <r>
    <x v="8"/>
    <x v="35"/>
    <n v="0"/>
    <n v="0"/>
    <n v="0"/>
    <n v="0"/>
    <n v="0"/>
  </r>
  <r>
    <x v="8"/>
    <x v="36"/>
    <n v="0"/>
    <n v="0"/>
    <n v="0"/>
    <n v="0"/>
    <n v="0"/>
  </r>
  <r>
    <x v="8"/>
    <x v="37"/>
    <n v="0"/>
    <n v="0"/>
    <n v="0"/>
    <n v="0"/>
    <n v="0"/>
  </r>
  <r>
    <x v="8"/>
    <x v="38"/>
    <n v="0"/>
    <n v="0"/>
    <n v="0"/>
    <n v="0"/>
    <n v="0"/>
  </r>
  <r>
    <x v="8"/>
    <x v="39"/>
    <n v="0"/>
    <n v="0"/>
    <n v="0"/>
    <n v="0"/>
    <n v="0"/>
  </r>
  <r>
    <x v="8"/>
    <x v="40"/>
    <n v="0"/>
    <n v="0"/>
    <n v="0"/>
    <n v="0"/>
    <n v="0"/>
  </r>
  <r>
    <x v="8"/>
    <x v="41"/>
    <n v="0"/>
    <n v="0"/>
    <n v="0"/>
    <n v="0"/>
    <n v="0"/>
  </r>
  <r>
    <x v="8"/>
    <x v="42"/>
    <n v="0"/>
    <n v="0"/>
    <n v="0"/>
    <n v="0"/>
    <n v="0"/>
  </r>
  <r>
    <x v="8"/>
    <x v="43"/>
    <n v="0"/>
    <n v="0"/>
    <n v="0"/>
    <n v="0"/>
    <n v="0"/>
  </r>
  <r>
    <x v="8"/>
    <x v="44"/>
    <n v="0"/>
    <n v="0"/>
    <n v="0"/>
    <n v="0"/>
    <n v="0"/>
  </r>
  <r>
    <x v="8"/>
    <x v="45"/>
    <n v="0"/>
    <n v="0"/>
    <n v="0"/>
    <n v="0"/>
    <n v="0"/>
  </r>
  <r>
    <x v="8"/>
    <x v="46"/>
    <n v="0"/>
    <n v="0"/>
    <n v="0"/>
    <n v="0"/>
    <n v="0"/>
  </r>
  <r>
    <x v="8"/>
    <x v="47"/>
    <n v="0"/>
    <n v="0"/>
    <n v="0"/>
    <n v="0"/>
    <n v="0"/>
  </r>
  <r>
    <x v="8"/>
    <x v="48"/>
    <n v="0"/>
    <n v="0"/>
    <n v="0"/>
    <n v="0"/>
    <n v="0"/>
  </r>
  <r>
    <x v="8"/>
    <x v="49"/>
    <n v="0"/>
    <n v="0"/>
    <n v="0"/>
    <n v="0"/>
    <n v="0"/>
  </r>
  <r>
    <x v="8"/>
    <x v="50"/>
    <n v="0"/>
    <n v="0"/>
    <n v="0"/>
    <n v="0"/>
    <n v="0"/>
  </r>
  <r>
    <x v="8"/>
    <x v="51"/>
    <n v="0"/>
    <n v="0"/>
    <n v="0"/>
    <n v="0"/>
    <n v="0"/>
  </r>
  <r>
    <x v="8"/>
    <x v="52"/>
    <n v="0"/>
    <n v="0"/>
    <n v="0"/>
    <n v="0"/>
    <n v="0"/>
  </r>
  <r>
    <x v="8"/>
    <x v="53"/>
    <n v="0"/>
    <n v="0"/>
    <n v="0"/>
    <n v="0"/>
    <n v="0"/>
  </r>
  <r>
    <x v="8"/>
    <x v="54"/>
    <n v="0"/>
    <n v="0"/>
    <n v="0"/>
    <n v="0"/>
    <n v="0"/>
  </r>
  <r>
    <x v="8"/>
    <x v="55"/>
    <n v="0"/>
    <n v="0"/>
    <n v="0"/>
    <n v="0"/>
    <n v="0"/>
  </r>
  <r>
    <x v="8"/>
    <x v="56"/>
    <n v="0"/>
    <n v="0"/>
    <n v="0"/>
    <n v="0"/>
    <n v="0"/>
  </r>
  <r>
    <x v="8"/>
    <x v="57"/>
    <n v="0"/>
    <n v="0"/>
    <n v="0"/>
    <n v="0"/>
    <n v="0"/>
  </r>
  <r>
    <x v="8"/>
    <x v="58"/>
    <n v="0"/>
    <n v="0"/>
    <n v="0"/>
    <n v="0"/>
    <n v="0"/>
  </r>
  <r>
    <x v="8"/>
    <x v="59"/>
    <n v="0"/>
    <n v="0"/>
    <n v="0"/>
    <n v="0"/>
    <n v="0"/>
  </r>
  <r>
    <x v="8"/>
    <x v="60"/>
    <n v="0"/>
    <n v="0"/>
    <n v="0"/>
    <n v="0"/>
    <n v="0"/>
  </r>
  <r>
    <x v="8"/>
    <x v="61"/>
    <n v="0"/>
    <n v="0"/>
    <n v="0"/>
    <n v="0"/>
    <n v="0"/>
  </r>
  <r>
    <x v="8"/>
    <x v="62"/>
    <n v="0"/>
    <n v="0"/>
    <n v="0"/>
    <n v="0"/>
    <n v="0"/>
  </r>
  <r>
    <x v="8"/>
    <x v="63"/>
    <n v="0"/>
    <n v="0"/>
    <n v="0"/>
    <n v="0"/>
    <n v="0"/>
  </r>
  <r>
    <x v="8"/>
    <x v="64"/>
    <n v="0"/>
    <n v="0"/>
    <n v="0"/>
    <n v="0"/>
    <n v="0"/>
  </r>
  <r>
    <x v="8"/>
    <x v="65"/>
    <n v="0"/>
    <n v="0"/>
    <n v="0"/>
    <n v="0"/>
    <n v="0"/>
  </r>
  <r>
    <x v="8"/>
    <x v="66"/>
    <n v="0"/>
    <n v="0"/>
    <n v="0"/>
    <n v="0"/>
    <n v="0"/>
  </r>
  <r>
    <x v="8"/>
    <x v="67"/>
    <n v="0"/>
    <n v="0"/>
    <n v="0"/>
    <n v="0"/>
    <n v="0"/>
  </r>
  <r>
    <x v="8"/>
    <x v="68"/>
    <n v="0"/>
    <m/>
    <m/>
    <m/>
    <n v="0"/>
  </r>
  <r>
    <x v="8"/>
    <x v="69"/>
    <n v="0"/>
    <m/>
    <m/>
    <m/>
    <n v="0"/>
  </r>
  <r>
    <x v="8"/>
    <x v="70"/>
    <n v="0"/>
    <m/>
    <m/>
    <m/>
    <n v="0"/>
  </r>
  <r>
    <x v="8"/>
    <x v="71"/>
    <n v="0"/>
    <m/>
    <m/>
    <m/>
    <n v="0"/>
  </r>
  <r>
    <x v="8"/>
    <x v="72"/>
    <n v="0"/>
    <m/>
    <m/>
    <m/>
    <n v="0"/>
  </r>
  <r>
    <x v="8"/>
    <x v="73"/>
    <n v="0"/>
    <m/>
    <m/>
    <m/>
    <n v="0"/>
  </r>
  <r>
    <x v="8"/>
    <x v="74"/>
    <n v="0"/>
    <m/>
    <m/>
    <m/>
    <n v="0"/>
  </r>
  <r>
    <x v="8"/>
    <x v="75"/>
    <n v="0"/>
    <m/>
    <m/>
    <m/>
    <n v="0"/>
  </r>
  <r>
    <x v="8"/>
    <x v="76"/>
    <n v="0"/>
    <m/>
    <m/>
    <m/>
    <n v="0"/>
  </r>
  <r>
    <x v="8"/>
    <x v="77"/>
    <n v="0"/>
    <m/>
    <m/>
    <m/>
    <n v="0"/>
  </r>
  <r>
    <x v="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9"/>
    <x v="0"/>
    <n v="0"/>
    <n v="0"/>
    <n v="0"/>
    <n v="16"/>
    <n v="16"/>
  </r>
  <r>
    <x v="9"/>
    <x v="1"/>
    <n v="0"/>
    <n v="0"/>
    <n v="0"/>
    <n v="0"/>
    <n v="0"/>
  </r>
  <r>
    <x v="9"/>
    <x v="2"/>
    <n v="0"/>
    <n v="0"/>
    <n v="0"/>
    <n v="0"/>
    <n v="0"/>
  </r>
  <r>
    <x v="9"/>
    <x v="3"/>
    <n v="0"/>
    <n v="0"/>
    <n v="0"/>
    <n v="0"/>
    <n v="0"/>
  </r>
  <r>
    <x v="9"/>
    <x v="4"/>
    <n v="0"/>
    <n v="0"/>
    <n v="0"/>
    <n v="0"/>
    <n v="0"/>
  </r>
  <r>
    <x v="9"/>
    <x v="5"/>
    <n v="0"/>
    <n v="0"/>
    <n v="0"/>
    <n v="0"/>
    <n v="0"/>
  </r>
  <r>
    <x v="9"/>
    <x v="6"/>
    <n v="0"/>
    <n v="0"/>
    <n v="0"/>
    <n v="0"/>
    <n v="0"/>
  </r>
  <r>
    <x v="9"/>
    <x v="7"/>
    <n v="0"/>
    <n v="0"/>
    <n v="0"/>
    <n v="0"/>
    <n v="0"/>
  </r>
  <r>
    <x v="9"/>
    <x v="8"/>
    <n v="0"/>
    <n v="0"/>
    <n v="0"/>
    <n v="0"/>
    <n v="0"/>
  </r>
  <r>
    <x v="9"/>
    <x v="9"/>
    <n v="0"/>
    <n v="0"/>
    <n v="0"/>
    <n v="0"/>
    <n v="0"/>
  </r>
  <r>
    <x v="9"/>
    <x v="10"/>
    <n v="0"/>
    <n v="0"/>
    <n v="0"/>
    <n v="0"/>
    <n v="0"/>
  </r>
  <r>
    <x v="9"/>
    <x v="11"/>
    <n v="0"/>
    <m/>
    <m/>
    <m/>
    <n v="0"/>
  </r>
  <r>
    <x v="9"/>
    <x v="12"/>
    <n v="0"/>
    <n v="0"/>
    <n v="0"/>
    <n v="0"/>
    <n v="0"/>
  </r>
  <r>
    <x v="9"/>
    <x v="13"/>
    <n v="0"/>
    <n v="0"/>
    <n v="0"/>
    <n v="0"/>
    <n v="0"/>
  </r>
  <r>
    <x v="9"/>
    <x v="14"/>
    <n v="0"/>
    <n v="0"/>
    <n v="0"/>
    <n v="4"/>
    <n v="4"/>
  </r>
  <r>
    <x v="9"/>
    <x v="15"/>
    <n v="0"/>
    <n v="0"/>
    <n v="0"/>
    <n v="0"/>
    <n v="0"/>
  </r>
  <r>
    <x v="9"/>
    <x v="16"/>
    <n v="0"/>
    <n v="0"/>
    <n v="0"/>
    <n v="0"/>
    <n v="0"/>
  </r>
  <r>
    <x v="9"/>
    <x v="17"/>
    <n v="0"/>
    <n v="0"/>
    <n v="0"/>
    <n v="0"/>
    <n v="0"/>
  </r>
  <r>
    <x v="9"/>
    <x v="18"/>
    <n v="0"/>
    <n v="0"/>
    <n v="0"/>
    <n v="0"/>
    <n v="0"/>
  </r>
  <r>
    <x v="9"/>
    <x v="19"/>
    <n v="0"/>
    <n v="0"/>
    <n v="0"/>
    <n v="0"/>
    <n v="0"/>
  </r>
  <r>
    <x v="9"/>
    <x v="20"/>
    <n v="0"/>
    <n v="0"/>
    <n v="0"/>
    <n v="0"/>
    <n v="0"/>
  </r>
  <r>
    <x v="9"/>
    <x v="21"/>
    <n v="0"/>
    <n v="0"/>
    <n v="0"/>
    <n v="0"/>
    <n v="0"/>
  </r>
  <r>
    <x v="9"/>
    <x v="22"/>
    <n v="0"/>
    <n v="0"/>
    <n v="0"/>
    <n v="0"/>
    <n v="0"/>
  </r>
  <r>
    <x v="9"/>
    <x v="23"/>
    <n v="0"/>
    <n v="0"/>
    <n v="0"/>
    <n v="0"/>
    <n v="0"/>
  </r>
  <r>
    <x v="9"/>
    <x v="24"/>
    <n v="0"/>
    <n v="0"/>
    <n v="0"/>
    <n v="0"/>
    <n v="0"/>
  </r>
  <r>
    <x v="9"/>
    <x v="25"/>
    <n v="0"/>
    <n v="0"/>
    <n v="0"/>
    <n v="0"/>
    <n v="0"/>
  </r>
  <r>
    <x v="9"/>
    <x v="26"/>
    <n v="0"/>
    <n v="0"/>
    <n v="0"/>
    <n v="0"/>
    <n v="0"/>
  </r>
  <r>
    <x v="9"/>
    <x v="27"/>
    <n v="0"/>
    <n v="0"/>
    <n v="0"/>
    <n v="0"/>
    <n v="0"/>
  </r>
  <r>
    <x v="9"/>
    <x v="28"/>
    <n v="0"/>
    <n v="0"/>
    <n v="0"/>
    <n v="0"/>
    <n v="0"/>
  </r>
  <r>
    <x v="9"/>
    <x v="29"/>
    <n v="0"/>
    <m/>
    <m/>
    <m/>
    <n v="0"/>
  </r>
  <r>
    <x v="9"/>
    <x v="30"/>
    <n v="0"/>
    <m/>
    <m/>
    <m/>
    <n v="0"/>
  </r>
  <r>
    <x v="9"/>
    <x v="31"/>
    <n v="0"/>
    <n v="0"/>
    <n v="0"/>
    <n v="0"/>
    <n v="0"/>
  </r>
  <r>
    <x v="9"/>
    <x v="32"/>
    <n v="0"/>
    <n v="0"/>
    <n v="0"/>
    <n v="0"/>
    <n v="0"/>
  </r>
  <r>
    <x v="9"/>
    <x v="33"/>
    <n v="0"/>
    <n v="0"/>
    <n v="0"/>
    <n v="0"/>
    <n v="0"/>
  </r>
  <r>
    <x v="9"/>
    <x v="34"/>
    <n v="0"/>
    <n v="0"/>
    <n v="0"/>
    <n v="0"/>
    <n v="0"/>
  </r>
  <r>
    <x v="9"/>
    <x v="35"/>
    <n v="0"/>
    <n v="0"/>
    <n v="0"/>
    <n v="0"/>
    <n v="0"/>
  </r>
  <r>
    <x v="9"/>
    <x v="36"/>
    <n v="0"/>
    <n v="0"/>
    <n v="0"/>
    <n v="0"/>
    <n v="0"/>
  </r>
  <r>
    <x v="9"/>
    <x v="37"/>
    <n v="0"/>
    <n v="0"/>
    <n v="0"/>
    <n v="0"/>
    <n v="0"/>
  </r>
  <r>
    <x v="9"/>
    <x v="38"/>
    <n v="0"/>
    <n v="0"/>
    <n v="0"/>
    <n v="0"/>
    <n v="0"/>
  </r>
  <r>
    <x v="9"/>
    <x v="39"/>
    <n v="0"/>
    <n v="0"/>
    <n v="0"/>
    <n v="0"/>
    <n v="0"/>
  </r>
  <r>
    <x v="9"/>
    <x v="40"/>
    <n v="0"/>
    <n v="0"/>
    <n v="0"/>
    <n v="0"/>
    <n v="0"/>
  </r>
  <r>
    <x v="9"/>
    <x v="41"/>
    <n v="0"/>
    <n v="0"/>
    <n v="0"/>
    <n v="0"/>
    <n v="0"/>
  </r>
  <r>
    <x v="9"/>
    <x v="42"/>
    <n v="0"/>
    <n v="0"/>
    <n v="0"/>
    <n v="0"/>
    <n v="0"/>
  </r>
  <r>
    <x v="9"/>
    <x v="43"/>
    <n v="0"/>
    <n v="0"/>
    <n v="0"/>
    <n v="0"/>
    <n v="0"/>
  </r>
  <r>
    <x v="9"/>
    <x v="44"/>
    <n v="0"/>
    <n v="0"/>
    <n v="0"/>
    <n v="0"/>
    <n v="0"/>
  </r>
  <r>
    <x v="9"/>
    <x v="45"/>
    <n v="0"/>
    <n v="0"/>
    <n v="0"/>
    <n v="0"/>
    <n v="0"/>
  </r>
  <r>
    <x v="9"/>
    <x v="46"/>
    <n v="0"/>
    <n v="0"/>
    <n v="0"/>
    <n v="0"/>
    <n v="0"/>
  </r>
  <r>
    <x v="9"/>
    <x v="47"/>
    <n v="0"/>
    <n v="0"/>
    <n v="0"/>
    <n v="0"/>
    <n v="0"/>
  </r>
  <r>
    <x v="9"/>
    <x v="48"/>
    <n v="0"/>
    <n v="0"/>
    <n v="0"/>
    <n v="0"/>
    <n v="0"/>
  </r>
  <r>
    <x v="9"/>
    <x v="49"/>
    <n v="0"/>
    <n v="0"/>
    <n v="0"/>
    <n v="0"/>
    <n v="0"/>
  </r>
  <r>
    <x v="9"/>
    <x v="50"/>
    <n v="0"/>
    <n v="0"/>
    <n v="0"/>
    <n v="0"/>
    <n v="0"/>
  </r>
  <r>
    <x v="9"/>
    <x v="51"/>
    <n v="0"/>
    <n v="0"/>
    <n v="0"/>
    <n v="0"/>
    <n v="0"/>
  </r>
  <r>
    <x v="9"/>
    <x v="52"/>
    <n v="0"/>
    <n v="0"/>
    <n v="0"/>
    <n v="0"/>
    <n v="0"/>
  </r>
  <r>
    <x v="9"/>
    <x v="53"/>
    <n v="0"/>
    <n v="0"/>
    <n v="0"/>
    <n v="0"/>
    <n v="0"/>
  </r>
  <r>
    <x v="9"/>
    <x v="54"/>
    <n v="0"/>
    <n v="0"/>
    <n v="0"/>
    <n v="0"/>
    <n v="0"/>
  </r>
  <r>
    <x v="9"/>
    <x v="55"/>
    <n v="0"/>
    <n v="0"/>
    <n v="0"/>
    <n v="0"/>
    <n v="0"/>
  </r>
  <r>
    <x v="9"/>
    <x v="56"/>
    <n v="0"/>
    <n v="0"/>
    <n v="0"/>
    <n v="0"/>
    <n v="0"/>
  </r>
  <r>
    <x v="9"/>
    <x v="57"/>
    <n v="0"/>
    <n v="0"/>
    <n v="0"/>
    <n v="0"/>
    <n v="0"/>
  </r>
  <r>
    <x v="9"/>
    <x v="58"/>
    <n v="0"/>
    <n v="0"/>
    <n v="0"/>
    <n v="0"/>
    <n v="0"/>
  </r>
  <r>
    <x v="9"/>
    <x v="59"/>
    <n v="0"/>
    <n v="0"/>
    <n v="0"/>
    <n v="0"/>
    <n v="0"/>
  </r>
  <r>
    <x v="9"/>
    <x v="60"/>
    <n v="0"/>
    <n v="0"/>
    <n v="0"/>
    <n v="0"/>
    <n v="0"/>
  </r>
  <r>
    <x v="9"/>
    <x v="61"/>
    <n v="0"/>
    <n v="0"/>
    <n v="0"/>
    <n v="0"/>
    <n v="0"/>
  </r>
  <r>
    <x v="9"/>
    <x v="62"/>
    <n v="0"/>
    <n v="0"/>
    <n v="0"/>
    <n v="0"/>
    <n v="0"/>
  </r>
  <r>
    <x v="9"/>
    <x v="63"/>
    <n v="0"/>
    <n v="0"/>
    <n v="0"/>
    <n v="0"/>
    <n v="0"/>
  </r>
  <r>
    <x v="9"/>
    <x v="64"/>
    <n v="0"/>
    <n v="0"/>
    <n v="0"/>
    <n v="0"/>
    <n v="0"/>
  </r>
  <r>
    <x v="9"/>
    <x v="65"/>
    <n v="0"/>
    <n v="0"/>
    <n v="0"/>
    <n v="0"/>
    <n v="0"/>
  </r>
  <r>
    <x v="9"/>
    <x v="66"/>
    <n v="0"/>
    <n v="0"/>
    <n v="0"/>
    <n v="0"/>
    <n v="0"/>
  </r>
  <r>
    <x v="9"/>
    <x v="67"/>
    <n v="0"/>
    <n v="0"/>
    <n v="0"/>
    <n v="0"/>
    <n v="0"/>
  </r>
  <r>
    <x v="9"/>
    <x v="68"/>
    <n v="0"/>
    <m/>
    <m/>
    <m/>
    <n v="0"/>
  </r>
  <r>
    <x v="9"/>
    <x v="69"/>
    <n v="0"/>
    <m/>
    <m/>
    <m/>
    <n v="0"/>
  </r>
  <r>
    <x v="9"/>
    <x v="70"/>
    <n v="0"/>
    <m/>
    <m/>
    <m/>
    <n v="0"/>
  </r>
  <r>
    <x v="9"/>
    <x v="71"/>
    <n v="0"/>
    <m/>
    <m/>
    <m/>
    <n v="0"/>
  </r>
  <r>
    <x v="9"/>
    <x v="72"/>
    <n v="0"/>
    <m/>
    <m/>
    <m/>
    <n v="0"/>
  </r>
  <r>
    <x v="9"/>
    <x v="73"/>
    <n v="0"/>
    <m/>
    <m/>
    <m/>
    <n v="0"/>
  </r>
  <r>
    <x v="9"/>
    <x v="74"/>
    <n v="0"/>
    <m/>
    <m/>
    <m/>
    <n v="0"/>
  </r>
  <r>
    <x v="9"/>
    <x v="75"/>
    <n v="0"/>
    <m/>
    <m/>
    <m/>
    <n v="0"/>
  </r>
  <r>
    <x v="9"/>
    <x v="76"/>
    <n v="0"/>
    <m/>
    <m/>
    <m/>
    <n v="0"/>
  </r>
  <r>
    <x v="9"/>
    <x v="77"/>
    <n v="0"/>
    <m/>
    <m/>
    <m/>
    <n v="0"/>
  </r>
  <r>
    <x v="9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0"/>
    <x v="0"/>
    <n v="0"/>
    <n v="0"/>
    <n v="0"/>
    <n v="50"/>
    <n v="50"/>
  </r>
  <r>
    <x v="10"/>
    <x v="1"/>
    <n v="0"/>
    <n v="0"/>
    <n v="0"/>
    <n v="60"/>
    <n v="60"/>
  </r>
  <r>
    <x v="10"/>
    <x v="2"/>
    <n v="0"/>
    <n v="0"/>
    <n v="0"/>
    <n v="0"/>
    <n v="0"/>
  </r>
  <r>
    <x v="10"/>
    <x v="3"/>
    <n v="0"/>
    <n v="0"/>
    <n v="0"/>
    <n v="0"/>
    <n v="0"/>
  </r>
  <r>
    <x v="10"/>
    <x v="4"/>
    <n v="0"/>
    <n v="0"/>
    <n v="0"/>
    <n v="0"/>
    <n v="0"/>
  </r>
  <r>
    <x v="10"/>
    <x v="5"/>
    <n v="0"/>
    <n v="0"/>
    <n v="0"/>
    <n v="0"/>
    <n v="0"/>
  </r>
  <r>
    <x v="10"/>
    <x v="6"/>
    <n v="0"/>
    <n v="0"/>
    <n v="0"/>
    <n v="0"/>
    <n v="0"/>
  </r>
  <r>
    <x v="10"/>
    <x v="7"/>
    <n v="0"/>
    <n v="0"/>
    <n v="0"/>
    <n v="5"/>
    <n v="5"/>
  </r>
  <r>
    <x v="10"/>
    <x v="8"/>
    <n v="0"/>
    <n v="0"/>
    <n v="0"/>
    <n v="0"/>
    <n v="0"/>
  </r>
  <r>
    <x v="10"/>
    <x v="9"/>
    <n v="0"/>
    <n v="0"/>
    <n v="0"/>
    <n v="0"/>
    <n v="0"/>
  </r>
  <r>
    <x v="10"/>
    <x v="10"/>
    <n v="0"/>
    <n v="0"/>
    <n v="0"/>
    <n v="0"/>
    <n v="0"/>
  </r>
  <r>
    <x v="10"/>
    <x v="11"/>
    <n v="0"/>
    <m/>
    <m/>
    <m/>
    <n v="0"/>
  </r>
  <r>
    <x v="10"/>
    <x v="12"/>
    <n v="0"/>
    <n v="0"/>
    <n v="0"/>
    <n v="0"/>
    <n v="0"/>
  </r>
  <r>
    <x v="10"/>
    <x v="13"/>
    <n v="0"/>
    <n v="0"/>
    <n v="0"/>
    <n v="10"/>
    <n v="10"/>
  </r>
  <r>
    <x v="10"/>
    <x v="14"/>
    <n v="0"/>
    <n v="0"/>
    <n v="0"/>
    <n v="10"/>
    <n v="10"/>
  </r>
  <r>
    <x v="10"/>
    <x v="15"/>
    <n v="0"/>
    <n v="0"/>
    <n v="0"/>
    <n v="0"/>
    <n v="0"/>
  </r>
  <r>
    <x v="10"/>
    <x v="16"/>
    <n v="0"/>
    <n v="0"/>
    <n v="0"/>
    <n v="0"/>
    <n v="0"/>
  </r>
  <r>
    <x v="10"/>
    <x v="17"/>
    <n v="0"/>
    <n v="0"/>
    <n v="0"/>
    <n v="2"/>
    <n v="2"/>
  </r>
  <r>
    <x v="10"/>
    <x v="18"/>
    <n v="0"/>
    <n v="0"/>
    <n v="0"/>
    <n v="0"/>
    <n v="0"/>
  </r>
  <r>
    <x v="10"/>
    <x v="19"/>
    <n v="0"/>
    <n v="0"/>
    <n v="0"/>
    <n v="0"/>
    <n v="0"/>
  </r>
  <r>
    <x v="10"/>
    <x v="20"/>
    <n v="0"/>
    <n v="0"/>
    <n v="0"/>
    <n v="0"/>
    <n v="0"/>
  </r>
  <r>
    <x v="10"/>
    <x v="21"/>
    <n v="0"/>
    <n v="0"/>
    <n v="0"/>
    <n v="0"/>
    <n v="0"/>
  </r>
  <r>
    <x v="10"/>
    <x v="22"/>
    <n v="0"/>
    <n v="0"/>
    <n v="0"/>
    <n v="0"/>
    <n v="0"/>
  </r>
  <r>
    <x v="10"/>
    <x v="23"/>
    <n v="0"/>
    <n v="0"/>
    <n v="0"/>
    <n v="0"/>
    <n v="0"/>
  </r>
  <r>
    <x v="10"/>
    <x v="24"/>
    <n v="0"/>
    <n v="0"/>
    <n v="0"/>
    <n v="0"/>
    <n v="0"/>
  </r>
  <r>
    <x v="10"/>
    <x v="25"/>
    <n v="0"/>
    <n v="0"/>
    <n v="0"/>
    <n v="0"/>
    <n v="0"/>
  </r>
  <r>
    <x v="10"/>
    <x v="26"/>
    <n v="0"/>
    <n v="0"/>
    <n v="0"/>
    <n v="0"/>
    <n v="0"/>
  </r>
  <r>
    <x v="10"/>
    <x v="27"/>
    <n v="0"/>
    <n v="0"/>
    <n v="0"/>
    <n v="0"/>
    <n v="0"/>
  </r>
  <r>
    <x v="10"/>
    <x v="28"/>
    <n v="0"/>
    <n v="0"/>
    <n v="0"/>
    <n v="0"/>
    <n v="0"/>
  </r>
  <r>
    <x v="10"/>
    <x v="29"/>
    <n v="0"/>
    <m/>
    <m/>
    <m/>
    <n v="0"/>
  </r>
  <r>
    <x v="10"/>
    <x v="30"/>
    <n v="0"/>
    <m/>
    <m/>
    <m/>
    <n v="0"/>
  </r>
  <r>
    <x v="10"/>
    <x v="31"/>
    <n v="0"/>
    <n v="0"/>
    <n v="0"/>
    <n v="0"/>
    <n v="0"/>
  </r>
  <r>
    <x v="10"/>
    <x v="32"/>
    <n v="0"/>
    <n v="0"/>
    <n v="0"/>
    <n v="0"/>
    <n v="0"/>
  </r>
  <r>
    <x v="10"/>
    <x v="33"/>
    <n v="0"/>
    <n v="0"/>
    <n v="0"/>
    <n v="0"/>
    <n v="0"/>
  </r>
  <r>
    <x v="10"/>
    <x v="34"/>
    <n v="0"/>
    <n v="0"/>
    <n v="0"/>
    <n v="0"/>
    <n v="0"/>
  </r>
  <r>
    <x v="10"/>
    <x v="35"/>
    <n v="0"/>
    <n v="0"/>
    <n v="0"/>
    <n v="0"/>
    <n v="0"/>
  </r>
  <r>
    <x v="10"/>
    <x v="36"/>
    <n v="0"/>
    <n v="0"/>
    <n v="0"/>
    <n v="0"/>
    <n v="0"/>
  </r>
  <r>
    <x v="10"/>
    <x v="37"/>
    <n v="0"/>
    <n v="0"/>
    <n v="0"/>
    <n v="0"/>
    <n v="0"/>
  </r>
  <r>
    <x v="10"/>
    <x v="38"/>
    <n v="0"/>
    <n v="0"/>
    <n v="0"/>
    <n v="0"/>
    <n v="0"/>
  </r>
  <r>
    <x v="10"/>
    <x v="39"/>
    <n v="0"/>
    <n v="0"/>
    <n v="0"/>
    <n v="0"/>
    <n v="0"/>
  </r>
  <r>
    <x v="10"/>
    <x v="40"/>
    <n v="0"/>
    <n v="0"/>
    <n v="0"/>
    <n v="0"/>
    <n v="0"/>
  </r>
  <r>
    <x v="10"/>
    <x v="41"/>
    <n v="0"/>
    <n v="0"/>
    <n v="0"/>
    <n v="0"/>
    <n v="0"/>
  </r>
  <r>
    <x v="10"/>
    <x v="42"/>
    <n v="0"/>
    <n v="0"/>
    <n v="0"/>
    <n v="0"/>
    <n v="0"/>
  </r>
  <r>
    <x v="10"/>
    <x v="43"/>
    <n v="0"/>
    <n v="0"/>
    <n v="0"/>
    <n v="0"/>
    <n v="0"/>
  </r>
  <r>
    <x v="10"/>
    <x v="44"/>
    <n v="0"/>
    <n v="0"/>
    <n v="0"/>
    <n v="0"/>
    <n v="0"/>
  </r>
  <r>
    <x v="10"/>
    <x v="45"/>
    <n v="0"/>
    <n v="0"/>
    <n v="0"/>
    <n v="0"/>
    <n v="0"/>
  </r>
  <r>
    <x v="10"/>
    <x v="46"/>
    <n v="0"/>
    <n v="0"/>
    <n v="0"/>
    <n v="0"/>
    <n v="0"/>
  </r>
  <r>
    <x v="10"/>
    <x v="47"/>
    <n v="0"/>
    <n v="0"/>
    <n v="0"/>
    <n v="0"/>
    <n v="0"/>
  </r>
  <r>
    <x v="10"/>
    <x v="48"/>
    <n v="0"/>
    <n v="0"/>
    <n v="0"/>
    <n v="0"/>
    <n v="0"/>
  </r>
  <r>
    <x v="10"/>
    <x v="49"/>
    <n v="0"/>
    <n v="0"/>
    <n v="0"/>
    <n v="0"/>
    <n v="0"/>
  </r>
  <r>
    <x v="10"/>
    <x v="50"/>
    <n v="0"/>
    <n v="0"/>
    <n v="0"/>
    <n v="0"/>
    <n v="0"/>
  </r>
  <r>
    <x v="10"/>
    <x v="51"/>
    <n v="0"/>
    <n v="0"/>
    <n v="0"/>
    <n v="0"/>
    <n v="0"/>
  </r>
  <r>
    <x v="10"/>
    <x v="52"/>
    <n v="0"/>
    <n v="0"/>
    <n v="0"/>
    <n v="0"/>
    <n v="0"/>
  </r>
  <r>
    <x v="10"/>
    <x v="53"/>
    <n v="0"/>
    <n v="0"/>
    <n v="0"/>
    <n v="0"/>
    <n v="0"/>
  </r>
  <r>
    <x v="10"/>
    <x v="54"/>
    <n v="0"/>
    <n v="0"/>
    <n v="0"/>
    <n v="0"/>
    <n v="0"/>
  </r>
  <r>
    <x v="10"/>
    <x v="55"/>
    <n v="0"/>
    <n v="0"/>
    <n v="0"/>
    <n v="0"/>
    <n v="0"/>
  </r>
  <r>
    <x v="10"/>
    <x v="56"/>
    <n v="0"/>
    <n v="0"/>
    <n v="0"/>
    <n v="0"/>
    <n v="0"/>
  </r>
  <r>
    <x v="10"/>
    <x v="57"/>
    <n v="0"/>
    <n v="0"/>
    <n v="0"/>
    <n v="0"/>
    <n v="0"/>
  </r>
  <r>
    <x v="10"/>
    <x v="58"/>
    <n v="0"/>
    <n v="0"/>
    <n v="0"/>
    <n v="0"/>
    <n v="0"/>
  </r>
  <r>
    <x v="10"/>
    <x v="59"/>
    <n v="0"/>
    <n v="0"/>
    <n v="0"/>
    <n v="0"/>
    <n v="0"/>
  </r>
  <r>
    <x v="10"/>
    <x v="60"/>
    <n v="0"/>
    <n v="0"/>
    <n v="0"/>
    <n v="0"/>
    <n v="0"/>
  </r>
  <r>
    <x v="10"/>
    <x v="61"/>
    <n v="0"/>
    <n v="0"/>
    <n v="0"/>
    <n v="0"/>
    <n v="0"/>
  </r>
  <r>
    <x v="10"/>
    <x v="62"/>
    <n v="0"/>
    <n v="0"/>
    <n v="0"/>
    <n v="0"/>
    <n v="0"/>
  </r>
  <r>
    <x v="10"/>
    <x v="63"/>
    <n v="0"/>
    <n v="0"/>
    <n v="0"/>
    <n v="0"/>
    <n v="0"/>
  </r>
  <r>
    <x v="10"/>
    <x v="64"/>
    <n v="0"/>
    <n v="0"/>
    <n v="0"/>
    <n v="0"/>
    <n v="0"/>
  </r>
  <r>
    <x v="10"/>
    <x v="65"/>
    <n v="0"/>
    <n v="0"/>
    <n v="0"/>
    <n v="0"/>
    <n v="0"/>
  </r>
  <r>
    <x v="10"/>
    <x v="66"/>
    <n v="0"/>
    <n v="0"/>
    <n v="0"/>
    <n v="0"/>
    <n v="0"/>
  </r>
  <r>
    <x v="10"/>
    <x v="67"/>
    <n v="0"/>
    <n v="0"/>
    <n v="0"/>
    <n v="0"/>
    <n v="0"/>
  </r>
  <r>
    <x v="10"/>
    <x v="68"/>
    <n v="0"/>
    <m/>
    <m/>
    <m/>
    <n v="0"/>
  </r>
  <r>
    <x v="10"/>
    <x v="69"/>
    <n v="0"/>
    <m/>
    <m/>
    <m/>
    <n v="0"/>
  </r>
  <r>
    <x v="10"/>
    <x v="70"/>
    <n v="0"/>
    <m/>
    <m/>
    <m/>
    <n v="0"/>
  </r>
  <r>
    <x v="10"/>
    <x v="71"/>
    <n v="0"/>
    <m/>
    <m/>
    <m/>
    <n v="0"/>
  </r>
  <r>
    <x v="10"/>
    <x v="72"/>
    <n v="0"/>
    <m/>
    <m/>
    <m/>
    <n v="0"/>
  </r>
  <r>
    <x v="10"/>
    <x v="73"/>
    <n v="0"/>
    <m/>
    <m/>
    <m/>
    <n v="0"/>
  </r>
  <r>
    <x v="10"/>
    <x v="74"/>
    <n v="0"/>
    <m/>
    <m/>
    <m/>
    <n v="0"/>
  </r>
  <r>
    <x v="10"/>
    <x v="75"/>
    <n v="0"/>
    <m/>
    <m/>
    <m/>
    <n v="0"/>
  </r>
  <r>
    <x v="10"/>
    <x v="76"/>
    <n v="0"/>
    <m/>
    <m/>
    <m/>
    <n v="0"/>
  </r>
  <r>
    <x v="10"/>
    <x v="77"/>
    <n v="0"/>
    <m/>
    <m/>
    <m/>
    <n v="0"/>
  </r>
  <r>
    <x v="10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1"/>
    <x v="0"/>
    <n v="0"/>
    <n v="0"/>
    <n v="0"/>
    <n v="0"/>
    <n v="0"/>
  </r>
  <r>
    <x v="11"/>
    <x v="1"/>
    <n v="0"/>
    <n v="0"/>
    <n v="0"/>
    <n v="0"/>
    <n v="0"/>
  </r>
  <r>
    <x v="11"/>
    <x v="2"/>
    <n v="0"/>
    <n v="0"/>
    <n v="0"/>
    <n v="0"/>
    <n v="0"/>
  </r>
  <r>
    <x v="11"/>
    <x v="3"/>
    <n v="0"/>
    <n v="0"/>
    <n v="0"/>
    <n v="0"/>
    <n v="0"/>
  </r>
  <r>
    <x v="11"/>
    <x v="4"/>
    <n v="0"/>
    <n v="0"/>
    <n v="0"/>
    <n v="0"/>
    <n v="0"/>
  </r>
  <r>
    <x v="11"/>
    <x v="5"/>
    <n v="0"/>
    <n v="0"/>
    <n v="0"/>
    <n v="0"/>
    <n v="0"/>
  </r>
  <r>
    <x v="11"/>
    <x v="6"/>
    <n v="0"/>
    <n v="0"/>
    <n v="0"/>
    <n v="0"/>
    <n v="0"/>
  </r>
  <r>
    <x v="11"/>
    <x v="7"/>
    <n v="0"/>
    <n v="0"/>
    <n v="0"/>
    <n v="0"/>
    <n v="0"/>
  </r>
  <r>
    <x v="11"/>
    <x v="8"/>
    <n v="0"/>
    <n v="0"/>
    <n v="0"/>
    <n v="0"/>
    <n v="0"/>
  </r>
  <r>
    <x v="11"/>
    <x v="9"/>
    <n v="0"/>
    <n v="0"/>
    <n v="0"/>
    <n v="0"/>
    <n v="0"/>
  </r>
  <r>
    <x v="11"/>
    <x v="10"/>
    <n v="0"/>
    <n v="0"/>
    <n v="0"/>
    <n v="0"/>
    <n v="0"/>
  </r>
  <r>
    <x v="11"/>
    <x v="11"/>
    <n v="0"/>
    <m/>
    <m/>
    <m/>
    <n v="0"/>
  </r>
  <r>
    <x v="11"/>
    <x v="12"/>
    <n v="0"/>
    <n v="0"/>
    <n v="0"/>
    <n v="0"/>
    <n v="0"/>
  </r>
  <r>
    <x v="11"/>
    <x v="13"/>
    <n v="0"/>
    <n v="0"/>
    <n v="0"/>
    <n v="0"/>
    <n v="0"/>
  </r>
  <r>
    <x v="11"/>
    <x v="14"/>
    <n v="0"/>
    <n v="0"/>
    <n v="0"/>
    <n v="0"/>
    <n v="0"/>
  </r>
  <r>
    <x v="11"/>
    <x v="15"/>
    <n v="0"/>
    <n v="0"/>
    <n v="0"/>
    <n v="0"/>
    <n v="0"/>
  </r>
  <r>
    <x v="11"/>
    <x v="16"/>
    <n v="0"/>
    <n v="0"/>
    <n v="0"/>
    <n v="0"/>
    <n v="0"/>
  </r>
  <r>
    <x v="11"/>
    <x v="17"/>
    <n v="0"/>
    <n v="0"/>
    <n v="0"/>
    <n v="0"/>
    <n v="0"/>
  </r>
  <r>
    <x v="11"/>
    <x v="18"/>
    <n v="0"/>
    <n v="0"/>
    <n v="0"/>
    <n v="0"/>
    <n v="0"/>
  </r>
  <r>
    <x v="11"/>
    <x v="19"/>
    <n v="0"/>
    <n v="0"/>
    <n v="0"/>
    <n v="0"/>
    <n v="0"/>
  </r>
  <r>
    <x v="11"/>
    <x v="20"/>
    <n v="0"/>
    <n v="0"/>
    <n v="0"/>
    <n v="0"/>
    <n v="0"/>
  </r>
  <r>
    <x v="11"/>
    <x v="21"/>
    <n v="0"/>
    <n v="0"/>
    <n v="0"/>
    <n v="0"/>
    <n v="0"/>
  </r>
  <r>
    <x v="11"/>
    <x v="22"/>
    <n v="0"/>
    <n v="0"/>
    <n v="0"/>
    <n v="0"/>
    <n v="0"/>
  </r>
  <r>
    <x v="11"/>
    <x v="23"/>
    <n v="0"/>
    <n v="0"/>
    <n v="0"/>
    <n v="0"/>
    <n v="0"/>
  </r>
  <r>
    <x v="11"/>
    <x v="24"/>
    <n v="0"/>
    <n v="0"/>
    <n v="0"/>
    <n v="0"/>
    <n v="0"/>
  </r>
  <r>
    <x v="11"/>
    <x v="25"/>
    <n v="0"/>
    <n v="0"/>
    <n v="0"/>
    <n v="0"/>
    <n v="0"/>
  </r>
  <r>
    <x v="11"/>
    <x v="26"/>
    <n v="0"/>
    <n v="0"/>
    <n v="0"/>
    <n v="0"/>
    <n v="0"/>
  </r>
  <r>
    <x v="11"/>
    <x v="27"/>
    <n v="0"/>
    <n v="0"/>
    <n v="0"/>
    <n v="0"/>
    <n v="0"/>
  </r>
  <r>
    <x v="11"/>
    <x v="28"/>
    <n v="0"/>
    <n v="0"/>
    <n v="0"/>
    <n v="0"/>
    <n v="0"/>
  </r>
  <r>
    <x v="11"/>
    <x v="29"/>
    <n v="0"/>
    <m/>
    <m/>
    <m/>
    <n v="0"/>
  </r>
  <r>
    <x v="11"/>
    <x v="30"/>
    <n v="0"/>
    <m/>
    <m/>
    <m/>
    <n v="0"/>
  </r>
  <r>
    <x v="11"/>
    <x v="31"/>
    <n v="0"/>
    <n v="0"/>
    <n v="0"/>
    <n v="0"/>
    <n v="0"/>
  </r>
  <r>
    <x v="11"/>
    <x v="32"/>
    <n v="0"/>
    <n v="0"/>
    <n v="0"/>
    <n v="0"/>
    <n v="0"/>
  </r>
  <r>
    <x v="11"/>
    <x v="33"/>
    <n v="0"/>
    <n v="0"/>
    <n v="0"/>
    <n v="0"/>
    <n v="0"/>
  </r>
  <r>
    <x v="11"/>
    <x v="34"/>
    <n v="0"/>
    <n v="0"/>
    <n v="0"/>
    <n v="0"/>
    <n v="0"/>
  </r>
  <r>
    <x v="11"/>
    <x v="35"/>
    <n v="0"/>
    <n v="0"/>
    <n v="0"/>
    <n v="0"/>
    <n v="0"/>
  </r>
  <r>
    <x v="11"/>
    <x v="36"/>
    <n v="0"/>
    <n v="0"/>
    <n v="0"/>
    <n v="0"/>
    <n v="0"/>
  </r>
  <r>
    <x v="11"/>
    <x v="37"/>
    <n v="0"/>
    <n v="0"/>
    <n v="0"/>
    <n v="0"/>
    <n v="0"/>
  </r>
  <r>
    <x v="11"/>
    <x v="38"/>
    <n v="0"/>
    <n v="0"/>
    <n v="0"/>
    <n v="0"/>
    <n v="0"/>
  </r>
  <r>
    <x v="11"/>
    <x v="39"/>
    <n v="0"/>
    <n v="0"/>
    <n v="0"/>
    <n v="0"/>
    <n v="0"/>
  </r>
  <r>
    <x v="11"/>
    <x v="40"/>
    <n v="0"/>
    <n v="0"/>
    <n v="0"/>
    <n v="0"/>
    <n v="0"/>
  </r>
  <r>
    <x v="11"/>
    <x v="41"/>
    <n v="0"/>
    <n v="0"/>
    <n v="0"/>
    <n v="0"/>
    <n v="0"/>
  </r>
  <r>
    <x v="11"/>
    <x v="42"/>
    <n v="0"/>
    <n v="0"/>
    <n v="0"/>
    <n v="0"/>
    <n v="0"/>
  </r>
  <r>
    <x v="11"/>
    <x v="43"/>
    <n v="0"/>
    <n v="0"/>
    <n v="0"/>
    <n v="0"/>
    <n v="0"/>
  </r>
  <r>
    <x v="11"/>
    <x v="44"/>
    <n v="0"/>
    <n v="0"/>
    <n v="0"/>
    <n v="2"/>
    <n v="2"/>
  </r>
  <r>
    <x v="11"/>
    <x v="45"/>
    <n v="0"/>
    <n v="0"/>
    <n v="0"/>
    <n v="0"/>
    <n v="0"/>
  </r>
  <r>
    <x v="11"/>
    <x v="46"/>
    <n v="0"/>
    <n v="0"/>
    <n v="0"/>
    <n v="0"/>
    <n v="0"/>
  </r>
  <r>
    <x v="11"/>
    <x v="47"/>
    <n v="0"/>
    <n v="0"/>
    <n v="0"/>
    <n v="0"/>
    <n v="0"/>
  </r>
  <r>
    <x v="11"/>
    <x v="48"/>
    <n v="0"/>
    <n v="0"/>
    <n v="0"/>
    <n v="0"/>
    <n v="0"/>
  </r>
  <r>
    <x v="11"/>
    <x v="49"/>
    <n v="0"/>
    <n v="0"/>
    <n v="0"/>
    <n v="0"/>
    <n v="0"/>
  </r>
  <r>
    <x v="11"/>
    <x v="50"/>
    <n v="0"/>
    <n v="0"/>
    <n v="0"/>
    <n v="0"/>
    <n v="0"/>
  </r>
  <r>
    <x v="11"/>
    <x v="51"/>
    <n v="0"/>
    <n v="0"/>
    <n v="0"/>
    <n v="0"/>
    <n v="0"/>
  </r>
  <r>
    <x v="11"/>
    <x v="52"/>
    <n v="0"/>
    <n v="0"/>
    <n v="0"/>
    <n v="0"/>
    <n v="0"/>
  </r>
  <r>
    <x v="11"/>
    <x v="53"/>
    <n v="0"/>
    <n v="0"/>
    <n v="0"/>
    <n v="0"/>
    <n v="0"/>
  </r>
  <r>
    <x v="11"/>
    <x v="54"/>
    <n v="0"/>
    <n v="0"/>
    <n v="0"/>
    <n v="0"/>
    <n v="0"/>
  </r>
  <r>
    <x v="11"/>
    <x v="55"/>
    <n v="0"/>
    <n v="0"/>
    <n v="0"/>
    <n v="0"/>
    <n v="0"/>
  </r>
  <r>
    <x v="11"/>
    <x v="56"/>
    <n v="0"/>
    <n v="0"/>
    <n v="0"/>
    <n v="0"/>
    <n v="0"/>
  </r>
  <r>
    <x v="11"/>
    <x v="57"/>
    <n v="0"/>
    <n v="0"/>
    <n v="0"/>
    <n v="0"/>
    <n v="0"/>
  </r>
  <r>
    <x v="11"/>
    <x v="58"/>
    <n v="0"/>
    <n v="0"/>
    <n v="0"/>
    <n v="0"/>
    <n v="0"/>
  </r>
  <r>
    <x v="11"/>
    <x v="59"/>
    <n v="0"/>
    <n v="0"/>
    <n v="0"/>
    <n v="0"/>
    <n v="0"/>
  </r>
  <r>
    <x v="11"/>
    <x v="60"/>
    <n v="0"/>
    <n v="0"/>
    <n v="0"/>
    <n v="0"/>
    <n v="0"/>
  </r>
  <r>
    <x v="11"/>
    <x v="61"/>
    <n v="0"/>
    <n v="0"/>
    <n v="0"/>
    <n v="0"/>
    <n v="0"/>
  </r>
  <r>
    <x v="11"/>
    <x v="62"/>
    <n v="0"/>
    <n v="0"/>
    <n v="0"/>
    <n v="0"/>
    <n v="0"/>
  </r>
  <r>
    <x v="11"/>
    <x v="63"/>
    <n v="0"/>
    <n v="0"/>
    <n v="0"/>
    <n v="0"/>
    <n v="0"/>
  </r>
  <r>
    <x v="11"/>
    <x v="64"/>
    <n v="0"/>
    <n v="0"/>
    <n v="0"/>
    <n v="0"/>
    <n v="0"/>
  </r>
  <r>
    <x v="11"/>
    <x v="65"/>
    <n v="0"/>
    <n v="0"/>
    <n v="0"/>
    <n v="0"/>
    <n v="0"/>
  </r>
  <r>
    <x v="11"/>
    <x v="66"/>
    <n v="0"/>
    <n v="0"/>
    <n v="0"/>
    <n v="0"/>
    <n v="0"/>
  </r>
  <r>
    <x v="11"/>
    <x v="67"/>
    <n v="0"/>
    <n v="0"/>
    <n v="0"/>
    <n v="0"/>
    <n v="0"/>
  </r>
  <r>
    <x v="11"/>
    <x v="68"/>
    <n v="0"/>
    <m/>
    <m/>
    <m/>
    <n v="0"/>
  </r>
  <r>
    <x v="11"/>
    <x v="69"/>
    <n v="0"/>
    <m/>
    <m/>
    <m/>
    <n v="0"/>
  </r>
  <r>
    <x v="11"/>
    <x v="70"/>
    <n v="0"/>
    <m/>
    <m/>
    <m/>
    <n v="0"/>
  </r>
  <r>
    <x v="11"/>
    <x v="71"/>
    <n v="0"/>
    <m/>
    <m/>
    <m/>
    <n v="0"/>
  </r>
  <r>
    <x v="11"/>
    <x v="72"/>
    <n v="0"/>
    <m/>
    <m/>
    <m/>
    <n v="0"/>
  </r>
  <r>
    <x v="11"/>
    <x v="73"/>
    <n v="0"/>
    <m/>
    <m/>
    <m/>
    <n v="0"/>
  </r>
  <r>
    <x v="11"/>
    <x v="74"/>
    <n v="0"/>
    <m/>
    <m/>
    <m/>
    <n v="0"/>
  </r>
  <r>
    <x v="11"/>
    <x v="75"/>
    <n v="0"/>
    <m/>
    <m/>
    <m/>
    <n v="0"/>
  </r>
  <r>
    <x v="11"/>
    <x v="76"/>
    <n v="0"/>
    <m/>
    <m/>
    <m/>
    <n v="0"/>
  </r>
  <r>
    <x v="11"/>
    <x v="77"/>
    <n v="0"/>
    <m/>
    <m/>
    <m/>
    <n v="0"/>
  </r>
  <r>
    <x v="11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2"/>
    <x v="0"/>
    <n v="0"/>
    <n v="0"/>
    <n v="0"/>
    <n v="0"/>
    <n v="0"/>
  </r>
  <r>
    <x v="12"/>
    <x v="1"/>
    <n v="0"/>
    <n v="0"/>
    <n v="0"/>
    <n v="0"/>
    <n v="0"/>
  </r>
  <r>
    <x v="12"/>
    <x v="2"/>
    <n v="0"/>
    <n v="0"/>
    <n v="0"/>
    <n v="0"/>
    <n v="0"/>
  </r>
  <r>
    <x v="12"/>
    <x v="3"/>
    <n v="0"/>
    <n v="0"/>
    <n v="0"/>
    <n v="0"/>
    <n v="0"/>
  </r>
  <r>
    <x v="12"/>
    <x v="4"/>
    <n v="0"/>
    <n v="0"/>
    <n v="0"/>
    <n v="0"/>
    <n v="0"/>
  </r>
  <r>
    <x v="12"/>
    <x v="5"/>
    <n v="0"/>
    <n v="0"/>
    <n v="0"/>
    <n v="0"/>
    <n v="0"/>
  </r>
  <r>
    <x v="12"/>
    <x v="6"/>
    <n v="0"/>
    <n v="0"/>
    <n v="0"/>
    <n v="0"/>
    <n v="0"/>
  </r>
  <r>
    <x v="12"/>
    <x v="7"/>
    <n v="0"/>
    <n v="0"/>
    <n v="0"/>
    <n v="0"/>
    <n v="0"/>
  </r>
  <r>
    <x v="12"/>
    <x v="8"/>
    <n v="0"/>
    <n v="0"/>
    <n v="0"/>
    <n v="0"/>
    <n v="0"/>
  </r>
  <r>
    <x v="12"/>
    <x v="9"/>
    <n v="0"/>
    <n v="0"/>
    <n v="0"/>
    <n v="0"/>
    <n v="0"/>
  </r>
  <r>
    <x v="12"/>
    <x v="10"/>
    <n v="0"/>
    <n v="0"/>
    <n v="0"/>
    <n v="0"/>
    <n v="0"/>
  </r>
  <r>
    <x v="12"/>
    <x v="11"/>
    <n v="6"/>
    <m/>
    <m/>
    <m/>
    <n v="6"/>
  </r>
  <r>
    <x v="12"/>
    <x v="12"/>
    <n v="0"/>
    <n v="0"/>
    <n v="0"/>
    <n v="0"/>
    <n v="0"/>
  </r>
  <r>
    <x v="12"/>
    <x v="13"/>
    <n v="0"/>
    <n v="0"/>
    <n v="0"/>
    <n v="0"/>
    <n v="0"/>
  </r>
  <r>
    <x v="12"/>
    <x v="14"/>
    <n v="0"/>
    <n v="0"/>
    <n v="0"/>
    <n v="0"/>
    <n v="0"/>
  </r>
  <r>
    <x v="12"/>
    <x v="15"/>
    <n v="0"/>
    <n v="0"/>
    <n v="0"/>
    <n v="0"/>
    <n v="0"/>
  </r>
  <r>
    <x v="12"/>
    <x v="16"/>
    <n v="0"/>
    <n v="0"/>
    <n v="0"/>
    <n v="0"/>
    <n v="0"/>
  </r>
  <r>
    <x v="12"/>
    <x v="17"/>
    <n v="0"/>
    <n v="0"/>
    <n v="0"/>
    <n v="0"/>
    <n v="0"/>
  </r>
  <r>
    <x v="12"/>
    <x v="18"/>
    <n v="0"/>
    <n v="0"/>
    <n v="0"/>
    <n v="0"/>
    <n v="0"/>
  </r>
  <r>
    <x v="12"/>
    <x v="19"/>
    <n v="0"/>
    <n v="0"/>
    <n v="0"/>
    <n v="0"/>
    <n v="0"/>
  </r>
  <r>
    <x v="12"/>
    <x v="20"/>
    <n v="0"/>
    <n v="0"/>
    <n v="0"/>
    <n v="0"/>
    <n v="0"/>
  </r>
  <r>
    <x v="12"/>
    <x v="21"/>
    <n v="0"/>
    <n v="0"/>
    <n v="0"/>
    <n v="0"/>
    <n v="0"/>
  </r>
  <r>
    <x v="12"/>
    <x v="22"/>
    <n v="0"/>
    <n v="0"/>
    <n v="0"/>
    <n v="0"/>
    <n v="0"/>
  </r>
  <r>
    <x v="12"/>
    <x v="23"/>
    <n v="0"/>
    <n v="0"/>
    <n v="0"/>
    <n v="0"/>
    <n v="0"/>
  </r>
  <r>
    <x v="12"/>
    <x v="24"/>
    <n v="0"/>
    <n v="0"/>
    <n v="0"/>
    <n v="0"/>
    <n v="0"/>
  </r>
  <r>
    <x v="12"/>
    <x v="25"/>
    <n v="0"/>
    <n v="0"/>
    <n v="0"/>
    <n v="0"/>
    <n v="0"/>
  </r>
  <r>
    <x v="12"/>
    <x v="26"/>
    <n v="0"/>
    <n v="0"/>
    <n v="0"/>
    <n v="0"/>
    <n v="0"/>
  </r>
  <r>
    <x v="12"/>
    <x v="27"/>
    <n v="0"/>
    <n v="0"/>
    <n v="0"/>
    <n v="0"/>
    <n v="0"/>
  </r>
  <r>
    <x v="12"/>
    <x v="28"/>
    <n v="0"/>
    <n v="0"/>
    <n v="0"/>
    <n v="0"/>
    <n v="0"/>
  </r>
  <r>
    <x v="12"/>
    <x v="29"/>
    <n v="0"/>
    <m/>
    <m/>
    <m/>
    <n v="0"/>
  </r>
  <r>
    <x v="12"/>
    <x v="30"/>
    <n v="0"/>
    <m/>
    <m/>
    <m/>
    <n v="0"/>
  </r>
  <r>
    <x v="12"/>
    <x v="31"/>
    <n v="0"/>
    <n v="0"/>
    <n v="0"/>
    <n v="0"/>
    <n v="0"/>
  </r>
  <r>
    <x v="12"/>
    <x v="32"/>
    <n v="0"/>
    <n v="0"/>
    <n v="0"/>
    <n v="0"/>
    <n v="0"/>
  </r>
  <r>
    <x v="12"/>
    <x v="33"/>
    <n v="0"/>
    <n v="0"/>
    <n v="0"/>
    <n v="0"/>
    <n v="0"/>
  </r>
  <r>
    <x v="12"/>
    <x v="34"/>
    <n v="0"/>
    <n v="0"/>
    <n v="0"/>
    <n v="0"/>
    <n v="0"/>
  </r>
  <r>
    <x v="12"/>
    <x v="35"/>
    <n v="0"/>
    <n v="0"/>
    <n v="0"/>
    <n v="0"/>
    <n v="0"/>
  </r>
  <r>
    <x v="12"/>
    <x v="36"/>
    <n v="0"/>
    <n v="0"/>
    <n v="0"/>
    <n v="0"/>
    <n v="0"/>
  </r>
  <r>
    <x v="12"/>
    <x v="37"/>
    <n v="0"/>
    <n v="0"/>
    <n v="0"/>
    <n v="0"/>
    <n v="0"/>
  </r>
  <r>
    <x v="12"/>
    <x v="38"/>
    <n v="0"/>
    <n v="0"/>
    <n v="0"/>
    <n v="0"/>
    <n v="0"/>
  </r>
  <r>
    <x v="12"/>
    <x v="39"/>
    <n v="0"/>
    <n v="0"/>
    <n v="0"/>
    <n v="0"/>
    <n v="0"/>
  </r>
  <r>
    <x v="12"/>
    <x v="40"/>
    <n v="0"/>
    <n v="0"/>
    <n v="0"/>
    <n v="0"/>
    <n v="0"/>
  </r>
  <r>
    <x v="12"/>
    <x v="41"/>
    <n v="0"/>
    <n v="0"/>
    <n v="0"/>
    <n v="0"/>
    <n v="0"/>
  </r>
  <r>
    <x v="12"/>
    <x v="42"/>
    <n v="0"/>
    <n v="0"/>
    <n v="0"/>
    <n v="0"/>
    <n v="0"/>
  </r>
  <r>
    <x v="12"/>
    <x v="43"/>
    <n v="0"/>
    <n v="0"/>
    <n v="0"/>
    <n v="0"/>
    <n v="0"/>
  </r>
  <r>
    <x v="12"/>
    <x v="44"/>
    <n v="0"/>
    <n v="0"/>
    <n v="0"/>
    <n v="0"/>
    <n v="0"/>
  </r>
  <r>
    <x v="12"/>
    <x v="45"/>
    <n v="0"/>
    <n v="0"/>
    <n v="0"/>
    <n v="0"/>
    <n v="0"/>
  </r>
  <r>
    <x v="12"/>
    <x v="46"/>
    <n v="0"/>
    <n v="0"/>
    <n v="0"/>
    <n v="0"/>
    <n v="0"/>
  </r>
  <r>
    <x v="12"/>
    <x v="47"/>
    <n v="0"/>
    <n v="0"/>
    <n v="0"/>
    <n v="0"/>
    <n v="0"/>
  </r>
  <r>
    <x v="12"/>
    <x v="48"/>
    <n v="0"/>
    <n v="0"/>
    <n v="0"/>
    <n v="0"/>
    <n v="0"/>
  </r>
  <r>
    <x v="12"/>
    <x v="49"/>
    <n v="0"/>
    <n v="0"/>
    <n v="0"/>
    <n v="0"/>
    <n v="0"/>
  </r>
  <r>
    <x v="12"/>
    <x v="50"/>
    <n v="0"/>
    <n v="0"/>
    <n v="0"/>
    <n v="0"/>
    <n v="0"/>
  </r>
  <r>
    <x v="12"/>
    <x v="51"/>
    <n v="0"/>
    <n v="0"/>
    <n v="0"/>
    <n v="0"/>
    <n v="0"/>
  </r>
  <r>
    <x v="12"/>
    <x v="52"/>
    <n v="0"/>
    <n v="0"/>
    <n v="0"/>
    <n v="0"/>
    <n v="0"/>
  </r>
  <r>
    <x v="12"/>
    <x v="53"/>
    <n v="0"/>
    <n v="0"/>
    <n v="0"/>
    <n v="0"/>
    <n v="0"/>
  </r>
  <r>
    <x v="12"/>
    <x v="54"/>
    <n v="0"/>
    <n v="0"/>
    <n v="0"/>
    <n v="0"/>
    <n v="0"/>
  </r>
  <r>
    <x v="12"/>
    <x v="55"/>
    <n v="0"/>
    <n v="0"/>
    <n v="0"/>
    <n v="0"/>
    <n v="0"/>
  </r>
  <r>
    <x v="12"/>
    <x v="56"/>
    <n v="0"/>
    <n v="0"/>
    <n v="0"/>
    <n v="0"/>
    <n v="0"/>
  </r>
  <r>
    <x v="12"/>
    <x v="57"/>
    <n v="0"/>
    <n v="0"/>
    <n v="0"/>
    <n v="0"/>
    <n v="0"/>
  </r>
  <r>
    <x v="12"/>
    <x v="58"/>
    <n v="0"/>
    <n v="0"/>
    <n v="0"/>
    <n v="0"/>
    <n v="0"/>
  </r>
  <r>
    <x v="12"/>
    <x v="59"/>
    <n v="0"/>
    <n v="0"/>
    <n v="0"/>
    <n v="0"/>
    <n v="0"/>
  </r>
  <r>
    <x v="12"/>
    <x v="60"/>
    <n v="0"/>
    <n v="0"/>
    <n v="0"/>
    <n v="0"/>
    <n v="0"/>
  </r>
  <r>
    <x v="12"/>
    <x v="61"/>
    <n v="0"/>
    <n v="0"/>
    <n v="0"/>
    <n v="0"/>
    <n v="0"/>
  </r>
  <r>
    <x v="12"/>
    <x v="62"/>
    <n v="0"/>
    <n v="0"/>
    <n v="0"/>
    <n v="0"/>
    <n v="0"/>
  </r>
  <r>
    <x v="12"/>
    <x v="63"/>
    <n v="0"/>
    <n v="0"/>
    <n v="0"/>
    <n v="0"/>
    <n v="0"/>
  </r>
  <r>
    <x v="12"/>
    <x v="64"/>
    <n v="0"/>
    <n v="0"/>
    <n v="0"/>
    <n v="0"/>
    <n v="0"/>
  </r>
  <r>
    <x v="12"/>
    <x v="65"/>
    <n v="0"/>
    <n v="0"/>
    <n v="0"/>
    <n v="0"/>
    <n v="0"/>
  </r>
  <r>
    <x v="12"/>
    <x v="66"/>
    <n v="0"/>
    <n v="0"/>
    <n v="0"/>
    <n v="0"/>
    <n v="0"/>
  </r>
  <r>
    <x v="12"/>
    <x v="67"/>
    <n v="0"/>
    <n v="0"/>
    <n v="0"/>
    <n v="0"/>
    <n v="0"/>
  </r>
  <r>
    <x v="12"/>
    <x v="68"/>
    <n v="0"/>
    <m/>
    <m/>
    <m/>
    <n v="0"/>
  </r>
  <r>
    <x v="12"/>
    <x v="69"/>
    <n v="0"/>
    <m/>
    <m/>
    <m/>
    <n v="0"/>
  </r>
  <r>
    <x v="12"/>
    <x v="70"/>
    <n v="0"/>
    <m/>
    <m/>
    <m/>
    <n v="0"/>
  </r>
  <r>
    <x v="12"/>
    <x v="71"/>
    <n v="0"/>
    <m/>
    <m/>
    <m/>
    <n v="0"/>
  </r>
  <r>
    <x v="12"/>
    <x v="72"/>
    <n v="0"/>
    <m/>
    <m/>
    <m/>
    <n v="0"/>
  </r>
  <r>
    <x v="12"/>
    <x v="73"/>
    <n v="0"/>
    <m/>
    <m/>
    <m/>
    <n v="0"/>
  </r>
  <r>
    <x v="12"/>
    <x v="74"/>
    <n v="0"/>
    <m/>
    <m/>
    <m/>
    <n v="0"/>
  </r>
  <r>
    <x v="12"/>
    <x v="75"/>
    <n v="0"/>
    <m/>
    <m/>
    <m/>
    <n v="0"/>
  </r>
  <r>
    <x v="12"/>
    <x v="76"/>
    <n v="0"/>
    <m/>
    <m/>
    <m/>
    <n v="0"/>
  </r>
  <r>
    <x v="12"/>
    <x v="77"/>
    <n v="0"/>
    <m/>
    <m/>
    <m/>
    <n v="0"/>
  </r>
  <r>
    <x v="12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2"/>
    <x v="0"/>
    <n v="0"/>
    <n v="0"/>
    <n v="0"/>
    <n v="6"/>
    <n v="6"/>
  </r>
  <r>
    <x v="12"/>
    <x v="1"/>
    <n v="0"/>
    <n v="0"/>
    <n v="0"/>
    <n v="6"/>
    <n v="6"/>
  </r>
  <r>
    <x v="12"/>
    <x v="2"/>
    <n v="0"/>
    <n v="0"/>
    <n v="0"/>
    <n v="0"/>
    <n v="0"/>
  </r>
  <r>
    <x v="12"/>
    <x v="3"/>
    <n v="0"/>
    <n v="0"/>
    <n v="0"/>
    <n v="0"/>
    <n v="0"/>
  </r>
  <r>
    <x v="12"/>
    <x v="4"/>
    <n v="0"/>
    <n v="0"/>
    <n v="0"/>
    <n v="0"/>
    <n v="0"/>
  </r>
  <r>
    <x v="12"/>
    <x v="5"/>
    <n v="0"/>
    <n v="0"/>
    <n v="0"/>
    <n v="0"/>
    <n v="0"/>
  </r>
  <r>
    <x v="12"/>
    <x v="6"/>
    <n v="0"/>
    <n v="0"/>
    <n v="0"/>
    <n v="0"/>
    <n v="0"/>
  </r>
  <r>
    <x v="12"/>
    <x v="7"/>
    <n v="0"/>
    <n v="0"/>
    <n v="0"/>
    <n v="3"/>
    <n v="3"/>
  </r>
  <r>
    <x v="12"/>
    <x v="8"/>
    <n v="0"/>
    <n v="0"/>
    <n v="0"/>
    <n v="0"/>
    <n v="0"/>
  </r>
  <r>
    <x v="12"/>
    <x v="9"/>
    <n v="0"/>
    <n v="0"/>
    <n v="0"/>
    <n v="4"/>
    <n v="4"/>
  </r>
  <r>
    <x v="12"/>
    <x v="10"/>
    <n v="0"/>
    <n v="0"/>
    <n v="0"/>
    <n v="0"/>
    <n v="0"/>
  </r>
  <r>
    <x v="12"/>
    <x v="11"/>
    <n v="0"/>
    <m/>
    <m/>
    <m/>
    <n v="0"/>
  </r>
  <r>
    <x v="12"/>
    <x v="12"/>
    <n v="0"/>
    <n v="0"/>
    <n v="0"/>
    <n v="0"/>
    <n v="0"/>
  </r>
  <r>
    <x v="12"/>
    <x v="13"/>
    <n v="0"/>
    <n v="0"/>
    <n v="0"/>
    <n v="0"/>
    <n v="0"/>
  </r>
  <r>
    <x v="12"/>
    <x v="14"/>
    <n v="0"/>
    <n v="0"/>
    <n v="0"/>
    <n v="0"/>
    <n v="0"/>
  </r>
  <r>
    <x v="12"/>
    <x v="15"/>
    <n v="0"/>
    <n v="0"/>
    <n v="0"/>
    <n v="2"/>
    <n v="2"/>
  </r>
  <r>
    <x v="12"/>
    <x v="16"/>
    <n v="0"/>
    <n v="0"/>
    <n v="0"/>
    <n v="0"/>
    <n v="0"/>
  </r>
  <r>
    <x v="12"/>
    <x v="17"/>
    <n v="0"/>
    <n v="0"/>
    <n v="0"/>
    <n v="0"/>
    <n v="0"/>
  </r>
  <r>
    <x v="12"/>
    <x v="18"/>
    <n v="0"/>
    <n v="0"/>
    <n v="0"/>
    <n v="0"/>
    <n v="0"/>
  </r>
  <r>
    <x v="12"/>
    <x v="19"/>
    <n v="0"/>
    <n v="0"/>
    <n v="0"/>
    <n v="0"/>
    <n v="0"/>
  </r>
  <r>
    <x v="12"/>
    <x v="20"/>
    <n v="0"/>
    <n v="0"/>
    <n v="0"/>
    <n v="0"/>
    <n v="0"/>
  </r>
  <r>
    <x v="12"/>
    <x v="21"/>
    <n v="0"/>
    <n v="0"/>
    <n v="0"/>
    <n v="0"/>
    <n v="0"/>
  </r>
  <r>
    <x v="12"/>
    <x v="22"/>
    <n v="0"/>
    <n v="0"/>
    <n v="0"/>
    <n v="0"/>
    <n v="0"/>
  </r>
  <r>
    <x v="12"/>
    <x v="23"/>
    <n v="0"/>
    <n v="0"/>
    <n v="0"/>
    <n v="0"/>
    <n v="0"/>
  </r>
  <r>
    <x v="12"/>
    <x v="24"/>
    <n v="0"/>
    <n v="0"/>
    <n v="0"/>
    <n v="0"/>
    <n v="0"/>
  </r>
  <r>
    <x v="12"/>
    <x v="25"/>
    <n v="0"/>
    <n v="0"/>
    <n v="0"/>
    <n v="0"/>
    <n v="0"/>
  </r>
  <r>
    <x v="12"/>
    <x v="26"/>
    <n v="0"/>
    <n v="0"/>
    <n v="0"/>
    <n v="0"/>
    <n v="0"/>
  </r>
  <r>
    <x v="12"/>
    <x v="27"/>
    <n v="0"/>
    <n v="0"/>
    <n v="0"/>
    <n v="0"/>
    <n v="0"/>
  </r>
  <r>
    <x v="12"/>
    <x v="28"/>
    <n v="0"/>
    <n v="0"/>
    <n v="0"/>
    <n v="0"/>
    <n v="0"/>
  </r>
  <r>
    <x v="12"/>
    <x v="29"/>
    <n v="0"/>
    <m/>
    <m/>
    <m/>
    <n v="0"/>
  </r>
  <r>
    <x v="12"/>
    <x v="30"/>
    <n v="0"/>
    <m/>
    <m/>
    <m/>
    <n v="0"/>
  </r>
  <r>
    <x v="12"/>
    <x v="31"/>
    <n v="0"/>
    <n v="0"/>
    <n v="0"/>
    <n v="0"/>
    <n v="0"/>
  </r>
  <r>
    <x v="12"/>
    <x v="32"/>
    <n v="0"/>
    <n v="0"/>
    <n v="0"/>
    <n v="0"/>
    <n v="0"/>
  </r>
  <r>
    <x v="12"/>
    <x v="33"/>
    <n v="0"/>
    <n v="0"/>
    <n v="0"/>
    <n v="0"/>
    <n v="0"/>
  </r>
  <r>
    <x v="12"/>
    <x v="34"/>
    <n v="0"/>
    <n v="0"/>
    <n v="0"/>
    <n v="0"/>
    <n v="0"/>
  </r>
  <r>
    <x v="12"/>
    <x v="35"/>
    <n v="0"/>
    <n v="0"/>
    <n v="0"/>
    <n v="0"/>
    <n v="0"/>
  </r>
  <r>
    <x v="12"/>
    <x v="36"/>
    <n v="0"/>
    <n v="0"/>
    <n v="0"/>
    <n v="0"/>
    <n v="0"/>
  </r>
  <r>
    <x v="12"/>
    <x v="37"/>
    <n v="0"/>
    <n v="0"/>
    <n v="0"/>
    <n v="0"/>
    <n v="0"/>
  </r>
  <r>
    <x v="12"/>
    <x v="38"/>
    <n v="0"/>
    <n v="0"/>
    <n v="0"/>
    <n v="0"/>
    <n v="0"/>
  </r>
  <r>
    <x v="12"/>
    <x v="39"/>
    <n v="0"/>
    <n v="0"/>
    <n v="0"/>
    <n v="0"/>
    <n v="0"/>
  </r>
  <r>
    <x v="12"/>
    <x v="40"/>
    <n v="0"/>
    <n v="0"/>
    <n v="0"/>
    <n v="0"/>
    <n v="0"/>
  </r>
  <r>
    <x v="12"/>
    <x v="41"/>
    <n v="0"/>
    <n v="0"/>
    <n v="0"/>
    <n v="0"/>
    <n v="0"/>
  </r>
  <r>
    <x v="12"/>
    <x v="42"/>
    <n v="0"/>
    <n v="0"/>
    <n v="0"/>
    <n v="0"/>
    <n v="0"/>
  </r>
  <r>
    <x v="12"/>
    <x v="43"/>
    <n v="0"/>
    <n v="0"/>
    <n v="0"/>
    <n v="0"/>
    <n v="0"/>
  </r>
  <r>
    <x v="12"/>
    <x v="44"/>
    <n v="0"/>
    <n v="0"/>
    <n v="0"/>
    <n v="0"/>
    <n v="0"/>
  </r>
  <r>
    <x v="12"/>
    <x v="45"/>
    <n v="0"/>
    <n v="0"/>
    <n v="0"/>
    <n v="0"/>
    <n v="0"/>
  </r>
  <r>
    <x v="12"/>
    <x v="46"/>
    <n v="0"/>
    <n v="0"/>
    <n v="0"/>
    <n v="0"/>
    <n v="0"/>
  </r>
  <r>
    <x v="12"/>
    <x v="47"/>
    <n v="0"/>
    <n v="0"/>
    <n v="0"/>
    <n v="0"/>
    <n v="0"/>
  </r>
  <r>
    <x v="12"/>
    <x v="48"/>
    <n v="0"/>
    <n v="0"/>
    <n v="0"/>
    <n v="0"/>
    <n v="0"/>
  </r>
  <r>
    <x v="12"/>
    <x v="49"/>
    <n v="0"/>
    <n v="0"/>
    <n v="0"/>
    <n v="0"/>
    <n v="0"/>
  </r>
  <r>
    <x v="12"/>
    <x v="50"/>
    <n v="0"/>
    <n v="0"/>
    <n v="0"/>
    <n v="0"/>
    <n v="0"/>
  </r>
  <r>
    <x v="12"/>
    <x v="51"/>
    <n v="0"/>
    <n v="0"/>
    <n v="0"/>
    <n v="0"/>
    <n v="0"/>
  </r>
  <r>
    <x v="12"/>
    <x v="52"/>
    <n v="0"/>
    <n v="0"/>
    <n v="0"/>
    <n v="0"/>
    <n v="0"/>
  </r>
  <r>
    <x v="12"/>
    <x v="53"/>
    <n v="0"/>
    <n v="0"/>
    <n v="0"/>
    <n v="0"/>
    <n v="0"/>
  </r>
  <r>
    <x v="12"/>
    <x v="54"/>
    <n v="0"/>
    <n v="0"/>
    <n v="0"/>
    <n v="0"/>
    <n v="0"/>
  </r>
  <r>
    <x v="12"/>
    <x v="55"/>
    <n v="0"/>
    <n v="0"/>
    <n v="0"/>
    <n v="0"/>
    <n v="0"/>
  </r>
  <r>
    <x v="12"/>
    <x v="56"/>
    <n v="0"/>
    <n v="0"/>
    <n v="0"/>
    <n v="0"/>
    <n v="0"/>
  </r>
  <r>
    <x v="12"/>
    <x v="57"/>
    <n v="0"/>
    <n v="0"/>
    <n v="0"/>
    <n v="0"/>
    <n v="0"/>
  </r>
  <r>
    <x v="12"/>
    <x v="58"/>
    <n v="0"/>
    <n v="0"/>
    <n v="0"/>
    <n v="0"/>
    <n v="0"/>
  </r>
  <r>
    <x v="12"/>
    <x v="59"/>
    <n v="0"/>
    <n v="0"/>
    <n v="0"/>
    <n v="0"/>
    <n v="0"/>
  </r>
  <r>
    <x v="12"/>
    <x v="60"/>
    <n v="0"/>
    <n v="0"/>
    <n v="0"/>
    <n v="0"/>
    <n v="0"/>
  </r>
  <r>
    <x v="12"/>
    <x v="61"/>
    <n v="0"/>
    <n v="0"/>
    <n v="0"/>
    <n v="0"/>
    <n v="0"/>
  </r>
  <r>
    <x v="12"/>
    <x v="62"/>
    <n v="0"/>
    <n v="0"/>
    <n v="0"/>
    <n v="0"/>
    <n v="0"/>
  </r>
  <r>
    <x v="12"/>
    <x v="63"/>
    <n v="0"/>
    <n v="0"/>
    <n v="0"/>
    <n v="0"/>
    <n v="0"/>
  </r>
  <r>
    <x v="12"/>
    <x v="64"/>
    <n v="0"/>
    <n v="0"/>
    <n v="0"/>
    <n v="0"/>
    <n v="0"/>
  </r>
  <r>
    <x v="12"/>
    <x v="65"/>
    <n v="0"/>
    <n v="0"/>
    <n v="0"/>
    <n v="0"/>
    <n v="0"/>
  </r>
  <r>
    <x v="12"/>
    <x v="66"/>
    <n v="0"/>
    <n v="0"/>
    <n v="0"/>
    <n v="0"/>
    <n v="0"/>
  </r>
  <r>
    <x v="12"/>
    <x v="67"/>
    <n v="0"/>
    <n v="0"/>
    <n v="0"/>
    <n v="0"/>
    <n v="0"/>
  </r>
  <r>
    <x v="12"/>
    <x v="68"/>
    <n v="0"/>
    <m/>
    <m/>
    <m/>
    <n v="0"/>
  </r>
  <r>
    <x v="12"/>
    <x v="69"/>
    <n v="0"/>
    <m/>
    <m/>
    <m/>
    <n v="0"/>
  </r>
  <r>
    <x v="12"/>
    <x v="70"/>
    <n v="0"/>
    <m/>
    <m/>
    <m/>
    <n v="0"/>
  </r>
  <r>
    <x v="12"/>
    <x v="71"/>
    <n v="0"/>
    <m/>
    <m/>
    <m/>
    <n v="0"/>
  </r>
  <r>
    <x v="12"/>
    <x v="72"/>
    <n v="0"/>
    <m/>
    <m/>
    <m/>
    <n v="0"/>
  </r>
  <r>
    <x v="12"/>
    <x v="73"/>
    <n v="0"/>
    <m/>
    <m/>
    <m/>
    <n v="0"/>
  </r>
  <r>
    <x v="12"/>
    <x v="74"/>
    <n v="0"/>
    <m/>
    <m/>
    <m/>
    <n v="0"/>
  </r>
  <r>
    <x v="12"/>
    <x v="75"/>
    <n v="0"/>
    <m/>
    <m/>
    <m/>
    <n v="0"/>
  </r>
  <r>
    <x v="12"/>
    <x v="76"/>
    <n v="0"/>
    <m/>
    <m/>
    <m/>
    <n v="0"/>
  </r>
  <r>
    <x v="12"/>
    <x v="77"/>
    <n v="0"/>
    <m/>
    <m/>
    <m/>
    <n v="0"/>
  </r>
  <r>
    <x v="12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3"/>
    <x v="0"/>
    <n v="0"/>
    <n v="0"/>
    <n v="0"/>
    <n v="0"/>
    <n v="0"/>
  </r>
  <r>
    <x v="13"/>
    <x v="1"/>
    <n v="0"/>
    <n v="0"/>
    <n v="0"/>
    <n v="0"/>
    <n v="0"/>
  </r>
  <r>
    <x v="13"/>
    <x v="2"/>
    <n v="0"/>
    <n v="0"/>
    <n v="0"/>
    <n v="0"/>
    <n v="0"/>
  </r>
  <r>
    <x v="13"/>
    <x v="3"/>
    <n v="0"/>
    <n v="0"/>
    <n v="0"/>
    <n v="0"/>
    <n v="0"/>
  </r>
  <r>
    <x v="13"/>
    <x v="4"/>
    <n v="0"/>
    <n v="0"/>
    <n v="0"/>
    <n v="0"/>
    <n v="0"/>
  </r>
  <r>
    <x v="13"/>
    <x v="5"/>
    <n v="0"/>
    <n v="0"/>
    <n v="0"/>
    <n v="0"/>
    <n v="0"/>
  </r>
  <r>
    <x v="13"/>
    <x v="6"/>
    <n v="0"/>
    <n v="0"/>
    <n v="0"/>
    <n v="0"/>
    <n v="0"/>
  </r>
  <r>
    <x v="13"/>
    <x v="7"/>
    <n v="0"/>
    <n v="0"/>
    <n v="0"/>
    <n v="0"/>
    <n v="0"/>
  </r>
  <r>
    <x v="13"/>
    <x v="8"/>
    <n v="0"/>
    <n v="0"/>
    <n v="0"/>
    <n v="0"/>
    <n v="0"/>
  </r>
  <r>
    <x v="13"/>
    <x v="9"/>
    <n v="0"/>
    <n v="0"/>
    <n v="0"/>
    <n v="0"/>
    <n v="0"/>
  </r>
  <r>
    <x v="13"/>
    <x v="10"/>
    <n v="0"/>
    <n v="0"/>
    <n v="0"/>
    <n v="0"/>
    <n v="0"/>
  </r>
  <r>
    <x v="13"/>
    <x v="11"/>
    <n v="0"/>
    <m/>
    <m/>
    <m/>
    <n v="0"/>
  </r>
  <r>
    <x v="13"/>
    <x v="12"/>
    <n v="0"/>
    <n v="0"/>
    <n v="0"/>
    <n v="0"/>
    <n v="0"/>
  </r>
  <r>
    <x v="13"/>
    <x v="13"/>
    <n v="0"/>
    <n v="0"/>
    <n v="0"/>
    <n v="0"/>
    <n v="0"/>
  </r>
  <r>
    <x v="13"/>
    <x v="14"/>
    <n v="0"/>
    <n v="0"/>
    <n v="0"/>
    <n v="0"/>
    <n v="0"/>
  </r>
  <r>
    <x v="13"/>
    <x v="15"/>
    <n v="0"/>
    <n v="0"/>
    <n v="0"/>
    <n v="0"/>
    <n v="0"/>
  </r>
  <r>
    <x v="13"/>
    <x v="16"/>
    <n v="0"/>
    <n v="0"/>
    <n v="0"/>
    <n v="0"/>
    <n v="0"/>
  </r>
  <r>
    <x v="13"/>
    <x v="17"/>
    <n v="0"/>
    <n v="0"/>
    <n v="0"/>
    <n v="0"/>
    <n v="0"/>
  </r>
  <r>
    <x v="13"/>
    <x v="18"/>
    <n v="0"/>
    <n v="0"/>
    <n v="0"/>
    <n v="0"/>
    <n v="0"/>
  </r>
  <r>
    <x v="13"/>
    <x v="19"/>
    <n v="0"/>
    <n v="0"/>
    <n v="0"/>
    <n v="0"/>
    <n v="0"/>
  </r>
  <r>
    <x v="13"/>
    <x v="20"/>
    <n v="0"/>
    <n v="0"/>
    <n v="0"/>
    <n v="0"/>
    <n v="0"/>
  </r>
  <r>
    <x v="13"/>
    <x v="21"/>
    <n v="0"/>
    <n v="0"/>
    <n v="0"/>
    <n v="0"/>
    <n v="0"/>
  </r>
  <r>
    <x v="13"/>
    <x v="22"/>
    <n v="0"/>
    <n v="0"/>
    <n v="0"/>
    <n v="0"/>
    <n v="0"/>
  </r>
  <r>
    <x v="13"/>
    <x v="23"/>
    <n v="0"/>
    <n v="0"/>
    <n v="0"/>
    <n v="0"/>
    <n v="0"/>
  </r>
  <r>
    <x v="13"/>
    <x v="24"/>
    <n v="0"/>
    <n v="0"/>
    <n v="0"/>
    <n v="0"/>
    <n v="0"/>
  </r>
  <r>
    <x v="13"/>
    <x v="25"/>
    <n v="0"/>
    <n v="0"/>
    <n v="0"/>
    <n v="0"/>
    <n v="0"/>
  </r>
  <r>
    <x v="13"/>
    <x v="26"/>
    <n v="0"/>
    <n v="0"/>
    <n v="0"/>
    <n v="0"/>
    <n v="0"/>
  </r>
  <r>
    <x v="13"/>
    <x v="27"/>
    <n v="0"/>
    <n v="0"/>
    <n v="0"/>
    <n v="0"/>
    <n v="0"/>
  </r>
  <r>
    <x v="13"/>
    <x v="28"/>
    <n v="0"/>
    <n v="0"/>
    <n v="0"/>
    <n v="0"/>
    <n v="0"/>
  </r>
  <r>
    <x v="13"/>
    <x v="29"/>
    <n v="0"/>
    <m/>
    <m/>
    <m/>
    <n v="0"/>
  </r>
  <r>
    <x v="13"/>
    <x v="30"/>
    <n v="0"/>
    <m/>
    <m/>
    <m/>
    <n v="0"/>
  </r>
  <r>
    <x v="13"/>
    <x v="31"/>
    <n v="0"/>
    <n v="0"/>
    <n v="0"/>
    <n v="0"/>
    <n v="0"/>
  </r>
  <r>
    <x v="13"/>
    <x v="32"/>
    <n v="0"/>
    <n v="0"/>
    <n v="0"/>
    <n v="0"/>
    <n v="0"/>
  </r>
  <r>
    <x v="13"/>
    <x v="33"/>
    <n v="0"/>
    <n v="0"/>
    <n v="0"/>
    <n v="0"/>
    <n v="0"/>
  </r>
  <r>
    <x v="13"/>
    <x v="34"/>
    <n v="0"/>
    <n v="0"/>
    <n v="0"/>
    <n v="0"/>
    <n v="0"/>
  </r>
  <r>
    <x v="13"/>
    <x v="35"/>
    <n v="0"/>
    <n v="0"/>
    <n v="0"/>
    <n v="0"/>
    <n v="0"/>
  </r>
  <r>
    <x v="13"/>
    <x v="36"/>
    <n v="0"/>
    <n v="0"/>
    <n v="0"/>
    <n v="0"/>
    <n v="0"/>
  </r>
  <r>
    <x v="13"/>
    <x v="37"/>
    <n v="0"/>
    <n v="0"/>
    <n v="0"/>
    <n v="0"/>
    <n v="0"/>
  </r>
  <r>
    <x v="13"/>
    <x v="38"/>
    <n v="0"/>
    <n v="0"/>
    <n v="0"/>
    <n v="0"/>
    <n v="0"/>
  </r>
  <r>
    <x v="13"/>
    <x v="39"/>
    <n v="0"/>
    <n v="0"/>
    <n v="0"/>
    <n v="0"/>
    <n v="0"/>
  </r>
  <r>
    <x v="13"/>
    <x v="40"/>
    <n v="0"/>
    <n v="0"/>
    <n v="0"/>
    <n v="0"/>
    <n v="0"/>
  </r>
  <r>
    <x v="13"/>
    <x v="41"/>
    <n v="0"/>
    <n v="0"/>
    <n v="0"/>
    <n v="0"/>
    <n v="0"/>
  </r>
  <r>
    <x v="13"/>
    <x v="42"/>
    <n v="0"/>
    <n v="0"/>
    <n v="0"/>
    <n v="0"/>
    <n v="0"/>
  </r>
  <r>
    <x v="13"/>
    <x v="43"/>
    <n v="0"/>
    <n v="0"/>
    <n v="0"/>
    <n v="0"/>
    <n v="0"/>
  </r>
  <r>
    <x v="13"/>
    <x v="44"/>
    <n v="0"/>
    <n v="0"/>
    <n v="0"/>
    <n v="0"/>
    <n v="0"/>
  </r>
  <r>
    <x v="13"/>
    <x v="45"/>
    <n v="0"/>
    <n v="0"/>
    <n v="0"/>
    <n v="0"/>
    <n v="0"/>
  </r>
  <r>
    <x v="13"/>
    <x v="46"/>
    <n v="0"/>
    <n v="0"/>
    <n v="0"/>
    <n v="0"/>
    <n v="0"/>
  </r>
  <r>
    <x v="13"/>
    <x v="47"/>
    <n v="0"/>
    <n v="0"/>
    <n v="0"/>
    <n v="0"/>
    <n v="0"/>
  </r>
  <r>
    <x v="13"/>
    <x v="48"/>
    <n v="0"/>
    <n v="0"/>
    <n v="0"/>
    <n v="0"/>
    <n v="0"/>
  </r>
  <r>
    <x v="13"/>
    <x v="49"/>
    <n v="0"/>
    <n v="0"/>
    <n v="0"/>
    <n v="0"/>
    <n v="0"/>
  </r>
  <r>
    <x v="13"/>
    <x v="50"/>
    <n v="0"/>
    <n v="0"/>
    <n v="0"/>
    <n v="0"/>
    <n v="0"/>
  </r>
  <r>
    <x v="13"/>
    <x v="51"/>
    <n v="0"/>
    <n v="0"/>
    <n v="0"/>
    <n v="0"/>
    <n v="0"/>
  </r>
  <r>
    <x v="13"/>
    <x v="52"/>
    <n v="0"/>
    <n v="0"/>
    <n v="0"/>
    <n v="0"/>
    <n v="0"/>
  </r>
  <r>
    <x v="13"/>
    <x v="53"/>
    <n v="0"/>
    <n v="0"/>
    <n v="0"/>
    <n v="0"/>
    <n v="0"/>
  </r>
  <r>
    <x v="13"/>
    <x v="54"/>
    <n v="0"/>
    <n v="0"/>
    <n v="0"/>
    <n v="0"/>
    <n v="0"/>
  </r>
  <r>
    <x v="13"/>
    <x v="55"/>
    <n v="0"/>
    <n v="0"/>
    <n v="0"/>
    <n v="0"/>
    <n v="0"/>
  </r>
  <r>
    <x v="13"/>
    <x v="56"/>
    <n v="0"/>
    <n v="0"/>
    <n v="0"/>
    <n v="0"/>
    <n v="0"/>
  </r>
  <r>
    <x v="13"/>
    <x v="57"/>
    <n v="0"/>
    <n v="0"/>
    <n v="0"/>
    <n v="0"/>
    <n v="0"/>
  </r>
  <r>
    <x v="13"/>
    <x v="58"/>
    <n v="0"/>
    <n v="0"/>
    <n v="0"/>
    <n v="1"/>
    <n v="1"/>
  </r>
  <r>
    <x v="13"/>
    <x v="59"/>
    <n v="0"/>
    <n v="0"/>
    <n v="0"/>
    <n v="0"/>
    <n v="0"/>
  </r>
  <r>
    <x v="13"/>
    <x v="60"/>
    <n v="0"/>
    <n v="0"/>
    <n v="0"/>
    <n v="0"/>
    <n v="0"/>
  </r>
  <r>
    <x v="13"/>
    <x v="61"/>
    <n v="0"/>
    <n v="0"/>
    <n v="0"/>
    <n v="1"/>
    <n v="1"/>
  </r>
  <r>
    <x v="13"/>
    <x v="62"/>
    <n v="0"/>
    <n v="0"/>
    <n v="0"/>
    <n v="0"/>
    <n v="0"/>
  </r>
  <r>
    <x v="13"/>
    <x v="63"/>
    <n v="0"/>
    <n v="0"/>
    <n v="0"/>
    <n v="0"/>
    <n v="0"/>
  </r>
  <r>
    <x v="13"/>
    <x v="64"/>
    <n v="0"/>
    <n v="0"/>
    <n v="0"/>
    <n v="0"/>
    <n v="0"/>
  </r>
  <r>
    <x v="13"/>
    <x v="65"/>
    <n v="0"/>
    <n v="0"/>
    <n v="0"/>
    <n v="0"/>
    <n v="0"/>
  </r>
  <r>
    <x v="13"/>
    <x v="66"/>
    <n v="0"/>
    <n v="0"/>
    <n v="0"/>
    <n v="0"/>
    <n v="0"/>
  </r>
  <r>
    <x v="13"/>
    <x v="67"/>
    <n v="0"/>
    <n v="0"/>
    <n v="0"/>
    <n v="0"/>
    <n v="0"/>
  </r>
  <r>
    <x v="13"/>
    <x v="68"/>
    <n v="0"/>
    <m/>
    <m/>
    <m/>
    <n v="0"/>
  </r>
  <r>
    <x v="13"/>
    <x v="69"/>
    <n v="0"/>
    <m/>
    <m/>
    <m/>
    <n v="0"/>
  </r>
  <r>
    <x v="13"/>
    <x v="70"/>
    <n v="5"/>
    <m/>
    <m/>
    <m/>
    <n v="5"/>
  </r>
  <r>
    <x v="13"/>
    <x v="71"/>
    <n v="0"/>
    <m/>
    <m/>
    <m/>
    <n v="0"/>
  </r>
  <r>
    <x v="13"/>
    <x v="72"/>
    <n v="0"/>
    <m/>
    <m/>
    <m/>
    <n v="0"/>
  </r>
  <r>
    <x v="13"/>
    <x v="73"/>
    <n v="0"/>
    <m/>
    <m/>
    <m/>
    <n v="0"/>
  </r>
  <r>
    <x v="13"/>
    <x v="74"/>
    <n v="0"/>
    <m/>
    <m/>
    <m/>
    <n v="0"/>
  </r>
  <r>
    <x v="13"/>
    <x v="75"/>
    <n v="0"/>
    <m/>
    <m/>
    <m/>
    <n v="0"/>
  </r>
  <r>
    <x v="13"/>
    <x v="76"/>
    <n v="0"/>
    <m/>
    <m/>
    <m/>
    <n v="0"/>
  </r>
  <r>
    <x v="13"/>
    <x v="77"/>
    <n v="0"/>
    <m/>
    <m/>
    <m/>
    <n v="0"/>
  </r>
  <r>
    <x v="13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4"/>
    <x v="0"/>
    <n v="0"/>
    <n v="0"/>
    <n v="0"/>
    <n v="0"/>
    <n v="0"/>
  </r>
  <r>
    <x v="14"/>
    <x v="1"/>
    <n v="0"/>
    <n v="0"/>
    <n v="0"/>
    <n v="0"/>
    <n v="0"/>
  </r>
  <r>
    <x v="14"/>
    <x v="2"/>
    <n v="0"/>
    <n v="0"/>
    <n v="0"/>
    <n v="0"/>
    <n v="0"/>
  </r>
  <r>
    <x v="14"/>
    <x v="3"/>
    <n v="0"/>
    <n v="0"/>
    <n v="0"/>
    <n v="0"/>
    <n v="0"/>
  </r>
  <r>
    <x v="14"/>
    <x v="4"/>
    <n v="0"/>
    <n v="0"/>
    <n v="0"/>
    <n v="0"/>
    <n v="0"/>
  </r>
  <r>
    <x v="14"/>
    <x v="5"/>
    <n v="0"/>
    <n v="0"/>
    <n v="0"/>
    <n v="0"/>
    <n v="0"/>
  </r>
  <r>
    <x v="14"/>
    <x v="6"/>
    <n v="0"/>
    <n v="0"/>
    <n v="0"/>
    <n v="0"/>
    <n v="0"/>
  </r>
  <r>
    <x v="14"/>
    <x v="7"/>
    <n v="0"/>
    <n v="0"/>
    <n v="0"/>
    <n v="0"/>
    <n v="0"/>
  </r>
  <r>
    <x v="14"/>
    <x v="8"/>
    <n v="0"/>
    <n v="0"/>
    <n v="0"/>
    <n v="0"/>
    <n v="0"/>
  </r>
  <r>
    <x v="14"/>
    <x v="9"/>
    <n v="0"/>
    <n v="0"/>
    <n v="0"/>
    <n v="0"/>
    <n v="0"/>
  </r>
  <r>
    <x v="14"/>
    <x v="10"/>
    <n v="0"/>
    <n v="0"/>
    <n v="0"/>
    <n v="1"/>
    <n v="1"/>
  </r>
  <r>
    <x v="14"/>
    <x v="11"/>
    <n v="0"/>
    <m/>
    <m/>
    <m/>
    <n v="0"/>
  </r>
  <r>
    <x v="14"/>
    <x v="12"/>
    <n v="0"/>
    <n v="0"/>
    <n v="0"/>
    <n v="0"/>
    <n v="0"/>
  </r>
  <r>
    <x v="14"/>
    <x v="13"/>
    <n v="0"/>
    <n v="0"/>
    <n v="0"/>
    <n v="0"/>
    <n v="0"/>
  </r>
  <r>
    <x v="14"/>
    <x v="14"/>
    <n v="0"/>
    <n v="0"/>
    <n v="0"/>
    <n v="0"/>
    <n v="0"/>
  </r>
  <r>
    <x v="14"/>
    <x v="15"/>
    <n v="0"/>
    <n v="0"/>
    <n v="0"/>
    <n v="0"/>
    <n v="0"/>
  </r>
  <r>
    <x v="14"/>
    <x v="16"/>
    <n v="0"/>
    <n v="0"/>
    <n v="0"/>
    <n v="0"/>
    <n v="0"/>
  </r>
  <r>
    <x v="14"/>
    <x v="17"/>
    <n v="0"/>
    <n v="0"/>
    <n v="0"/>
    <n v="0"/>
    <n v="0"/>
  </r>
  <r>
    <x v="14"/>
    <x v="18"/>
    <n v="0"/>
    <n v="0"/>
    <n v="0"/>
    <n v="0"/>
    <n v="0"/>
  </r>
  <r>
    <x v="14"/>
    <x v="19"/>
    <n v="0"/>
    <n v="0"/>
    <n v="0"/>
    <n v="0"/>
    <n v="0"/>
  </r>
  <r>
    <x v="14"/>
    <x v="20"/>
    <n v="0"/>
    <n v="0"/>
    <n v="0"/>
    <n v="0"/>
    <n v="0"/>
  </r>
  <r>
    <x v="14"/>
    <x v="21"/>
    <n v="0"/>
    <n v="0"/>
    <n v="0"/>
    <n v="0"/>
    <n v="0"/>
  </r>
  <r>
    <x v="14"/>
    <x v="22"/>
    <n v="0"/>
    <n v="0"/>
    <n v="0"/>
    <n v="0"/>
    <n v="0"/>
  </r>
  <r>
    <x v="14"/>
    <x v="23"/>
    <n v="0"/>
    <n v="0"/>
    <n v="0"/>
    <n v="0"/>
    <n v="0"/>
  </r>
  <r>
    <x v="14"/>
    <x v="24"/>
    <n v="0"/>
    <n v="0"/>
    <n v="0"/>
    <n v="0"/>
    <n v="0"/>
  </r>
  <r>
    <x v="14"/>
    <x v="25"/>
    <n v="0"/>
    <n v="0"/>
    <n v="0"/>
    <n v="0"/>
    <n v="0"/>
  </r>
  <r>
    <x v="14"/>
    <x v="26"/>
    <n v="0"/>
    <n v="0"/>
    <n v="0"/>
    <n v="0"/>
    <n v="0"/>
  </r>
  <r>
    <x v="14"/>
    <x v="27"/>
    <n v="0"/>
    <n v="0"/>
    <n v="0"/>
    <n v="0"/>
    <n v="0"/>
  </r>
  <r>
    <x v="14"/>
    <x v="28"/>
    <n v="0"/>
    <n v="0"/>
    <n v="0"/>
    <n v="0"/>
    <n v="0"/>
  </r>
  <r>
    <x v="14"/>
    <x v="29"/>
    <n v="0"/>
    <m/>
    <m/>
    <m/>
    <n v="0"/>
  </r>
  <r>
    <x v="14"/>
    <x v="30"/>
    <n v="0"/>
    <m/>
    <m/>
    <m/>
    <n v="0"/>
  </r>
  <r>
    <x v="14"/>
    <x v="31"/>
    <n v="0"/>
    <n v="0"/>
    <n v="0"/>
    <n v="0"/>
    <n v="0"/>
  </r>
  <r>
    <x v="14"/>
    <x v="32"/>
    <n v="0"/>
    <n v="0"/>
    <n v="0"/>
    <n v="0"/>
    <n v="0"/>
  </r>
  <r>
    <x v="14"/>
    <x v="33"/>
    <n v="0"/>
    <n v="0"/>
    <n v="0"/>
    <n v="0"/>
    <n v="0"/>
  </r>
  <r>
    <x v="14"/>
    <x v="34"/>
    <n v="0"/>
    <n v="0"/>
    <n v="0"/>
    <n v="0"/>
    <n v="0"/>
  </r>
  <r>
    <x v="14"/>
    <x v="35"/>
    <n v="0"/>
    <n v="0"/>
    <n v="0"/>
    <n v="0"/>
    <n v="0"/>
  </r>
  <r>
    <x v="14"/>
    <x v="36"/>
    <n v="0"/>
    <n v="0"/>
    <n v="0"/>
    <n v="0"/>
    <n v="0"/>
  </r>
  <r>
    <x v="14"/>
    <x v="37"/>
    <n v="0"/>
    <n v="0"/>
    <n v="0"/>
    <n v="0"/>
    <n v="0"/>
  </r>
  <r>
    <x v="14"/>
    <x v="38"/>
    <n v="0"/>
    <n v="0"/>
    <n v="0"/>
    <n v="0"/>
    <n v="0"/>
  </r>
  <r>
    <x v="14"/>
    <x v="39"/>
    <n v="0"/>
    <n v="0"/>
    <n v="0"/>
    <n v="0"/>
    <n v="0"/>
  </r>
  <r>
    <x v="14"/>
    <x v="40"/>
    <n v="0"/>
    <n v="0"/>
    <n v="0"/>
    <n v="0"/>
    <n v="0"/>
  </r>
  <r>
    <x v="14"/>
    <x v="41"/>
    <n v="0"/>
    <n v="0"/>
    <n v="0"/>
    <n v="0"/>
    <n v="0"/>
  </r>
  <r>
    <x v="14"/>
    <x v="42"/>
    <n v="0"/>
    <n v="0"/>
    <n v="0"/>
    <n v="0"/>
    <n v="0"/>
  </r>
  <r>
    <x v="14"/>
    <x v="43"/>
    <n v="0"/>
    <n v="0"/>
    <n v="0"/>
    <n v="0"/>
    <n v="0"/>
  </r>
  <r>
    <x v="14"/>
    <x v="44"/>
    <n v="0"/>
    <n v="0"/>
    <n v="0"/>
    <n v="0"/>
    <n v="0"/>
  </r>
  <r>
    <x v="14"/>
    <x v="45"/>
    <n v="0"/>
    <n v="0"/>
    <n v="0"/>
    <n v="0"/>
    <n v="0"/>
  </r>
  <r>
    <x v="14"/>
    <x v="46"/>
    <n v="0"/>
    <n v="0"/>
    <n v="0"/>
    <n v="0"/>
    <n v="0"/>
  </r>
  <r>
    <x v="14"/>
    <x v="47"/>
    <n v="0"/>
    <n v="0"/>
    <n v="0"/>
    <n v="0"/>
    <n v="0"/>
  </r>
  <r>
    <x v="14"/>
    <x v="48"/>
    <n v="0"/>
    <n v="0"/>
    <n v="0"/>
    <n v="0"/>
    <n v="0"/>
  </r>
  <r>
    <x v="14"/>
    <x v="49"/>
    <n v="0"/>
    <n v="0"/>
    <n v="0"/>
    <n v="0"/>
    <n v="0"/>
  </r>
  <r>
    <x v="14"/>
    <x v="50"/>
    <n v="0"/>
    <n v="0"/>
    <n v="0"/>
    <n v="0"/>
    <n v="0"/>
  </r>
  <r>
    <x v="14"/>
    <x v="51"/>
    <n v="0"/>
    <n v="0"/>
    <n v="0"/>
    <n v="0"/>
    <n v="0"/>
  </r>
  <r>
    <x v="14"/>
    <x v="52"/>
    <n v="0"/>
    <n v="0"/>
    <n v="0"/>
    <n v="0"/>
    <n v="0"/>
  </r>
  <r>
    <x v="14"/>
    <x v="53"/>
    <n v="0"/>
    <n v="0"/>
    <n v="0"/>
    <n v="0"/>
    <n v="0"/>
  </r>
  <r>
    <x v="14"/>
    <x v="54"/>
    <n v="0"/>
    <n v="0"/>
    <n v="0"/>
    <n v="0"/>
    <n v="0"/>
  </r>
  <r>
    <x v="14"/>
    <x v="55"/>
    <n v="0"/>
    <n v="0"/>
    <n v="0"/>
    <n v="0"/>
    <n v="0"/>
  </r>
  <r>
    <x v="14"/>
    <x v="56"/>
    <n v="0"/>
    <n v="0"/>
    <n v="0"/>
    <n v="0"/>
    <n v="0"/>
  </r>
  <r>
    <x v="14"/>
    <x v="57"/>
    <n v="0"/>
    <n v="0"/>
    <n v="0"/>
    <n v="0"/>
    <n v="0"/>
  </r>
  <r>
    <x v="14"/>
    <x v="58"/>
    <n v="0"/>
    <n v="0"/>
    <n v="0"/>
    <n v="0"/>
    <n v="0"/>
  </r>
  <r>
    <x v="14"/>
    <x v="59"/>
    <n v="0"/>
    <n v="0"/>
    <n v="0"/>
    <n v="0"/>
    <n v="0"/>
  </r>
  <r>
    <x v="14"/>
    <x v="60"/>
    <n v="0"/>
    <n v="0"/>
    <n v="0"/>
    <n v="0"/>
    <n v="0"/>
  </r>
  <r>
    <x v="14"/>
    <x v="61"/>
    <n v="0"/>
    <n v="0"/>
    <n v="0"/>
    <n v="0"/>
    <n v="0"/>
  </r>
  <r>
    <x v="14"/>
    <x v="62"/>
    <n v="0"/>
    <n v="0"/>
    <n v="0"/>
    <n v="0"/>
    <n v="0"/>
  </r>
  <r>
    <x v="14"/>
    <x v="63"/>
    <n v="0"/>
    <n v="0"/>
    <n v="0"/>
    <n v="0"/>
    <n v="0"/>
  </r>
  <r>
    <x v="14"/>
    <x v="64"/>
    <n v="0"/>
    <n v="0"/>
    <n v="0"/>
    <n v="0"/>
    <n v="0"/>
  </r>
  <r>
    <x v="14"/>
    <x v="65"/>
    <n v="0"/>
    <n v="0"/>
    <n v="0"/>
    <n v="0"/>
    <n v="0"/>
  </r>
  <r>
    <x v="14"/>
    <x v="66"/>
    <n v="0"/>
    <n v="0"/>
    <n v="0"/>
    <n v="0"/>
    <n v="0"/>
  </r>
  <r>
    <x v="14"/>
    <x v="67"/>
    <n v="0"/>
    <n v="0"/>
    <n v="0"/>
    <n v="0"/>
    <n v="0"/>
  </r>
  <r>
    <x v="14"/>
    <x v="68"/>
    <n v="0"/>
    <m/>
    <m/>
    <m/>
    <n v="0"/>
  </r>
  <r>
    <x v="14"/>
    <x v="69"/>
    <n v="0"/>
    <m/>
    <m/>
    <m/>
    <n v="0"/>
  </r>
  <r>
    <x v="14"/>
    <x v="70"/>
    <n v="0"/>
    <m/>
    <m/>
    <m/>
    <n v="0"/>
  </r>
  <r>
    <x v="14"/>
    <x v="71"/>
    <n v="0"/>
    <m/>
    <m/>
    <m/>
    <n v="0"/>
  </r>
  <r>
    <x v="14"/>
    <x v="72"/>
    <n v="0"/>
    <m/>
    <m/>
    <m/>
    <n v="0"/>
  </r>
  <r>
    <x v="14"/>
    <x v="73"/>
    <n v="0"/>
    <m/>
    <m/>
    <m/>
    <n v="0"/>
  </r>
  <r>
    <x v="14"/>
    <x v="74"/>
    <n v="0"/>
    <m/>
    <m/>
    <m/>
    <n v="0"/>
  </r>
  <r>
    <x v="14"/>
    <x v="75"/>
    <n v="0"/>
    <m/>
    <m/>
    <m/>
    <n v="0"/>
  </r>
  <r>
    <x v="14"/>
    <x v="76"/>
    <n v="0"/>
    <m/>
    <m/>
    <m/>
    <n v="0"/>
  </r>
  <r>
    <x v="14"/>
    <x v="77"/>
    <n v="0"/>
    <m/>
    <m/>
    <m/>
    <n v="0"/>
  </r>
  <r>
    <x v="14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4"/>
    <x v="0"/>
    <n v="0"/>
    <n v="0"/>
    <n v="0"/>
    <n v="10"/>
    <n v="10"/>
  </r>
  <r>
    <x v="14"/>
    <x v="1"/>
    <n v="0"/>
    <n v="0"/>
    <n v="0"/>
    <n v="28"/>
    <n v="28"/>
  </r>
  <r>
    <x v="14"/>
    <x v="2"/>
    <n v="0"/>
    <n v="0"/>
    <n v="0"/>
    <n v="0"/>
    <n v="0"/>
  </r>
  <r>
    <x v="14"/>
    <x v="3"/>
    <n v="0"/>
    <n v="0"/>
    <n v="0"/>
    <n v="0"/>
    <n v="0"/>
  </r>
  <r>
    <x v="14"/>
    <x v="4"/>
    <n v="0"/>
    <n v="0"/>
    <n v="0"/>
    <n v="0"/>
    <n v="0"/>
  </r>
  <r>
    <x v="14"/>
    <x v="5"/>
    <n v="0"/>
    <n v="0"/>
    <n v="0"/>
    <n v="0"/>
    <n v="0"/>
  </r>
  <r>
    <x v="14"/>
    <x v="6"/>
    <n v="0"/>
    <n v="0"/>
    <n v="0"/>
    <n v="0"/>
    <n v="0"/>
  </r>
  <r>
    <x v="14"/>
    <x v="7"/>
    <n v="0"/>
    <n v="0"/>
    <n v="0"/>
    <n v="10"/>
    <n v="10"/>
  </r>
  <r>
    <x v="14"/>
    <x v="8"/>
    <n v="0"/>
    <n v="0"/>
    <n v="0"/>
    <n v="2"/>
    <n v="2"/>
  </r>
  <r>
    <x v="14"/>
    <x v="9"/>
    <n v="0"/>
    <n v="0"/>
    <n v="0"/>
    <n v="4"/>
    <n v="4"/>
  </r>
  <r>
    <x v="14"/>
    <x v="10"/>
    <n v="0"/>
    <n v="0"/>
    <n v="0"/>
    <n v="0"/>
    <n v="0"/>
  </r>
  <r>
    <x v="14"/>
    <x v="11"/>
    <n v="0"/>
    <m/>
    <m/>
    <m/>
    <n v="0"/>
  </r>
  <r>
    <x v="14"/>
    <x v="12"/>
    <n v="0"/>
    <n v="0"/>
    <n v="0"/>
    <n v="0"/>
    <n v="0"/>
  </r>
  <r>
    <x v="14"/>
    <x v="13"/>
    <n v="0"/>
    <n v="0"/>
    <n v="0"/>
    <n v="0"/>
    <n v="0"/>
  </r>
  <r>
    <x v="14"/>
    <x v="14"/>
    <n v="0"/>
    <n v="0"/>
    <n v="0"/>
    <n v="1"/>
    <n v="1"/>
  </r>
  <r>
    <x v="14"/>
    <x v="15"/>
    <n v="0"/>
    <n v="0"/>
    <n v="0"/>
    <n v="1"/>
    <n v="1"/>
  </r>
  <r>
    <x v="14"/>
    <x v="16"/>
    <n v="0"/>
    <n v="0"/>
    <n v="0"/>
    <n v="0"/>
    <n v="0"/>
  </r>
  <r>
    <x v="14"/>
    <x v="17"/>
    <n v="0"/>
    <n v="0"/>
    <n v="0"/>
    <n v="0"/>
    <n v="0"/>
  </r>
  <r>
    <x v="14"/>
    <x v="18"/>
    <n v="0"/>
    <n v="0"/>
    <n v="0"/>
    <n v="0"/>
    <n v="0"/>
  </r>
  <r>
    <x v="14"/>
    <x v="19"/>
    <n v="0"/>
    <n v="0"/>
    <n v="0"/>
    <n v="0"/>
    <n v="0"/>
  </r>
  <r>
    <x v="14"/>
    <x v="20"/>
    <n v="0"/>
    <n v="0"/>
    <n v="0"/>
    <n v="0"/>
    <n v="0"/>
  </r>
  <r>
    <x v="14"/>
    <x v="21"/>
    <n v="0"/>
    <n v="0"/>
    <n v="0"/>
    <n v="4"/>
    <n v="4"/>
  </r>
  <r>
    <x v="14"/>
    <x v="22"/>
    <n v="0"/>
    <n v="0"/>
    <n v="0"/>
    <n v="0"/>
    <n v="0"/>
  </r>
  <r>
    <x v="14"/>
    <x v="23"/>
    <n v="0"/>
    <n v="0"/>
    <n v="0"/>
    <n v="0"/>
    <n v="0"/>
  </r>
  <r>
    <x v="14"/>
    <x v="24"/>
    <n v="0"/>
    <n v="0"/>
    <n v="0"/>
    <n v="0"/>
    <n v="0"/>
  </r>
  <r>
    <x v="14"/>
    <x v="25"/>
    <n v="0"/>
    <n v="0"/>
    <n v="0"/>
    <n v="0"/>
    <n v="0"/>
  </r>
  <r>
    <x v="14"/>
    <x v="26"/>
    <n v="0"/>
    <n v="0"/>
    <n v="0"/>
    <n v="0"/>
    <n v="0"/>
  </r>
  <r>
    <x v="14"/>
    <x v="27"/>
    <n v="0"/>
    <n v="0"/>
    <n v="0"/>
    <n v="2"/>
    <n v="2"/>
  </r>
  <r>
    <x v="14"/>
    <x v="28"/>
    <n v="0"/>
    <n v="0"/>
    <n v="0"/>
    <n v="0"/>
    <n v="0"/>
  </r>
  <r>
    <x v="14"/>
    <x v="29"/>
    <n v="0"/>
    <m/>
    <m/>
    <m/>
    <n v="0"/>
  </r>
  <r>
    <x v="14"/>
    <x v="30"/>
    <n v="0"/>
    <m/>
    <m/>
    <m/>
    <n v="0"/>
  </r>
  <r>
    <x v="14"/>
    <x v="31"/>
    <n v="0"/>
    <n v="0"/>
    <n v="0"/>
    <n v="0"/>
    <n v="0"/>
  </r>
  <r>
    <x v="14"/>
    <x v="32"/>
    <n v="0"/>
    <n v="0"/>
    <n v="0"/>
    <n v="0"/>
    <n v="0"/>
  </r>
  <r>
    <x v="14"/>
    <x v="33"/>
    <n v="0"/>
    <n v="0"/>
    <n v="0"/>
    <n v="0"/>
    <n v="0"/>
  </r>
  <r>
    <x v="14"/>
    <x v="34"/>
    <n v="0"/>
    <n v="0"/>
    <n v="0"/>
    <n v="0"/>
    <n v="0"/>
  </r>
  <r>
    <x v="14"/>
    <x v="35"/>
    <n v="0"/>
    <n v="0"/>
    <n v="0"/>
    <n v="0"/>
    <n v="0"/>
  </r>
  <r>
    <x v="14"/>
    <x v="36"/>
    <n v="0"/>
    <n v="0"/>
    <n v="0"/>
    <n v="0"/>
    <n v="0"/>
  </r>
  <r>
    <x v="14"/>
    <x v="37"/>
    <n v="0"/>
    <n v="0"/>
    <n v="0"/>
    <n v="0"/>
    <n v="0"/>
  </r>
  <r>
    <x v="14"/>
    <x v="38"/>
    <n v="0"/>
    <n v="0"/>
    <n v="0"/>
    <n v="0"/>
    <n v="0"/>
  </r>
  <r>
    <x v="14"/>
    <x v="39"/>
    <n v="0"/>
    <n v="0"/>
    <n v="0"/>
    <n v="0"/>
    <n v="0"/>
  </r>
  <r>
    <x v="14"/>
    <x v="40"/>
    <n v="0"/>
    <n v="0"/>
    <n v="0"/>
    <n v="0"/>
    <n v="0"/>
  </r>
  <r>
    <x v="14"/>
    <x v="41"/>
    <n v="0"/>
    <n v="0"/>
    <n v="0"/>
    <n v="0"/>
    <n v="0"/>
  </r>
  <r>
    <x v="14"/>
    <x v="42"/>
    <n v="0"/>
    <n v="0"/>
    <n v="0"/>
    <n v="0"/>
    <n v="0"/>
  </r>
  <r>
    <x v="14"/>
    <x v="43"/>
    <n v="0"/>
    <n v="0"/>
    <n v="0"/>
    <n v="0"/>
    <n v="0"/>
  </r>
  <r>
    <x v="14"/>
    <x v="44"/>
    <n v="0"/>
    <n v="0"/>
    <n v="0"/>
    <n v="0"/>
    <n v="0"/>
  </r>
  <r>
    <x v="14"/>
    <x v="45"/>
    <n v="0"/>
    <n v="0"/>
    <n v="0"/>
    <n v="0"/>
    <n v="0"/>
  </r>
  <r>
    <x v="14"/>
    <x v="46"/>
    <n v="0"/>
    <n v="0"/>
    <n v="0"/>
    <n v="0"/>
    <n v="0"/>
  </r>
  <r>
    <x v="14"/>
    <x v="47"/>
    <n v="0"/>
    <n v="0"/>
    <n v="0"/>
    <n v="0"/>
    <n v="0"/>
  </r>
  <r>
    <x v="14"/>
    <x v="48"/>
    <n v="0"/>
    <n v="0"/>
    <n v="0"/>
    <n v="0"/>
    <n v="0"/>
  </r>
  <r>
    <x v="14"/>
    <x v="49"/>
    <n v="0"/>
    <n v="0"/>
    <n v="0"/>
    <n v="0"/>
    <n v="0"/>
  </r>
  <r>
    <x v="14"/>
    <x v="50"/>
    <n v="0"/>
    <n v="0"/>
    <n v="0"/>
    <n v="0"/>
    <n v="0"/>
  </r>
  <r>
    <x v="14"/>
    <x v="51"/>
    <n v="0"/>
    <n v="0"/>
    <n v="0"/>
    <n v="0"/>
    <n v="0"/>
  </r>
  <r>
    <x v="14"/>
    <x v="52"/>
    <n v="0"/>
    <n v="0"/>
    <n v="0"/>
    <n v="0"/>
    <n v="0"/>
  </r>
  <r>
    <x v="14"/>
    <x v="53"/>
    <n v="0"/>
    <n v="0"/>
    <n v="0"/>
    <n v="0"/>
    <n v="0"/>
  </r>
  <r>
    <x v="14"/>
    <x v="54"/>
    <n v="0"/>
    <n v="0"/>
    <n v="0"/>
    <n v="0"/>
    <n v="0"/>
  </r>
  <r>
    <x v="14"/>
    <x v="55"/>
    <n v="0"/>
    <n v="0"/>
    <n v="0"/>
    <n v="0"/>
    <n v="0"/>
  </r>
  <r>
    <x v="14"/>
    <x v="56"/>
    <n v="0"/>
    <n v="0"/>
    <n v="0"/>
    <n v="0"/>
    <n v="0"/>
  </r>
  <r>
    <x v="14"/>
    <x v="57"/>
    <n v="0"/>
    <n v="0"/>
    <n v="0"/>
    <n v="0"/>
    <n v="0"/>
  </r>
  <r>
    <x v="14"/>
    <x v="58"/>
    <n v="0"/>
    <n v="0"/>
    <n v="0"/>
    <n v="0"/>
    <n v="0"/>
  </r>
  <r>
    <x v="14"/>
    <x v="59"/>
    <n v="0"/>
    <n v="0"/>
    <n v="0"/>
    <n v="0"/>
    <n v="0"/>
  </r>
  <r>
    <x v="14"/>
    <x v="60"/>
    <n v="0"/>
    <n v="0"/>
    <n v="0"/>
    <n v="0"/>
    <n v="0"/>
  </r>
  <r>
    <x v="14"/>
    <x v="61"/>
    <n v="0"/>
    <n v="0"/>
    <n v="0"/>
    <n v="0"/>
    <n v="0"/>
  </r>
  <r>
    <x v="14"/>
    <x v="62"/>
    <n v="0"/>
    <n v="0"/>
    <n v="0"/>
    <n v="0"/>
    <n v="0"/>
  </r>
  <r>
    <x v="14"/>
    <x v="63"/>
    <n v="0"/>
    <n v="0"/>
    <n v="0"/>
    <n v="0"/>
    <n v="0"/>
  </r>
  <r>
    <x v="14"/>
    <x v="64"/>
    <n v="0"/>
    <n v="0"/>
    <n v="0"/>
    <n v="0"/>
    <n v="0"/>
  </r>
  <r>
    <x v="14"/>
    <x v="65"/>
    <n v="0"/>
    <n v="0"/>
    <n v="0"/>
    <n v="0"/>
    <n v="0"/>
  </r>
  <r>
    <x v="14"/>
    <x v="66"/>
    <n v="0"/>
    <n v="0"/>
    <n v="0"/>
    <n v="0"/>
    <n v="0"/>
  </r>
  <r>
    <x v="14"/>
    <x v="67"/>
    <n v="0"/>
    <n v="0"/>
    <n v="0"/>
    <n v="0"/>
    <n v="0"/>
  </r>
  <r>
    <x v="14"/>
    <x v="68"/>
    <n v="0"/>
    <m/>
    <m/>
    <m/>
    <n v="0"/>
  </r>
  <r>
    <x v="14"/>
    <x v="69"/>
    <n v="0"/>
    <m/>
    <m/>
    <m/>
    <n v="0"/>
  </r>
  <r>
    <x v="14"/>
    <x v="70"/>
    <n v="0"/>
    <m/>
    <m/>
    <m/>
    <n v="0"/>
  </r>
  <r>
    <x v="14"/>
    <x v="71"/>
    <n v="0"/>
    <m/>
    <m/>
    <m/>
    <n v="0"/>
  </r>
  <r>
    <x v="14"/>
    <x v="72"/>
    <n v="0"/>
    <m/>
    <m/>
    <m/>
    <n v="0"/>
  </r>
  <r>
    <x v="14"/>
    <x v="73"/>
    <n v="0"/>
    <m/>
    <m/>
    <m/>
    <n v="0"/>
  </r>
  <r>
    <x v="14"/>
    <x v="74"/>
    <n v="0"/>
    <m/>
    <m/>
    <m/>
    <n v="0"/>
  </r>
  <r>
    <x v="14"/>
    <x v="75"/>
    <n v="0"/>
    <m/>
    <m/>
    <m/>
    <n v="0"/>
  </r>
  <r>
    <x v="14"/>
    <x v="76"/>
    <n v="0"/>
    <m/>
    <m/>
    <m/>
    <n v="0"/>
  </r>
  <r>
    <x v="14"/>
    <x v="77"/>
    <n v="0"/>
    <m/>
    <m/>
    <m/>
    <n v="0"/>
  </r>
  <r>
    <x v="14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5"/>
    <x v="0"/>
    <n v="0"/>
    <n v="0"/>
    <n v="0"/>
    <n v="4"/>
    <n v="4"/>
  </r>
  <r>
    <x v="15"/>
    <x v="1"/>
    <n v="0"/>
    <n v="0"/>
    <n v="0"/>
    <n v="0"/>
    <n v="0"/>
  </r>
  <r>
    <x v="15"/>
    <x v="2"/>
    <n v="0"/>
    <n v="0"/>
    <n v="0"/>
    <n v="0"/>
    <n v="0"/>
  </r>
  <r>
    <x v="15"/>
    <x v="3"/>
    <n v="0"/>
    <n v="0"/>
    <n v="0"/>
    <n v="0"/>
    <n v="0"/>
  </r>
  <r>
    <x v="15"/>
    <x v="4"/>
    <n v="0"/>
    <n v="0"/>
    <n v="0"/>
    <n v="0"/>
    <n v="0"/>
  </r>
  <r>
    <x v="15"/>
    <x v="5"/>
    <n v="0"/>
    <n v="0"/>
    <n v="0"/>
    <n v="0"/>
    <n v="0"/>
  </r>
  <r>
    <x v="15"/>
    <x v="6"/>
    <n v="0"/>
    <n v="0"/>
    <n v="0"/>
    <n v="0"/>
    <n v="0"/>
  </r>
  <r>
    <x v="15"/>
    <x v="7"/>
    <n v="0"/>
    <n v="0"/>
    <n v="0"/>
    <n v="0"/>
    <n v="0"/>
  </r>
  <r>
    <x v="15"/>
    <x v="8"/>
    <n v="0"/>
    <n v="0"/>
    <n v="0"/>
    <n v="3"/>
    <n v="3"/>
  </r>
  <r>
    <x v="15"/>
    <x v="9"/>
    <n v="0"/>
    <n v="0"/>
    <n v="0"/>
    <n v="2"/>
    <n v="2"/>
  </r>
  <r>
    <x v="15"/>
    <x v="10"/>
    <n v="0"/>
    <n v="0"/>
    <n v="0"/>
    <n v="0"/>
    <n v="0"/>
  </r>
  <r>
    <x v="15"/>
    <x v="11"/>
    <n v="0"/>
    <m/>
    <m/>
    <m/>
    <n v="0"/>
  </r>
  <r>
    <x v="15"/>
    <x v="12"/>
    <n v="1"/>
    <n v="0"/>
    <n v="0"/>
    <n v="1"/>
    <n v="2"/>
  </r>
  <r>
    <x v="15"/>
    <x v="13"/>
    <n v="0"/>
    <n v="0"/>
    <n v="0"/>
    <n v="0"/>
    <n v="0"/>
  </r>
  <r>
    <x v="15"/>
    <x v="14"/>
    <n v="0"/>
    <n v="0"/>
    <n v="0"/>
    <n v="1"/>
    <n v="1"/>
  </r>
  <r>
    <x v="15"/>
    <x v="15"/>
    <n v="0"/>
    <n v="0"/>
    <n v="0"/>
    <n v="0"/>
    <n v="0"/>
  </r>
  <r>
    <x v="15"/>
    <x v="16"/>
    <n v="0"/>
    <n v="0"/>
    <n v="0"/>
    <n v="0"/>
    <n v="0"/>
  </r>
  <r>
    <x v="15"/>
    <x v="17"/>
    <n v="0"/>
    <n v="0"/>
    <n v="0"/>
    <n v="0"/>
    <n v="0"/>
  </r>
  <r>
    <x v="15"/>
    <x v="18"/>
    <n v="0"/>
    <n v="0"/>
    <n v="0"/>
    <n v="0"/>
    <n v="0"/>
  </r>
  <r>
    <x v="15"/>
    <x v="19"/>
    <n v="0"/>
    <n v="0"/>
    <n v="0"/>
    <n v="0"/>
    <n v="0"/>
  </r>
  <r>
    <x v="15"/>
    <x v="20"/>
    <n v="0"/>
    <n v="0"/>
    <n v="0"/>
    <n v="0"/>
    <n v="0"/>
  </r>
  <r>
    <x v="15"/>
    <x v="21"/>
    <n v="1"/>
    <n v="0"/>
    <n v="1"/>
    <n v="2"/>
    <n v="4"/>
  </r>
  <r>
    <x v="15"/>
    <x v="22"/>
    <n v="0"/>
    <n v="0"/>
    <n v="0"/>
    <n v="0"/>
    <n v="0"/>
  </r>
  <r>
    <x v="15"/>
    <x v="23"/>
    <n v="0"/>
    <n v="0"/>
    <n v="0"/>
    <n v="0"/>
    <n v="0"/>
  </r>
  <r>
    <x v="15"/>
    <x v="24"/>
    <n v="0"/>
    <n v="0"/>
    <n v="0"/>
    <n v="0"/>
    <n v="0"/>
  </r>
  <r>
    <x v="15"/>
    <x v="25"/>
    <n v="0"/>
    <n v="0"/>
    <n v="0"/>
    <n v="0"/>
    <n v="0"/>
  </r>
  <r>
    <x v="15"/>
    <x v="26"/>
    <n v="0"/>
    <n v="0"/>
    <n v="0"/>
    <n v="0"/>
    <n v="0"/>
  </r>
  <r>
    <x v="15"/>
    <x v="27"/>
    <n v="0"/>
    <n v="0"/>
    <n v="0"/>
    <n v="0"/>
    <n v="0"/>
  </r>
  <r>
    <x v="15"/>
    <x v="28"/>
    <n v="0"/>
    <n v="0"/>
    <n v="0"/>
    <n v="0"/>
    <n v="0"/>
  </r>
  <r>
    <x v="15"/>
    <x v="29"/>
    <n v="0"/>
    <m/>
    <m/>
    <m/>
    <n v="0"/>
  </r>
  <r>
    <x v="15"/>
    <x v="30"/>
    <n v="0"/>
    <m/>
    <m/>
    <m/>
    <n v="0"/>
  </r>
  <r>
    <x v="15"/>
    <x v="31"/>
    <n v="0"/>
    <n v="0"/>
    <n v="0"/>
    <n v="0"/>
    <n v="0"/>
  </r>
  <r>
    <x v="15"/>
    <x v="32"/>
    <n v="0"/>
    <n v="0"/>
    <n v="0"/>
    <n v="0"/>
    <n v="0"/>
  </r>
  <r>
    <x v="15"/>
    <x v="33"/>
    <n v="0"/>
    <n v="0"/>
    <n v="0"/>
    <n v="0"/>
    <n v="0"/>
  </r>
  <r>
    <x v="15"/>
    <x v="34"/>
    <n v="0"/>
    <n v="0"/>
    <n v="0"/>
    <n v="0"/>
    <n v="0"/>
  </r>
  <r>
    <x v="15"/>
    <x v="35"/>
    <n v="0"/>
    <n v="0"/>
    <n v="0"/>
    <n v="0"/>
    <n v="0"/>
  </r>
  <r>
    <x v="15"/>
    <x v="36"/>
    <n v="0"/>
    <n v="0"/>
    <n v="0"/>
    <n v="0"/>
    <n v="0"/>
  </r>
  <r>
    <x v="15"/>
    <x v="37"/>
    <n v="0"/>
    <n v="0"/>
    <n v="0"/>
    <n v="0"/>
    <n v="0"/>
  </r>
  <r>
    <x v="15"/>
    <x v="38"/>
    <n v="0"/>
    <n v="0"/>
    <n v="0"/>
    <n v="0"/>
    <n v="0"/>
  </r>
  <r>
    <x v="15"/>
    <x v="39"/>
    <n v="0"/>
    <n v="0"/>
    <n v="0"/>
    <n v="0"/>
    <n v="0"/>
  </r>
  <r>
    <x v="15"/>
    <x v="40"/>
    <n v="0"/>
    <n v="0"/>
    <n v="0"/>
    <n v="0"/>
    <n v="0"/>
  </r>
  <r>
    <x v="15"/>
    <x v="41"/>
    <n v="0"/>
    <n v="0"/>
    <n v="0"/>
    <n v="0"/>
    <n v="0"/>
  </r>
  <r>
    <x v="15"/>
    <x v="42"/>
    <n v="0"/>
    <n v="0"/>
    <n v="0"/>
    <n v="0"/>
    <n v="0"/>
  </r>
  <r>
    <x v="15"/>
    <x v="43"/>
    <n v="0"/>
    <n v="0"/>
    <n v="0"/>
    <n v="0"/>
    <n v="0"/>
  </r>
  <r>
    <x v="15"/>
    <x v="44"/>
    <n v="0"/>
    <n v="0"/>
    <n v="0"/>
    <n v="0"/>
    <n v="0"/>
  </r>
  <r>
    <x v="15"/>
    <x v="45"/>
    <n v="0"/>
    <n v="0"/>
    <n v="0"/>
    <n v="0"/>
    <n v="0"/>
  </r>
  <r>
    <x v="15"/>
    <x v="46"/>
    <n v="0"/>
    <n v="0"/>
    <n v="0"/>
    <n v="0"/>
    <n v="0"/>
  </r>
  <r>
    <x v="15"/>
    <x v="47"/>
    <n v="0"/>
    <n v="0"/>
    <n v="0"/>
    <n v="0"/>
    <n v="0"/>
  </r>
  <r>
    <x v="15"/>
    <x v="48"/>
    <n v="0"/>
    <n v="0"/>
    <n v="0"/>
    <n v="0"/>
    <n v="0"/>
  </r>
  <r>
    <x v="15"/>
    <x v="49"/>
    <n v="0"/>
    <n v="0"/>
    <n v="0"/>
    <n v="0"/>
    <n v="0"/>
  </r>
  <r>
    <x v="15"/>
    <x v="50"/>
    <n v="0"/>
    <n v="0"/>
    <n v="0"/>
    <n v="0"/>
    <n v="0"/>
  </r>
  <r>
    <x v="15"/>
    <x v="51"/>
    <n v="0"/>
    <n v="0"/>
    <n v="0"/>
    <n v="0"/>
    <n v="0"/>
  </r>
  <r>
    <x v="15"/>
    <x v="52"/>
    <n v="0"/>
    <n v="0"/>
    <n v="0"/>
    <n v="0"/>
    <n v="0"/>
  </r>
  <r>
    <x v="15"/>
    <x v="53"/>
    <n v="0"/>
    <n v="0"/>
    <n v="0"/>
    <n v="0"/>
    <n v="0"/>
  </r>
  <r>
    <x v="15"/>
    <x v="54"/>
    <n v="0"/>
    <n v="0"/>
    <n v="0"/>
    <n v="0"/>
    <n v="0"/>
  </r>
  <r>
    <x v="15"/>
    <x v="55"/>
    <n v="0"/>
    <n v="0"/>
    <n v="0"/>
    <n v="0"/>
    <n v="0"/>
  </r>
  <r>
    <x v="15"/>
    <x v="56"/>
    <n v="0"/>
    <n v="0"/>
    <n v="0"/>
    <n v="0"/>
    <n v="0"/>
  </r>
  <r>
    <x v="15"/>
    <x v="57"/>
    <n v="0"/>
    <n v="0"/>
    <n v="0"/>
    <n v="0"/>
    <n v="0"/>
  </r>
  <r>
    <x v="15"/>
    <x v="58"/>
    <n v="0"/>
    <n v="0"/>
    <n v="0"/>
    <n v="0"/>
    <n v="0"/>
  </r>
  <r>
    <x v="15"/>
    <x v="59"/>
    <n v="0"/>
    <n v="0"/>
    <n v="0"/>
    <n v="0"/>
    <n v="0"/>
  </r>
  <r>
    <x v="15"/>
    <x v="60"/>
    <n v="0"/>
    <n v="0"/>
    <n v="0"/>
    <n v="0"/>
    <n v="0"/>
  </r>
  <r>
    <x v="15"/>
    <x v="61"/>
    <n v="0"/>
    <n v="0"/>
    <n v="0"/>
    <n v="0"/>
    <n v="0"/>
  </r>
  <r>
    <x v="15"/>
    <x v="62"/>
    <n v="0"/>
    <n v="0"/>
    <n v="0"/>
    <n v="0"/>
    <n v="0"/>
  </r>
  <r>
    <x v="15"/>
    <x v="63"/>
    <n v="0"/>
    <n v="0"/>
    <n v="0"/>
    <n v="0"/>
    <n v="0"/>
  </r>
  <r>
    <x v="15"/>
    <x v="64"/>
    <n v="0"/>
    <n v="0"/>
    <n v="0"/>
    <n v="0"/>
    <n v="0"/>
  </r>
  <r>
    <x v="15"/>
    <x v="65"/>
    <n v="0"/>
    <n v="0"/>
    <n v="0"/>
    <n v="0"/>
    <n v="0"/>
  </r>
  <r>
    <x v="15"/>
    <x v="66"/>
    <n v="0"/>
    <n v="0"/>
    <n v="0"/>
    <n v="0"/>
    <n v="0"/>
  </r>
  <r>
    <x v="15"/>
    <x v="67"/>
    <n v="0"/>
    <n v="0"/>
    <n v="0"/>
    <n v="0"/>
    <n v="0"/>
  </r>
  <r>
    <x v="15"/>
    <x v="68"/>
    <n v="0"/>
    <m/>
    <m/>
    <m/>
    <n v="0"/>
  </r>
  <r>
    <x v="15"/>
    <x v="69"/>
    <n v="0"/>
    <m/>
    <m/>
    <m/>
    <n v="0"/>
  </r>
  <r>
    <x v="15"/>
    <x v="70"/>
    <n v="0"/>
    <m/>
    <m/>
    <m/>
    <n v="0"/>
  </r>
  <r>
    <x v="15"/>
    <x v="71"/>
    <n v="0"/>
    <m/>
    <m/>
    <m/>
    <n v="0"/>
  </r>
  <r>
    <x v="15"/>
    <x v="72"/>
    <n v="0"/>
    <m/>
    <m/>
    <m/>
    <n v="0"/>
  </r>
  <r>
    <x v="15"/>
    <x v="73"/>
    <n v="0"/>
    <m/>
    <m/>
    <m/>
    <n v="0"/>
  </r>
  <r>
    <x v="15"/>
    <x v="74"/>
    <n v="0"/>
    <m/>
    <m/>
    <m/>
    <n v="0"/>
  </r>
  <r>
    <x v="15"/>
    <x v="75"/>
    <n v="0"/>
    <m/>
    <m/>
    <m/>
    <n v="0"/>
  </r>
  <r>
    <x v="15"/>
    <x v="76"/>
    <n v="0"/>
    <m/>
    <m/>
    <m/>
    <n v="0"/>
  </r>
  <r>
    <x v="15"/>
    <x v="77"/>
    <n v="0"/>
    <m/>
    <m/>
    <m/>
    <n v="0"/>
  </r>
  <r>
    <x v="15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6"/>
    <x v="0"/>
    <n v="0"/>
    <n v="0"/>
    <n v="0"/>
    <n v="0"/>
    <n v="0"/>
  </r>
  <r>
    <x v="16"/>
    <x v="1"/>
    <n v="0"/>
    <n v="0"/>
    <n v="0"/>
    <n v="30"/>
    <n v="30"/>
  </r>
  <r>
    <x v="16"/>
    <x v="2"/>
    <n v="0"/>
    <n v="0"/>
    <n v="0"/>
    <n v="0"/>
    <n v="0"/>
  </r>
  <r>
    <x v="16"/>
    <x v="3"/>
    <n v="0"/>
    <n v="0"/>
    <n v="0"/>
    <n v="0"/>
    <n v="0"/>
  </r>
  <r>
    <x v="16"/>
    <x v="4"/>
    <n v="0"/>
    <n v="0"/>
    <n v="0"/>
    <n v="0"/>
    <n v="0"/>
  </r>
  <r>
    <x v="16"/>
    <x v="5"/>
    <n v="0"/>
    <n v="0"/>
    <n v="0"/>
    <n v="6"/>
    <n v="6"/>
  </r>
  <r>
    <x v="16"/>
    <x v="6"/>
    <n v="0"/>
    <n v="0"/>
    <n v="0"/>
    <n v="0"/>
    <n v="0"/>
  </r>
  <r>
    <x v="16"/>
    <x v="7"/>
    <n v="0"/>
    <n v="0"/>
    <n v="0"/>
    <n v="4"/>
    <n v="4"/>
  </r>
  <r>
    <x v="16"/>
    <x v="8"/>
    <n v="0"/>
    <n v="0"/>
    <n v="0"/>
    <n v="5"/>
    <n v="5"/>
  </r>
  <r>
    <x v="16"/>
    <x v="9"/>
    <n v="0"/>
    <n v="0"/>
    <n v="0"/>
    <n v="4"/>
    <n v="4"/>
  </r>
  <r>
    <x v="16"/>
    <x v="10"/>
    <n v="0"/>
    <n v="0"/>
    <n v="0"/>
    <n v="0"/>
    <n v="0"/>
  </r>
  <r>
    <x v="16"/>
    <x v="11"/>
    <n v="0"/>
    <m/>
    <m/>
    <m/>
    <n v="0"/>
  </r>
  <r>
    <x v="16"/>
    <x v="12"/>
    <n v="0"/>
    <n v="0"/>
    <n v="0"/>
    <n v="0"/>
    <n v="0"/>
  </r>
  <r>
    <x v="16"/>
    <x v="13"/>
    <n v="0"/>
    <n v="0"/>
    <n v="0"/>
    <n v="0"/>
    <n v="0"/>
  </r>
  <r>
    <x v="16"/>
    <x v="14"/>
    <n v="0"/>
    <n v="0"/>
    <n v="0"/>
    <n v="1"/>
    <n v="1"/>
  </r>
  <r>
    <x v="16"/>
    <x v="15"/>
    <n v="0"/>
    <n v="0"/>
    <n v="0"/>
    <n v="1"/>
    <n v="1"/>
  </r>
  <r>
    <x v="16"/>
    <x v="16"/>
    <n v="0"/>
    <n v="0"/>
    <n v="0"/>
    <n v="0"/>
    <n v="0"/>
  </r>
  <r>
    <x v="16"/>
    <x v="17"/>
    <n v="0"/>
    <n v="0"/>
    <n v="0"/>
    <n v="1"/>
    <n v="1"/>
  </r>
  <r>
    <x v="16"/>
    <x v="18"/>
    <n v="0"/>
    <n v="0"/>
    <n v="0"/>
    <n v="0"/>
    <n v="0"/>
  </r>
  <r>
    <x v="16"/>
    <x v="19"/>
    <n v="0"/>
    <n v="0"/>
    <n v="0"/>
    <n v="0"/>
    <n v="0"/>
  </r>
  <r>
    <x v="16"/>
    <x v="20"/>
    <n v="0"/>
    <n v="0"/>
    <n v="0"/>
    <n v="0"/>
    <n v="0"/>
  </r>
  <r>
    <x v="16"/>
    <x v="21"/>
    <n v="0"/>
    <n v="0"/>
    <n v="0"/>
    <n v="0"/>
    <n v="0"/>
  </r>
  <r>
    <x v="16"/>
    <x v="22"/>
    <n v="0"/>
    <n v="0"/>
    <n v="0"/>
    <n v="0"/>
    <n v="0"/>
  </r>
  <r>
    <x v="16"/>
    <x v="23"/>
    <n v="0"/>
    <n v="0"/>
    <n v="0"/>
    <n v="0"/>
    <n v="0"/>
  </r>
  <r>
    <x v="16"/>
    <x v="24"/>
    <n v="0"/>
    <n v="0"/>
    <n v="0"/>
    <n v="0"/>
    <n v="0"/>
  </r>
  <r>
    <x v="16"/>
    <x v="25"/>
    <n v="0"/>
    <n v="0"/>
    <n v="0"/>
    <n v="0"/>
    <n v="0"/>
  </r>
  <r>
    <x v="16"/>
    <x v="26"/>
    <n v="0"/>
    <n v="0"/>
    <n v="0"/>
    <n v="0"/>
    <n v="0"/>
  </r>
  <r>
    <x v="16"/>
    <x v="27"/>
    <n v="0"/>
    <n v="0"/>
    <n v="0"/>
    <n v="0"/>
    <n v="0"/>
  </r>
  <r>
    <x v="16"/>
    <x v="28"/>
    <n v="0"/>
    <n v="0"/>
    <n v="0"/>
    <n v="0"/>
    <n v="0"/>
  </r>
  <r>
    <x v="16"/>
    <x v="29"/>
    <n v="0"/>
    <m/>
    <m/>
    <m/>
    <n v="0"/>
  </r>
  <r>
    <x v="16"/>
    <x v="30"/>
    <n v="0"/>
    <m/>
    <m/>
    <m/>
    <n v="0"/>
  </r>
  <r>
    <x v="16"/>
    <x v="31"/>
    <n v="0"/>
    <n v="0"/>
    <n v="0"/>
    <n v="0"/>
    <n v="0"/>
  </r>
  <r>
    <x v="16"/>
    <x v="32"/>
    <n v="0"/>
    <n v="0"/>
    <n v="0"/>
    <n v="0"/>
    <n v="0"/>
  </r>
  <r>
    <x v="16"/>
    <x v="33"/>
    <n v="0"/>
    <n v="0"/>
    <n v="0"/>
    <n v="0"/>
    <n v="0"/>
  </r>
  <r>
    <x v="16"/>
    <x v="34"/>
    <n v="0"/>
    <n v="0"/>
    <n v="0"/>
    <n v="0"/>
    <n v="0"/>
  </r>
  <r>
    <x v="16"/>
    <x v="35"/>
    <n v="0"/>
    <n v="0"/>
    <n v="0"/>
    <n v="0"/>
    <n v="0"/>
  </r>
  <r>
    <x v="16"/>
    <x v="36"/>
    <n v="0"/>
    <n v="0"/>
    <n v="0"/>
    <n v="0"/>
    <n v="0"/>
  </r>
  <r>
    <x v="16"/>
    <x v="37"/>
    <n v="0"/>
    <n v="0"/>
    <n v="0"/>
    <n v="0"/>
    <n v="0"/>
  </r>
  <r>
    <x v="16"/>
    <x v="38"/>
    <n v="0"/>
    <n v="0"/>
    <n v="0"/>
    <n v="0"/>
    <n v="0"/>
  </r>
  <r>
    <x v="16"/>
    <x v="39"/>
    <n v="0"/>
    <n v="0"/>
    <n v="0"/>
    <n v="0"/>
    <n v="0"/>
  </r>
  <r>
    <x v="16"/>
    <x v="40"/>
    <n v="0"/>
    <n v="0"/>
    <n v="0"/>
    <n v="0"/>
    <n v="0"/>
  </r>
  <r>
    <x v="16"/>
    <x v="41"/>
    <n v="0"/>
    <n v="0"/>
    <n v="0"/>
    <n v="0"/>
    <n v="0"/>
  </r>
  <r>
    <x v="16"/>
    <x v="42"/>
    <n v="0"/>
    <n v="0"/>
    <n v="0"/>
    <n v="0"/>
    <n v="0"/>
  </r>
  <r>
    <x v="16"/>
    <x v="43"/>
    <n v="0"/>
    <n v="0"/>
    <n v="0"/>
    <n v="0"/>
    <n v="0"/>
  </r>
  <r>
    <x v="16"/>
    <x v="44"/>
    <n v="0"/>
    <n v="0"/>
    <n v="0"/>
    <n v="0"/>
    <n v="0"/>
  </r>
  <r>
    <x v="16"/>
    <x v="45"/>
    <n v="0"/>
    <n v="0"/>
    <n v="0"/>
    <n v="0"/>
    <n v="0"/>
  </r>
  <r>
    <x v="16"/>
    <x v="46"/>
    <n v="0"/>
    <n v="0"/>
    <n v="0"/>
    <n v="0"/>
    <n v="0"/>
  </r>
  <r>
    <x v="16"/>
    <x v="47"/>
    <n v="0"/>
    <n v="0"/>
    <n v="0"/>
    <n v="0"/>
    <n v="0"/>
  </r>
  <r>
    <x v="16"/>
    <x v="48"/>
    <n v="0"/>
    <n v="0"/>
    <n v="0"/>
    <n v="0"/>
    <n v="0"/>
  </r>
  <r>
    <x v="16"/>
    <x v="49"/>
    <n v="0"/>
    <n v="0"/>
    <n v="0"/>
    <n v="0"/>
    <n v="0"/>
  </r>
  <r>
    <x v="16"/>
    <x v="50"/>
    <n v="0"/>
    <n v="0"/>
    <n v="0"/>
    <n v="0"/>
    <n v="0"/>
  </r>
  <r>
    <x v="16"/>
    <x v="51"/>
    <n v="0"/>
    <n v="0"/>
    <n v="0"/>
    <n v="0"/>
    <n v="0"/>
  </r>
  <r>
    <x v="16"/>
    <x v="52"/>
    <n v="0"/>
    <n v="0"/>
    <n v="0"/>
    <n v="0"/>
    <n v="0"/>
  </r>
  <r>
    <x v="16"/>
    <x v="53"/>
    <n v="0"/>
    <n v="0"/>
    <n v="0"/>
    <n v="0"/>
    <n v="0"/>
  </r>
  <r>
    <x v="16"/>
    <x v="54"/>
    <n v="0"/>
    <n v="0"/>
    <n v="0"/>
    <n v="0"/>
    <n v="0"/>
  </r>
  <r>
    <x v="16"/>
    <x v="55"/>
    <n v="0"/>
    <n v="0"/>
    <n v="0"/>
    <n v="0"/>
    <n v="0"/>
  </r>
  <r>
    <x v="16"/>
    <x v="56"/>
    <n v="0"/>
    <n v="0"/>
    <n v="0"/>
    <n v="0"/>
    <n v="0"/>
  </r>
  <r>
    <x v="16"/>
    <x v="57"/>
    <n v="0"/>
    <n v="0"/>
    <n v="0"/>
    <n v="0"/>
    <n v="0"/>
  </r>
  <r>
    <x v="16"/>
    <x v="58"/>
    <n v="0"/>
    <n v="0"/>
    <n v="0"/>
    <n v="0"/>
    <n v="0"/>
  </r>
  <r>
    <x v="16"/>
    <x v="59"/>
    <n v="0"/>
    <n v="0"/>
    <n v="0"/>
    <n v="0"/>
    <n v="0"/>
  </r>
  <r>
    <x v="16"/>
    <x v="60"/>
    <n v="0"/>
    <n v="0"/>
    <n v="0"/>
    <n v="0"/>
    <n v="0"/>
  </r>
  <r>
    <x v="16"/>
    <x v="61"/>
    <n v="0"/>
    <n v="0"/>
    <n v="0"/>
    <n v="0"/>
    <n v="0"/>
  </r>
  <r>
    <x v="16"/>
    <x v="62"/>
    <n v="0"/>
    <n v="0"/>
    <n v="0"/>
    <n v="0"/>
    <n v="0"/>
  </r>
  <r>
    <x v="16"/>
    <x v="63"/>
    <n v="0"/>
    <n v="0"/>
    <n v="0"/>
    <n v="0"/>
    <n v="0"/>
  </r>
  <r>
    <x v="16"/>
    <x v="64"/>
    <n v="0"/>
    <n v="0"/>
    <n v="0"/>
    <n v="0"/>
    <n v="0"/>
  </r>
  <r>
    <x v="16"/>
    <x v="65"/>
    <n v="0"/>
    <n v="0"/>
    <n v="0"/>
    <n v="0"/>
    <n v="0"/>
  </r>
  <r>
    <x v="16"/>
    <x v="66"/>
    <n v="0"/>
    <n v="0"/>
    <n v="0"/>
    <n v="0"/>
    <n v="0"/>
  </r>
  <r>
    <x v="16"/>
    <x v="67"/>
    <n v="0"/>
    <n v="0"/>
    <n v="0"/>
    <n v="0"/>
    <n v="0"/>
  </r>
  <r>
    <x v="16"/>
    <x v="68"/>
    <n v="0"/>
    <m/>
    <m/>
    <m/>
    <n v="0"/>
  </r>
  <r>
    <x v="16"/>
    <x v="69"/>
    <n v="0"/>
    <m/>
    <m/>
    <m/>
    <n v="0"/>
  </r>
  <r>
    <x v="16"/>
    <x v="70"/>
    <n v="0"/>
    <m/>
    <m/>
    <m/>
    <n v="0"/>
  </r>
  <r>
    <x v="16"/>
    <x v="71"/>
    <n v="0"/>
    <m/>
    <m/>
    <m/>
    <n v="0"/>
  </r>
  <r>
    <x v="16"/>
    <x v="72"/>
    <n v="0"/>
    <m/>
    <m/>
    <m/>
    <n v="0"/>
  </r>
  <r>
    <x v="16"/>
    <x v="73"/>
    <n v="0"/>
    <m/>
    <m/>
    <m/>
    <n v="0"/>
  </r>
  <r>
    <x v="16"/>
    <x v="74"/>
    <n v="0"/>
    <m/>
    <m/>
    <m/>
    <n v="0"/>
  </r>
  <r>
    <x v="16"/>
    <x v="75"/>
    <n v="0"/>
    <m/>
    <m/>
    <m/>
    <n v="0"/>
  </r>
  <r>
    <x v="16"/>
    <x v="76"/>
    <n v="0"/>
    <m/>
    <m/>
    <m/>
    <n v="0"/>
  </r>
  <r>
    <x v="16"/>
    <x v="77"/>
    <n v="0"/>
    <m/>
    <m/>
    <m/>
    <n v="0"/>
  </r>
  <r>
    <x v="16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7"/>
    <x v="0"/>
    <n v="0"/>
    <n v="0"/>
    <n v="0"/>
    <n v="0"/>
    <n v="0"/>
  </r>
  <r>
    <x v="17"/>
    <x v="1"/>
    <n v="0"/>
    <n v="0"/>
    <n v="0"/>
    <n v="20"/>
    <n v="20"/>
  </r>
  <r>
    <x v="17"/>
    <x v="2"/>
    <n v="0"/>
    <n v="0"/>
    <n v="0"/>
    <n v="0"/>
    <n v="0"/>
  </r>
  <r>
    <x v="17"/>
    <x v="3"/>
    <n v="0"/>
    <n v="0"/>
    <n v="0"/>
    <n v="0"/>
    <n v="0"/>
  </r>
  <r>
    <x v="17"/>
    <x v="4"/>
    <n v="0"/>
    <n v="0"/>
    <n v="0"/>
    <n v="0"/>
    <n v="0"/>
  </r>
  <r>
    <x v="17"/>
    <x v="5"/>
    <n v="0"/>
    <n v="0"/>
    <n v="0"/>
    <n v="0"/>
    <n v="0"/>
  </r>
  <r>
    <x v="17"/>
    <x v="6"/>
    <n v="0"/>
    <n v="0"/>
    <n v="0"/>
    <n v="0"/>
    <n v="0"/>
  </r>
  <r>
    <x v="17"/>
    <x v="7"/>
    <n v="0"/>
    <n v="0"/>
    <n v="0"/>
    <n v="0"/>
    <n v="0"/>
  </r>
  <r>
    <x v="17"/>
    <x v="8"/>
    <n v="0"/>
    <n v="0"/>
    <n v="0"/>
    <n v="0"/>
    <n v="0"/>
  </r>
  <r>
    <x v="17"/>
    <x v="9"/>
    <n v="0"/>
    <n v="0"/>
    <n v="0"/>
    <n v="0"/>
    <n v="0"/>
  </r>
  <r>
    <x v="17"/>
    <x v="10"/>
    <n v="0"/>
    <n v="0"/>
    <n v="0"/>
    <n v="0"/>
    <n v="0"/>
  </r>
  <r>
    <x v="17"/>
    <x v="11"/>
    <n v="0"/>
    <m/>
    <m/>
    <m/>
    <n v="0"/>
  </r>
  <r>
    <x v="17"/>
    <x v="12"/>
    <n v="0"/>
    <n v="0"/>
    <n v="0"/>
    <n v="0"/>
    <n v="0"/>
  </r>
  <r>
    <x v="17"/>
    <x v="13"/>
    <n v="0"/>
    <n v="0"/>
    <n v="0"/>
    <n v="0"/>
    <n v="0"/>
  </r>
  <r>
    <x v="17"/>
    <x v="14"/>
    <n v="0"/>
    <n v="0"/>
    <n v="0"/>
    <n v="0"/>
    <n v="0"/>
  </r>
  <r>
    <x v="17"/>
    <x v="15"/>
    <n v="0"/>
    <n v="0"/>
    <n v="0"/>
    <n v="0"/>
    <n v="0"/>
  </r>
  <r>
    <x v="17"/>
    <x v="16"/>
    <n v="0"/>
    <n v="0"/>
    <n v="0"/>
    <n v="0"/>
    <n v="0"/>
  </r>
  <r>
    <x v="17"/>
    <x v="17"/>
    <n v="0"/>
    <n v="0"/>
    <n v="0"/>
    <n v="0"/>
    <n v="0"/>
  </r>
  <r>
    <x v="17"/>
    <x v="18"/>
    <n v="0"/>
    <n v="0"/>
    <n v="0"/>
    <n v="0"/>
    <n v="0"/>
  </r>
  <r>
    <x v="17"/>
    <x v="19"/>
    <n v="0"/>
    <n v="0"/>
    <n v="0"/>
    <n v="0"/>
    <n v="0"/>
  </r>
  <r>
    <x v="17"/>
    <x v="20"/>
    <n v="0"/>
    <n v="0"/>
    <n v="0"/>
    <n v="0"/>
    <n v="0"/>
  </r>
  <r>
    <x v="17"/>
    <x v="21"/>
    <n v="0"/>
    <n v="0"/>
    <n v="0"/>
    <n v="0"/>
    <n v="0"/>
  </r>
  <r>
    <x v="17"/>
    <x v="22"/>
    <n v="0"/>
    <n v="0"/>
    <n v="0"/>
    <n v="0"/>
    <n v="0"/>
  </r>
  <r>
    <x v="17"/>
    <x v="23"/>
    <n v="0"/>
    <n v="0"/>
    <n v="0"/>
    <n v="0"/>
    <n v="0"/>
  </r>
  <r>
    <x v="17"/>
    <x v="24"/>
    <n v="0"/>
    <n v="0"/>
    <n v="0"/>
    <n v="0"/>
    <n v="0"/>
  </r>
  <r>
    <x v="17"/>
    <x v="25"/>
    <n v="0"/>
    <n v="0"/>
    <n v="0"/>
    <n v="0"/>
    <n v="0"/>
  </r>
  <r>
    <x v="17"/>
    <x v="26"/>
    <n v="0"/>
    <n v="0"/>
    <n v="0"/>
    <n v="0"/>
    <n v="0"/>
  </r>
  <r>
    <x v="17"/>
    <x v="27"/>
    <n v="0"/>
    <n v="0"/>
    <n v="0"/>
    <n v="0"/>
    <n v="0"/>
  </r>
  <r>
    <x v="17"/>
    <x v="28"/>
    <n v="0"/>
    <n v="0"/>
    <n v="0"/>
    <n v="0"/>
    <n v="0"/>
  </r>
  <r>
    <x v="17"/>
    <x v="29"/>
    <n v="0"/>
    <m/>
    <m/>
    <m/>
    <n v="0"/>
  </r>
  <r>
    <x v="17"/>
    <x v="30"/>
    <n v="0"/>
    <m/>
    <m/>
    <m/>
    <n v="0"/>
  </r>
  <r>
    <x v="17"/>
    <x v="31"/>
    <n v="0"/>
    <n v="0"/>
    <n v="0"/>
    <n v="0"/>
    <n v="0"/>
  </r>
  <r>
    <x v="17"/>
    <x v="32"/>
    <n v="0"/>
    <n v="0"/>
    <n v="0"/>
    <n v="0"/>
    <n v="0"/>
  </r>
  <r>
    <x v="17"/>
    <x v="33"/>
    <n v="0"/>
    <n v="0"/>
    <n v="0"/>
    <n v="0"/>
    <n v="0"/>
  </r>
  <r>
    <x v="17"/>
    <x v="34"/>
    <n v="0"/>
    <n v="0"/>
    <n v="0"/>
    <n v="0"/>
    <n v="0"/>
  </r>
  <r>
    <x v="17"/>
    <x v="35"/>
    <n v="0"/>
    <n v="0"/>
    <n v="0"/>
    <n v="0"/>
    <n v="0"/>
  </r>
  <r>
    <x v="17"/>
    <x v="36"/>
    <n v="0"/>
    <n v="0"/>
    <n v="0"/>
    <n v="0"/>
    <n v="0"/>
  </r>
  <r>
    <x v="17"/>
    <x v="37"/>
    <n v="0"/>
    <n v="0"/>
    <n v="0"/>
    <n v="0"/>
    <n v="0"/>
  </r>
  <r>
    <x v="17"/>
    <x v="38"/>
    <n v="0"/>
    <n v="0"/>
    <n v="0"/>
    <n v="0"/>
    <n v="0"/>
  </r>
  <r>
    <x v="17"/>
    <x v="39"/>
    <n v="0"/>
    <n v="0"/>
    <n v="0"/>
    <n v="0"/>
    <n v="0"/>
  </r>
  <r>
    <x v="17"/>
    <x v="40"/>
    <n v="0"/>
    <n v="0"/>
    <n v="0"/>
    <n v="0"/>
    <n v="0"/>
  </r>
  <r>
    <x v="17"/>
    <x v="41"/>
    <n v="0"/>
    <n v="0"/>
    <n v="0"/>
    <n v="0"/>
    <n v="0"/>
  </r>
  <r>
    <x v="17"/>
    <x v="42"/>
    <n v="0"/>
    <n v="0"/>
    <n v="0"/>
    <n v="0"/>
    <n v="0"/>
  </r>
  <r>
    <x v="17"/>
    <x v="43"/>
    <n v="0"/>
    <n v="0"/>
    <n v="0"/>
    <n v="0"/>
    <n v="0"/>
  </r>
  <r>
    <x v="17"/>
    <x v="44"/>
    <n v="0"/>
    <n v="0"/>
    <n v="0"/>
    <n v="0"/>
    <n v="0"/>
  </r>
  <r>
    <x v="17"/>
    <x v="45"/>
    <n v="0"/>
    <n v="0"/>
    <n v="0"/>
    <n v="0"/>
    <n v="0"/>
  </r>
  <r>
    <x v="17"/>
    <x v="46"/>
    <n v="0"/>
    <n v="0"/>
    <n v="0"/>
    <n v="0"/>
    <n v="0"/>
  </r>
  <r>
    <x v="17"/>
    <x v="47"/>
    <n v="0"/>
    <n v="0"/>
    <n v="0"/>
    <n v="0"/>
    <n v="0"/>
  </r>
  <r>
    <x v="17"/>
    <x v="48"/>
    <n v="0"/>
    <n v="0"/>
    <n v="0"/>
    <n v="0"/>
    <n v="0"/>
  </r>
  <r>
    <x v="17"/>
    <x v="49"/>
    <n v="0"/>
    <n v="0"/>
    <n v="0"/>
    <n v="0"/>
    <n v="0"/>
  </r>
  <r>
    <x v="17"/>
    <x v="50"/>
    <n v="0"/>
    <n v="0"/>
    <n v="0"/>
    <n v="0"/>
    <n v="0"/>
  </r>
  <r>
    <x v="17"/>
    <x v="51"/>
    <n v="0"/>
    <n v="0"/>
    <n v="0"/>
    <n v="0"/>
    <n v="0"/>
  </r>
  <r>
    <x v="17"/>
    <x v="52"/>
    <n v="0"/>
    <n v="0"/>
    <n v="0"/>
    <n v="0"/>
    <n v="0"/>
  </r>
  <r>
    <x v="17"/>
    <x v="53"/>
    <n v="0"/>
    <n v="0"/>
    <n v="0"/>
    <n v="0"/>
    <n v="0"/>
  </r>
  <r>
    <x v="17"/>
    <x v="54"/>
    <n v="0"/>
    <n v="0"/>
    <n v="0"/>
    <n v="0"/>
    <n v="0"/>
  </r>
  <r>
    <x v="17"/>
    <x v="55"/>
    <n v="0"/>
    <n v="0"/>
    <n v="0"/>
    <n v="0"/>
    <n v="0"/>
  </r>
  <r>
    <x v="17"/>
    <x v="56"/>
    <n v="0"/>
    <n v="0"/>
    <n v="0"/>
    <n v="0"/>
    <n v="0"/>
  </r>
  <r>
    <x v="17"/>
    <x v="57"/>
    <n v="0"/>
    <n v="0"/>
    <n v="0"/>
    <n v="0"/>
    <n v="0"/>
  </r>
  <r>
    <x v="17"/>
    <x v="58"/>
    <n v="0"/>
    <n v="0"/>
    <n v="0"/>
    <n v="0"/>
    <n v="0"/>
  </r>
  <r>
    <x v="17"/>
    <x v="59"/>
    <n v="0"/>
    <n v="0"/>
    <n v="0"/>
    <n v="0"/>
    <n v="0"/>
  </r>
  <r>
    <x v="17"/>
    <x v="60"/>
    <n v="0"/>
    <n v="0"/>
    <n v="0"/>
    <n v="0"/>
    <n v="0"/>
  </r>
  <r>
    <x v="17"/>
    <x v="61"/>
    <n v="0"/>
    <n v="0"/>
    <n v="0"/>
    <n v="0"/>
    <n v="0"/>
  </r>
  <r>
    <x v="17"/>
    <x v="62"/>
    <n v="0"/>
    <n v="0"/>
    <n v="0"/>
    <n v="0"/>
    <n v="0"/>
  </r>
  <r>
    <x v="17"/>
    <x v="63"/>
    <n v="0"/>
    <n v="0"/>
    <n v="0"/>
    <n v="0"/>
    <n v="0"/>
  </r>
  <r>
    <x v="17"/>
    <x v="64"/>
    <n v="0"/>
    <n v="0"/>
    <n v="0"/>
    <n v="0"/>
    <n v="0"/>
  </r>
  <r>
    <x v="17"/>
    <x v="65"/>
    <n v="0"/>
    <n v="0"/>
    <n v="0"/>
    <n v="0"/>
    <n v="0"/>
  </r>
  <r>
    <x v="17"/>
    <x v="66"/>
    <n v="0"/>
    <n v="0"/>
    <n v="0"/>
    <n v="0"/>
    <n v="0"/>
  </r>
  <r>
    <x v="17"/>
    <x v="67"/>
    <n v="0"/>
    <n v="0"/>
    <n v="0"/>
    <n v="0"/>
    <n v="0"/>
  </r>
  <r>
    <x v="17"/>
    <x v="68"/>
    <n v="0"/>
    <m/>
    <m/>
    <m/>
    <n v="0"/>
  </r>
  <r>
    <x v="17"/>
    <x v="69"/>
    <n v="0"/>
    <m/>
    <m/>
    <m/>
    <n v="0"/>
  </r>
  <r>
    <x v="17"/>
    <x v="70"/>
    <n v="0"/>
    <m/>
    <m/>
    <m/>
    <n v="0"/>
  </r>
  <r>
    <x v="17"/>
    <x v="71"/>
    <n v="0"/>
    <m/>
    <m/>
    <m/>
    <n v="0"/>
  </r>
  <r>
    <x v="17"/>
    <x v="72"/>
    <n v="0"/>
    <m/>
    <m/>
    <m/>
    <n v="0"/>
  </r>
  <r>
    <x v="17"/>
    <x v="73"/>
    <n v="0"/>
    <m/>
    <m/>
    <m/>
    <n v="0"/>
  </r>
  <r>
    <x v="17"/>
    <x v="74"/>
    <n v="0"/>
    <m/>
    <m/>
    <m/>
    <n v="0"/>
  </r>
  <r>
    <x v="17"/>
    <x v="75"/>
    <n v="0"/>
    <m/>
    <m/>
    <m/>
    <n v="0"/>
  </r>
  <r>
    <x v="17"/>
    <x v="76"/>
    <n v="0"/>
    <m/>
    <m/>
    <m/>
    <n v="0"/>
  </r>
  <r>
    <x v="17"/>
    <x v="77"/>
    <n v="0"/>
    <m/>
    <m/>
    <m/>
    <n v="0"/>
  </r>
  <r>
    <x v="17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  <r>
    <x v="1"/>
    <x v="79"/>
    <m/>
    <m/>
    <m/>
    <m/>
    <m/>
  </r>
  <r>
    <x v="18"/>
    <x v="0"/>
    <n v="0"/>
    <n v="0"/>
    <n v="0"/>
    <n v="0"/>
    <n v="0"/>
  </r>
  <r>
    <x v="18"/>
    <x v="1"/>
    <n v="0"/>
    <n v="0"/>
    <n v="0"/>
    <n v="0"/>
    <n v="0"/>
  </r>
  <r>
    <x v="18"/>
    <x v="2"/>
    <n v="0"/>
    <n v="0"/>
    <n v="0"/>
    <n v="0"/>
    <n v="0"/>
  </r>
  <r>
    <x v="18"/>
    <x v="3"/>
    <n v="0"/>
    <n v="0"/>
    <n v="0"/>
    <n v="0"/>
    <n v="0"/>
  </r>
  <r>
    <x v="18"/>
    <x v="4"/>
    <n v="0"/>
    <n v="0"/>
    <n v="0"/>
    <n v="0"/>
    <n v="0"/>
  </r>
  <r>
    <x v="18"/>
    <x v="5"/>
    <n v="0"/>
    <n v="0"/>
    <n v="0"/>
    <n v="0"/>
    <n v="0"/>
  </r>
  <r>
    <x v="18"/>
    <x v="6"/>
    <n v="0"/>
    <n v="0"/>
    <n v="0"/>
    <n v="0"/>
    <n v="0"/>
  </r>
  <r>
    <x v="18"/>
    <x v="7"/>
    <n v="0"/>
    <n v="0"/>
    <n v="0"/>
    <n v="0"/>
    <n v="0"/>
  </r>
  <r>
    <x v="18"/>
    <x v="8"/>
    <n v="0"/>
    <n v="0"/>
    <n v="0"/>
    <n v="0"/>
    <n v="0"/>
  </r>
  <r>
    <x v="18"/>
    <x v="9"/>
    <n v="0"/>
    <n v="0"/>
    <n v="0"/>
    <n v="0"/>
    <n v="0"/>
  </r>
  <r>
    <x v="18"/>
    <x v="10"/>
    <n v="0"/>
    <n v="0"/>
    <n v="0"/>
    <n v="0"/>
    <n v="0"/>
  </r>
  <r>
    <x v="18"/>
    <x v="11"/>
    <n v="0"/>
    <m/>
    <m/>
    <m/>
    <n v="0"/>
  </r>
  <r>
    <x v="18"/>
    <x v="12"/>
    <n v="0"/>
    <n v="0"/>
    <n v="0"/>
    <n v="0"/>
    <n v="0"/>
  </r>
  <r>
    <x v="18"/>
    <x v="13"/>
    <n v="0"/>
    <n v="0"/>
    <n v="0"/>
    <n v="0"/>
    <n v="0"/>
  </r>
  <r>
    <x v="18"/>
    <x v="14"/>
    <n v="0"/>
    <n v="0"/>
    <n v="0"/>
    <n v="0"/>
    <n v="0"/>
  </r>
  <r>
    <x v="18"/>
    <x v="15"/>
    <n v="0"/>
    <n v="0"/>
    <n v="0"/>
    <n v="0"/>
    <n v="0"/>
  </r>
  <r>
    <x v="18"/>
    <x v="16"/>
    <n v="0"/>
    <n v="0"/>
    <n v="0"/>
    <n v="0"/>
    <n v="0"/>
  </r>
  <r>
    <x v="18"/>
    <x v="17"/>
    <n v="0"/>
    <n v="0"/>
    <n v="0"/>
    <n v="0"/>
    <n v="0"/>
  </r>
  <r>
    <x v="18"/>
    <x v="18"/>
    <n v="0"/>
    <n v="0"/>
    <n v="0"/>
    <n v="0"/>
    <n v="0"/>
  </r>
  <r>
    <x v="18"/>
    <x v="19"/>
    <n v="0"/>
    <n v="0"/>
    <n v="0"/>
    <n v="0"/>
    <n v="0"/>
  </r>
  <r>
    <x v="18"/>
    <x v="20"/>
    <n v="0"/>
    <n v="0"/>
    <n v="0"/>
    <n v="0"/>
    <n v="0"/>
  </r>
  <r>
    <x v="18"/>
    <x v="21"/>
    <n v="0"/>
    <n v="0"/>
    <n v="0"/>
    <n v="0"/>
    <n v="0"/>
  </r>
  <r>
    <x v="18"/>
    <x v="22"/>
    <n v="0"/>
    <n v="0"/>
    <n v="0"/>
    <n v="0"/>
    <n v="0"/>
  </r>
  <r>
    <x v="18"/>
    <x v="23"/>
    <n v="0"/>
    <n v="0"/>
    <n v="0"/>
    <n v="0"/>
    <n v="0"/>
  </r>
  <r>
    <x v="18"/>
    <x v="24"/>
    <n v="0"/>
    <n v="0"/>
    <n v="0"/>
    <n v="0"/>
    <n v="0"/>
  </r>
  <r>
    <x v="18"/>
    <x v="25"/>
    <n v="0"/>
    <n v="0"/>
    <n v="0"/>
    <n v="0"/>
    <n v="0"/>
  </r>
  <r>
    <x v="18"/>
    <x v="26"/>
    <n v="0"/>
    <n v="0"/>
    <n v="0"/>
    <n v="0"/>
    <n v="0"/>
  </r>
  <r>
    <x v="18"/>
    <x v="27"/>
    <n v="0"/>
    <n v="0"/>
    <n v="0"/>
    <n v="0"/>
    <n v="0"/>
  </r>
  <r>
    <x v="18"/>
    <x v="28"/>
    <n v="0"/>
    <n v="0"/>
    <n v="0"/>
    <n v="0"/>
    <n v="0"/>
  </r>
  <r>
    <x v="18"/>
    <x v="29"/>
    <n v="0"/>
    <m/>
    <m/>
    <m/>
    <n v="0"/>
  </r>
  <r>
    <x v="18"/>
    <x v="30"/>
    <n v="0"/>
    <m/>
    <m/>
    <m/>
    <n v="0"/>
  </r>
  <r>
    <x v="18"/>
    <x v="31"/>
    <n v="0"/>
    <n v="0"/>
    <n v="0"/>
    <n v="0"/>
    <n v="0"/>
  </r>
  <r>
    <x v="18"/>
    <x v="32"/>
    <n v="0"/>
    <n v="0"/>
    <n v="0"/>
    <n v="0"/>
    <n v="0"/>
  </r>
  <r>
    <x v="18"/>
    <x v="33"/>
    <n v="0"/>
    <n v="0"/>
    <n v="0"/>
    <n v="0"/>
    <n v="0"/>
  </r>
  <r>
    <x v="18"/>
    <x v="34"/>
    <n v="0"/>
    <n v="0"/>
    <n v="0"/>
    <n v="0"/>
    <n v="0"/>
  </r>
  <r>
    <x v="18"/>
    <x v="35"/>
    <n v="0"/>
    <n v="0"/>
    <n v="0"/>
    <n v="0"/>
    <n v="0"/>
  </r>
  <r>
    <x v="18"/>
    <x v="36"/>
    <n v="0"/>
    <n v="0"/>
    <n v="0"/>
    <n v="0"/>
    <n v="0"/>
  </r>
  <r>
    <x v="18"/>
    <x v="37"/>
    <n v="0"/>
    <n v="0"/>
    <n v="0"/>
    <n v="0"/>
    <n v="0"/>
  </r>
  <r>
    <x v="18"/>
    <x v="38"/>
    <n v="0"/>
    <n v="0"/>
    <n v="0"/>
    <n v="0"/>
    <n v="0"/>
  </r>
  <r>
    <x v="18"/>
    <x v="39"/>
    <n v="0"/>
    <n v="0"/>
    <n v="0"/>
    <n v="0"/>
    <n v="0"/>
  </r>
  <r>
    <x v="18"/>
    <x v="40"/>
    <n v="0"/>
    <n v="0"/>
    <n v="0"/>
    <n v="0"/>
    <n v="0"/>
  </r>
  <r>
    <x v="18"/>
    <x v="41"/>
    <n v="0"/>
    <n v="0"/>
    <n v="0"/>
    <n v="0"/>
    <n v="0"/>
  </r>
  <r>
    <x v="18"/>
    <x v="42"/>
    <n v="0"/>
    <n v="0"/>
    <n v="0"/>
    <n v="0"/>
    <n v="0"/>
  </r>
  <r>
    <x v="18"/>
    <x v="43"/>
    <n v="0"/>
    <n v="0"/>
    <n v="0"/>
    <n v="0"/>
    <n v="0"/>
  </r>
  <r>
    <x v="18"/>
    <x v="44"/>
    <n v="0"/>
    <n v="0"/>
    <n v="0"/>
    <n v="0"/>
    <n v="0"/>
  </r>
  <r>
    <x v="18"/>
    <x v="45"/>
    <n v="0"/>
    <n v="0"/>
    <n v="0"/>
    <n v="0"/>
    <n v="0"/>
  </r>
  <r>
    <x v="18"/>
    <x v="46"/>
    <n v="0"/>
    <n v="0"/>
    <n v="0"/>
    <n v="0"/>
    <n v="0"/>
  </r>
  <r>
    <x v="18"/>
    <x v="47"/>
    <n v="0"/>
    <n v="0"/>
    <n v="0"/>
    <n v="0"/>
    <n v="0"/>
  </r>
  <r>
    <x v="18"/>
    <x v="48"/>
    <n v="0"/>
    <n v="0"/>
    <n v="0"/>
    <n v="0"/>
    <n v="0"/>
  </r>
  <r>
    <x v="18"/>
    <x v="49"/>
    <n v="0"/>
    <n v="0"/>
    <n v="0"/>
    <n v="0"/>
    <n v="0"/>
  </r>
  <r>
    <x v="18"/>
    <x v="50"/>
    <n v="0"/>
    <n v="0"/>
    <n v="0"/>
    <n v="0"/>
    <n v="0"/>
  </r>
  <r>
    <x v="18"/>
    <x v="51"/>
    <n v="0"/>
    <n v="0"/>
    <n v="0"/>
    <n v="0"/>
    <n v="0"/>
  </r>
  <r>
    <x v="18"/>
    <x v="52"/>
    <n v="0"/>
    <n v="0"/>
    <n v="0"/>
    <n v="0"/>
    <n v="0"/>
  </r>
  <r>
    <x v="18"/>
    <x v="53"/>
    <n v="0"/>
    <n v="0"/>
    <n v="0"/>
    <n v="0"/>
    <n v="0"/>
  </r>
  <r>
    <x v="18"/>
    <x v="54"/>
    <n v="0"/>
    <n v="0"/>
    <n v="0"/>
    <n v="0"/>
    <n v="0"/>
  </r>
  <r>
    <x v="18"/>
    <x v="55"/>
    <n v="0"/>
    <n v="0"/>
    <n v="0"/>
    <n v="0"/>
    <n v="0"/>
  </r>
  <r>
    <x v="18"/>
    <x v="56"/>
    <n v="0"/>
    <n v="0"/>
    <n v="0"/>
    <n v="0"/>
    <n v="0"/>
  </r>
  <r>
    <x v="18"/>
    <x v="57"/>
    <n v="0"/>
    <n v="0"/>
    <n v="0"/>
    <n v="0"/>
    <n v="0"/>
  </r>
  <r>
    <x v="18"/>
    <x v="58"/>
    <n v="0"/>
    <n v="0"/>
    <n v="0"/>
    <n v="0"/>
    <n v="0"/>
  </r>
  <r>
    <x v="18"/>
    <x v="59"/>
    <n v="0"/>
    <n v="0"/>
    <n v="0"/>
    <n v="0"/>
    <n v="0"/>
  </r>
  <r>
    <x v="18"/>
    <x v="60"/>
    <n v="0"/>
    <n v="0"/>
    <n v="0"/>
    <n v="0"/>
    <n v="0"/>
  </r>
  <r>
    <x v="18"/>
    <x v="61"/>
    <n v="0"/>
    <n v="0"/>
    <n v="0"/>
    <n v="0"/>
    <n v="0"/>
  </r>
  <r>
    <x v="18"/>
    <x v="62"/>
    <n v="0"/>
    <n v="0"/>
    <n v="0"/>
    <n v="0"/>
    <n v="0"/>
  </r>
  <r>
    <x v="18"/>
    <x v="63"/>
    <n v="0"/>
    <n v="0"/>
    <n v="0"/>
    <n v="0"/>
    <n v="0"/>
  </r>
  <r>
    <x v="18"/>
    <x v="64"/>
    <n v="0"/>
    <n v="0"/>
    <n v="0"/>
    <n v="0"/>
    <n v="0"/>
  </r>
  <r>
    <x v="18"/>
    <x v="65"/>
    <n v="0"/>
    <n v="0"/>
    <n v="0"/>
    <n v="0"/>
    <n v="0"/>
  </r>
  <r>
    <x v="18"/>
    <x v="66"/>
    <n v="0"/>
    <n v="0"/>
    <n v="0"/>
    <n v="0"/>
    <n v="0"/>
  </r>
  <r>
    <x v="18"/>
    <x v="67"/>
    <n v="0"/>
    <n v="0"/>
    <n v="0"/>
    <n v="0"/>
    <n v="0"/>
  </r>
  <r>
    <x v="18"/>
    <x v="68"/>
    <n v="0"/>
    <m/>
    <m/>
    <m/>
    <n v="0"/>
  </r>
  <r>
    <x v="18"/>
    <x v="69"/>
    <n v="0"/>
    <m/>
    <m/>
    <m/>
    <n v="0"/>
  </r>
  <r>
    <x v="18"/>
    <x v="70"/>
    <n v="0"/>
    <m/>
    <m/>
    <m/>
    <n v="0"/>
  </r>
  <r>
    <x v="18"/>
    <x v="71"/>
    <n v="0"/>
    <m/>
    <m/>
    <m/>
    <n v="0"/>
  </r>
  <r>
    <x v="18"/>
    <x v="72"/>
    <n v="0"/>
    <m/>
    <m/>
    <m/>
    <n v="0"/>
  </r>
  <r>
    <x v="18"/>
    <x v="73"/>
    <n v="0"/>
    <m/>
    <m/>
    <m/>
    <n v="0"/>
  </r>
  <r>
    <x v="18"/>
    <x v="74"/>
    <n v="0"/>
    <m/>
    <m/>
    <m/>
    <n v="0"/>
  </r>
  <r>
    <x v="18"/>
    <x v="75"/>
    <n v="0"/>
    <m/>
    <m/>
    <m/>
    <n v="0"/>
  </r>
  <r>
    <x v="18"/>
    <x v="76"/>
    <n v="0"/>
    <m/>
    <m/>
    <m/>
    <n v="0"/>
  </r>
  <r>
    <x v="18"/>
    <x v="77"/>
    <n v="0"/>
    <m/>
    <m/>
    <m/>
    <n v="0"/>
  </r>
  <r>
    <x v="18"/>
    <x v="78"/>
    <n v="0"/>
    <n v="0"/>
    <n v="0"/>
    <n v="0"/>
    <n v="0"/>
  </r>
  <r>
    <x v="1"/>
    <x v="7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0D26B-9E7E-40E5-8899-774CF2972FC9}" name="Tabela dinâmica1" cacheId="4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7" indent="0" outline="1" outlineData="1" multipleFieldFilters="0" rowHeaderCaption="">
  <location ref="A3:F115" firstHeaderRow="0" firstDataRow="1" firstDataCol="1"/>
  <pivotFields count="7">
    <pivotField axis="axisRow" showAll="0" insertBlankRow="1" defaultSubtotal="0">
      <items count="19">
        <item x="1"/>
        <item x="18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showAll="0" insertBlankRow="1" measureFilter="1" defaultSubtotal="0">
      <items count="80">
        <item x="29"/>
        <item x="30"/>
        <item x="5"/>
        <item x="6"/>
        <item x="10"/>
        <item x="47"/>
        <item x="48"/>
        <item x="49"/>
        <item x="50"/>
        <item x="51"/>
        <item x="52"/>
        <item x="53"/>
        <item x="54"/>
        <item x="55"/>
        <item x="56"/>
        <item x="57"/>
        <item x="7"/>
        <item x="63"/>
        <item x="64"/>
        <item x="61"/>
        <item x="62"/>
        <item x="1"/>
        <item x="3"/>
        <item x="0"/>
        <item x="2"/>
        <item x="4"/>
        <item x="9"/>
        <item x="8"/>
        <item x="67"/>
        <item x="65"/>
        <item x="66"/>
        <item x="75"/>
        <item x="77"/>
        <item x="76"/>
        <item x="71"/>
        <item x="73"/>
        <item x="72"/>
        <item x="74"/>
        <item x="20"/>
        <item x="12"/>
        <item x="19"/>
        <item x="13"/>
        <item x="25"/>
        <item x="21"/>
        <item x="14"/>
        <item x="26"/>
        <item x="28"/>
        <item x="15"/>
        <item x="27"/>
        <item x="16"/>
        <item x="17"/>
        <item x="18"/>
        <item x="22"/>
        <item x="23"/>
        <item x="24"/>
        <item x="42"/>
        <item x="43"/>
        <item x="44"/>
        <item x="45"/>
        <item x="46"/>
        <item x="60"/>
        <item x="58"/>
        <item x="59"/>
        <item x="11"/>
        <item x="68"/>
        <item x="69"/>
        <item x="70"/>
        <item x="33"/>
        <item x="34"/>
        <item x="35"/>
        <item x="36"/>
        <item x="37"/>
        <item x="31"/>
        <item x="38"/>
        <item x="32"/>
        <item x="39"/>
        <item x="40"/>
        <item x="41"/>
        <item x="79"/>
        <item x="78"/>
      </items>
    </pivotField>
    <pivotField dataField="1" showAll="0" insertBlankRow="1" defaultSubtotal="0"/>
    <pivotField dataField="1" showAll="0" insertBlankRow="1" defaultSubtotal="0"/>
    <pivotField dataField="1" showAll="0" insertBlankRow="1" defaultSubtotal="0"/>
    <pivotField dataField="1" showAll="0" insertBlankRow="1" defaultSubtotal="0"/>
    <pivotField dataField="1" showAll="0" insertBlankRow="1" defaultSubtotal="0"/>
  </pivotFields>
  <rowFields count="2">
    <field x="0"/>
    <field x="1"/>
  </rowFields>
  <rowItems count="112">
    <i>
      <x v="2"/>
    </i>
    <i r="1">
      <x v="21"/>
    </i>
    <i r="1">
      <x v="23"/>
    </i>
    <i r="1">
      <x v="39"/>
    </i>
    <i r="1">
      <x v="44"/>
    </i>
    <i r="1">
      <x v="45"/>
    </i>
    <i r="1">
      <x v="47"/>
    </i>
    <i r="1">
      <x v="68"/>
    </i>
    <i r="1">
      <x v="75"/>
    </i>
    <i t="blank">
      <x v="2"/>
    </i>
    <i>
      <x v="3"/>
    </i>
    <i r="1">
      <x v="4"/>
    </i>
    <i r="1">
      <x v="17"/>
    </i>
    <i t="blank">
      <x v="3"/>
    </i>
    <i>
      <x v="4"/>
    </i>
    <i r="1">
      <x v="21"/>
    </i>
    <i r="1">
      <x v="49"/>
    </i>
    <i t="blank">
      <x v="4"/>
    </i>
    <i>
      <x v="5"/>
    </i>
    <i r="1">
      <x v="23"/>
    </i>
    <i r="1">
      <x v="44"/>
    </i>
    <i t="blank">
      <x v="5"/>
    </i>
    <i>
      <x v="6"/>
    </i>
    <i r="1">
      <x v="2"/>
    </i>
    <i r="1">
      <x v="23"/>
    </i>
    <i r="1">
      <x v="39"/>
    </i>
    <i r="1">
      <x v="41"/>
    </i>
    <i r="1">
      <x v="50"/>
    </i>
    <i t="blank">
      <x v="6"/>
    </i>
    <i>
      <x v="7"/>
    </i>
    <i r="1">
      <x v="14"/>
    </i>
    <i r="1">
      <x v="16"/>
    </i>
    <i r="1">
      <x v="21"/>
    </i>
    <i r="1">
      <x v="44"/>
    </i>
    <i r="1">
      <x v="47"/>
    </i>
    <i r="1">
      <x v="50"/>
    </i>
    <i t="blank">
      <x v="7"/>
    </i>
    <i>
      <x v="8"/>
    </i>
    <i r="1">
      <x v="21"/>
    </i>
    <i r="1">
      <x v="39"/>
    </i>
    <i r="1">
      <x v="41"/>
    </i>
    <i r="1">
      <x v="47"/>
    </i>
    <i t="blank">
      <x v="8"/>
    </i>
    <i>
      <x v="9"/>
    </i>
    <i r="1">
      <x v="16"/>
    </i>
    <i r="1">
      <x v="23"/>
    </i>
    <i r="1">
      <x v="39"/>
    </i>
    <i r="1">
      <x v="41"/>
    </i>
    <i r="1">
      <x v="44"/>
    </i>
    <i r="1">
      <x v="47"/>
    </i>
    <i t="blank">
      <x v="9"/>
    </i>
    <i>
      <x v="10"/>
    </i>
    <i r="1">
      <x v="23"/>
    </i>
    <i r="1">
      <x v="44"/>
    </i>
    <i t="blank">
      <x v="10"/>
    </i>
    <i>
      <x v="11"/>
    </i>
    <i r="1">
      <x v="16"/>
    </i>
    <i r="1">
      <x v="21"/>
    </i>
    <i r="1">
      <x v="23"/>
    </i>
    <i r="1">
      <x v="41"/>
    </i>
    <i r="1">
      <x v="44"/>
    </i>
    <i r="1">
      <x v="50"/>
    </i>
    <i t="blank">
      <x v="11"/>
    </i>
    <i>
      <x v="12"/>
    </i>
    <i r="1">
      <x v="57"/>
    </i>
    <i t="blank">
      <x v="12"/>
    </i>
    <i>
      <x v="13"/>
    </i>
    <i r="1">
      <x v="16"/>
    </i>
    <i r="1">
      <x v="21"/>
    </i>
    <i r="1">
      <x v="23"/>
    </i>
    <i r="1">
      <x v="26"/>
    </i>
    <i r="1">
      <x v="47"/>
    </i>
    <i r="1">
      <x v="63"/>
    </i>
    <i t="blank">
      <x v="13"/>
    </i>
    <i>
      <x v="14"/>
    </i>
    <i r="1">
      <x v="19"/>
    </i>
    <i r="1">
      <x v="61"/>
    </i>
    <i r="1">
      <x v="66"/>
    </i>
    <i t="blank">
      <x v="14"/>
    </i>
    <i>
      <x v="15"/>
    </i>
    <i r="1">
      <x v="4"/>
    </i>
    <i r="1">
      <x v="16"/>
    </i>
    <i r="1">
      <x v="21"/>
    </i>
    <i r="1">
      <x v="23"/>
    </i>
    <i r="1">
      <x v="26"/>
    </i>
    <i r="1">
      <x v="27"/>
    </i>
    <i r="1">
      <x v="43"/>
    </i>
    <i r="1">
      <x v="44"/>
    </i>
    <i r="1">
      <x v="47"/>
    </i>
    <i r="1">
      <x v="48"/>
    </i>
    <i t="blank">
      <x v="15"/>
    </i>
    <i>
      <x v="16"/>
    </i>
    <i r="1">
      <x v="23"/>
    </i>
    <i r="1">
      <x v="26"/>
    </i>
    <i r="1">
      <x v="27"/>
    </i>
    <i r="1">
      <x v="39"/>
    </i>
    <i r="1">
      <x v="43"/>
    </i>
    <i r="1">
      <x v="44"/>
    </i>
    <i t="blank">
      <x v="16"/>
    </i>
    <i>
      <x v="17"/>
    </i>
    <i r="1">
      <x v="2"/>
    </i>
    <i r="1">
      <x v="16"/>
    </i>
    <i r="1">
      <x v="21"/>
    </i>
    <i r="1">
      <x v="26"/>
    </i>
    <i r="1">
      <x v="27"/>
    </i>
    <i r="1">
      <x v="44"/>
    </i>
    <i r="1">
      <x v="47"/>
    </i>
    <i r="1">
      <x v="50"/>
    </i>
    <i t="blank">
      <x v="17"/>
    </i>
    <i>
      <x v="18"/>
    </i>
    <i r="1">
      <x v="21"/>
    </i>
    <i t="blank">
      <x v="1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EREJEIRA" fld="2" baseField="0" baseItem="0" numFmtId="164"/>
    <dataField name="MOGNO" fld="3" baseField="0" baseItem="0" numFmtId="164"/>
    <dataField name="TABACO" fld="4" baseField="0" baseItem="0" numFmtId="164"/>
    <dataField name="IMBUIA" fld="5" baseField="0" baseItem="0" numFmtId="164"/>
    <dataField name=" " fld="6" baseField="0" baseItem="0"/>
  </dataFields>
  <formats count="16">
    <format dxfId="13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3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1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17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Medium9" showRowHeaders="1" showColHeaders="1" showRowStripes="1" showColStripes="1" showLastColumn="1"/>
  <filters count="1">
    <filter fld="1" type="valueGreaterThan" evalOrder="-1" id="3" iMeasureFld="4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3:OK115"/>
  <sheetViews>
    <sheetView showZeros="0" topLeftCell="A106" workbookViewId="0">
      <selection activeCell="A3" sqref="A3:E114"/>
    </sheetView>
  </sheetViews>
  <sheetFormatPr defaultRowHeight="15" x14ac:dyDescent="0.25"/>
  <cols>
    <col min="1" max="1" width="50.7109375" customWidth="1" collapsed="1"/>
    <col min="2" max="5" width="10.7109375" style="20" customWidth="1" collapsed="1"/>
    <col min="6" max="6" width="14.7109375" hidden="1" customWidth="1" collapsed="1"/>
    <col min="7" max="17" width="16.7109375" bestFit="1" customWidth="1" collapsed="1"/>
    <col min="18" max="18" width="8" bestFit="1" customWidth="1" collapsed="1"/>
    <col min="19" max="19" width="18.42578125" bestFit="1" customWidth="1" collapsed="1"/>
    <col min="20" max="20" width="26.140625" bestFit="1" customWidth="1" collapsed="1"/>
    <col min="21" max="21" width="16.85546875" bestFit="1" customWidth="1" collapsed="1"/>
    <col min="22" max="22" width="19.85546875" bestFit="1" customWidth="1" collapsed="1"/>
    <col min="23" max="23" width="13.7109375" bestFit="1" customWidth="1" collapsed="1"/>
    <col min="24" max="24" width="23.7109375" bestFit="1" customWidth="1" collapsed="1"/>
    <col min="25" max="25" width="17" bestFit="1" customWidth="1" collapsed="1"/>
    <col min="26" max="26" width="17.42578125" bestFit="1" customWidth="1" collapsed="1"/>
    <col min="27" max="27" width="22.28515625" bestFit="1" customWidth="1" collapsed="1"/>
    <col min="28" max="28" width="12.5703125" bestFit="1" customWidth="1" collapsed="1"/>
    <col min="29" max="29" width="15.5703125" bestFit="1" customWidth="1" collapsed="1"/>
    <col min="30" max="30" width="18.42578125" bestFit="1" customWidth="1" collapsed="1"/>
    <col min="31" max="31" width="27.42578125" bestFit="1" customWidth="1" collapsed="1"/>
    <col min="32" max="32" width="17.5703125" bestFit="1" customWidth="1" collapsed="1"/>
    <col min="33" max="33" width="22.7109375" bestFit="1" customWidth="1" collapsed="1"/>
    <col min="34" max="34" width="27.42578125" bestFit="1" customWidth="1" collapsed="1"/>
    <col min="35" max="36" width="30.42578125" bestFit="1" customWidth="1" collapsed="1"/>
    <col min="37" max="37" width="41.28515625" bestFit="1" customWidth="1" collapsed="1"/>
    <col min="38" max="38" width="30.42578125" bestFit="1" customWidth="1" collapsed="1"/>
    <col min="39" max="39" width="35.85546875" bestFit="1" customWidth="1" collapsed="1"/>
    <col min="40" max="40" width="18.85546875" bestFit="1" customWidth="1" collapsed="1"/>
    <col min="41" max="41" width="15.85546875" bestFit="1" customWidth="1" collapsed="1"/>
    <col min="42" max="42" width="18.85546875" bestFit="1" customWidth="1" collapsed="1"/>
    <col min="43" max="53" width="15.85546875" bestFit="1" customWidth="1" collapsed="1"/>
    <col min="54" max="56" width="20.7109375" bestFit="1" customWidth="1" collapsed="1"/>
    <col min="57" max="57" width="18.7109375" bestFit="1" customWidth="1" collapsed="1"/>
    <col min="58" max="58" width="18.28515625" bestFit="1" customWidth="1" collapsed="1"/>
    <col min="59" max="59" width="28.7109375" bestFit="1" customWidth="1" collapsed="1"/>
    <col min="60" max="60" width="12.7109375" bestFit="1" customWidth="1" collapsed="1"/>
    <col min="61" max="61" width="18.28515625" bestFit="1" customWidth="1" collapsed="1"/>
    <col min="62" max="62" width="15.7109375" bestFit="1" customWidth="1" collapsed="1"/>
    <col min="63" max="63" width="20.42578125" bestFit="1" customWidth="1" collapsed="1"/>
    <col min="64" max="64" width="23.42578125" bestFit="1" customWidth="1" collapsed="1"/>
    <col min="65" max="65" width="15" bestFit="1" customWidth="1" collapsed="1"/>
    <col min="66" max="66" width="16.85546875" bestFit="1" customWidth="1" collapsed="1"/>
    <col min="67" max="67" width="15.42578125" bestFit="1" customWidth="1" collapsed="1"/>
    <col min="68" max="68" width="18.42578125" bestFit="1" customWidth="1" collapsed="1"/>
    <col min="69" max="79" width="11.7109375" bestFit="1" customWidth="1" collapsed="1"/>
    <col min="80" max="80" width="7" bestFit="1" customWidth="1" collapsed="1"/>
    <col min="81" max="81" width="22" bestFit="1" customWidth="1" collapsed="1"/>
    <col min="82" max="82" width="25.28515625" bestFit="1" customWidth="1" collapsed="1"/>
    <col min="83" max="84" width="15.140625" bestFit="1" customWidth="1" collapsed="1"/>
    <col min="85" max="85" width="15.85546875" bestFit="1" customWidth="1" collapsed="1"/>
    <col min="86" max="96" width="16.7109375" bestFit="1" customWidth="1" collapsed="1"/>
    <col min="97" max="97" width="8" bestFit="1" customWidth="1" collapsed="1"/>
    <col min="98" max="98" width="18.42578125" bestFit="1" customWidth="1" collapsed="1"/>
    <col min="99" max="99" width="26.140625" bestFit="1" customWidth="1" collapsed="1"/>
    <col min="100" max="100" width="16.85546875" bestFit="1" customWidth="1" collapsed="1"/>
    <col min="101" max="101" width="19.85546875" bestFit="1" customWidth="1" collapsed="1"/>
    <col min="102" max="102" width="13.7109375" bestFit="1" customWidth="1" collapsed="1"/>
    <col min="103" max="103" width="23.7109375" bestFit="1" customWidth="1" collapsed="1"/>
    <col min="104" max="104" width="17" bestFit="1" customWidth="1" collapsed="1"/>
    <col min="105" max="105" width="17.42578125" bestFit="1" customWidth="1" collapsed="1"/>
    <col min="106" max="106" width="22.28515625" bestFit="1" customWidth="1" collapsed="1"/>
    <col min="107" max="107" width="12.5703125" bestFit="1" customWidth="1" collapsed="1"/>
    <col min="108" max="108" width="15.5703125" bestFit="1" customWidth="1" collapsed="1"/>
    <col min="109" max="109" width="18.42578125" bestFit="1" customWidth="1" collapsed="1"/>
    <col min="110" max="110" width="27.42578125" bestFit="1" customWidth="1" collapsed="1"/>
    <col min="111" max="111" width="17.5703125" bestFit="1" customWidth="1" collapsed="1"/>
    <col min="112" max="112" width="22.7109375" bestFit="1" customWidth="1" collapsed="1"/>
    <col min="113" max="113" width="27.42578125" bestFit="1" customWidth="1" collapsed="1"/>
    <col min="114" max="115" width="30.42578125" bestFit="1" customWidth="1" collapsed="1"/>
    <col min="116" max="116" width="41.28515625" bestFit="1" customWidth="1" collapsed="1"/>
    <col min="117" max="117" width="30.42578125" bestFit="1" customWidth="1" collapsed="1"/>
    <col min="118" max="118" width="35.85546875" bestFit="1" customWidth="1" collapsed="1"/>
    <col min="119" max="119" width="18.85546875" bestFit="1" customWidth="1" collapsed="1"/>
    <col min="120" max="120" width="15.85546875" bestFit="1" customWidth="1" collapsed="1"/>
    <col min="121" max="121" width="18.85546875" bestFit="1" customWidth="1" collapsed="1"/>
    <col min="122" max="132" width="15.85546875" bestFit="1" customWidth="1" collapsed="1"/>
    <col min="133" max="135" width="20.7109375" bestFit="1" customWidth="1" collapsed="1"/>
    <col min="136" max="136" width="18.7109375" bestFit="1" customWidth="1" collapsed="1"/>
    <col min="137" max="137" width="18.28515625" bestFit="1" customWidth="1" collapsed="1"/>
    <col min="138" max="138" width="28.7109375" bestFit="1" customWidth="1" collapsed="1"/>
    <col min="139" max="139" width="12.7109375" bestFit="1" customWidth="1" collapsed="1"/>
    <col min="140" max="140" width="18.28515625" bestFit="1" customWidth="1" collapsed="1"/>
    <col min="141" max="141" width="15.7109375" bestFit="1" customWidth="1" collapsed="1"/>
    <col min="142" max="142" width="20.42578125" bestFit="1" customWidth="1" collapsed="1"/>
    <col min="143" max="143" width="23.42578125" bestFit="1" customWidth="1" collapsed="1"/>
    <col min="144" max="144" width="15" bestFit="1" customWidth="1" collapsed="1"/>
    <col min="145" max="145" width="16.85546875" bestFit="1" customWidth="1" collapsed="1"/>
    <col min="146" max="146" width="15.42578125" bestFit="1" customWidth="1" collapsed="1"/>
    <col min="147" max="147" width="18.42578125" bestFit="1" customWidth="1" collapsed="1"/>
    <col min="148" max="158" width="11.7109375" bestFit="1" customWidth="1" collapsed="1"/>
    <col min="159" max="159" width="7" bestFit="1" customWidth="1" collapsed="1"/>
    <col min="160" max="160" width="22" bestFit="1" customWidth="1" collapsed="1"/>
    <col min="161" max="161" width="25.28515625" bestFit="1" customWidth="1" collapsed="1"/>
    <col min="162" max="163" width="15.140625" bestFit="1" customWidth="1" collapsed="1"/>
    <col min="164" max="164" width="15.85546875" bestFit="1" customWidth="1" collapsed="1"/>
    <col min="165" max="175" width="16.7109375" bestFit="1" customWidth="1" collapsed="1"/>
    <col min="176" max="176" width="8" bestFit="1" customWidth="1" collapsed="1"/>
    <col min="177" max="177" width="18.42578125" bestFit="1" customWidth="1" collapsed="1"/>
    <col min="178" max="178" width="26.140625" bestFit="1" customWidth="1" collapsed="1"/>
    <col min="179" max="179" width="16.85546875" bestFit="1" customWidth="1" collapsed="1"/>
    <col min="180" max="180" width="19.85546875" bestFit="1" customWidth="1" collapsed="1"/>
    <col min="181" max="181" width="13.7109375" bestFit="1" customWidth="1" collapsed="1"/>
    <col min="182" max="182" width="23.7109375" bestFit="1" customWidth="1" collapsed="1"/>
    <col min="183" max="183" width="17" bestFit="1" customWidth="1" collapsed="1"/>
    <col min="184" max="184" width="17.42578125" bestFit="1" customWidth="1" collapsed="1"/>
    <col min="185" max="185" width="22.28515625" bestFit="1" customWidth="1" collapsed="1"/>
    <col min="186" max="186" width="12.5703125" bestFit="1" customWidth="1" collapsed="1"/>
    <col min="187" max="187" width="15.5703125" bestFit="1" customWidth="1" collapsed="1"/>
    <col min="188" max="188" width="18.42578125" bestFit="1" customWidth="1" collapsed="1"/>
    <col min="189" max="189" width="27.42578125" bestFit="1" customWidth="1" collapsed="1"/>
    <col min="190" max="190" width="17.5703125" bestFit="1" customWidth="1" collapsed="1"/>
    <col min="191" max="191" width="22.7109375" bestFit="1" customWidth="1" collapsed="1"/>
    <col min="192" max="192" width="27.42578125" bestFit="1" customWidth="1" collapsed="1"/>
    <col min="193" max="194" width="30.42578125" bestFit="1" customWidth="1" collapsed="1"/>
    <col min="195" max="195" width="41.28515625" bestFit="1" customWidth="1" collapsed="1"/>
    <col min="196" max="196" width="30.42578125" bestFit="1" customWidth="1" collapsed="1"/>
    <col min="197" max="197" width="35.85546875" bestFit="1" customWidth="1" collapsed="1"/>
    <col min="198" max="198" width="18.85546875" bestFit="1" customWidth="1" collapsed="1"/>
    <col min="199" max="199" width="15.85546875" bestFit="1" customWidth="1" collapsed="1"/>
    <col min="200" max="200" width="18.85546875" bestFit="1" customWidth="1" collapsed="1"/>
    <col min="201" max="211" width="15.85546875" bestFit="1" customWidth="1" collapsed="1"/>
    <col min="212" max="214" width="20.7109375" bestFit="1" customWidth="1" collapsed="1"/>
    <col min="215" max="215" width="18.7109375" bestFit="1" customWidth="1" collapsed="1"/>
    <col min="216" max="216" width="18.28515625" bestFit="1" customWidth="1" collapsed="1"/>
    <col min="217" max="217" width="28.7109375" bestFit="1" customWidth="1" collapsed="1"/>
    <col min="218" max="218" width="12.7109375" bestFit="1" customWidth="1" collapsed="1"/>
    <col min="219" max="219" width="18.28515625" bestFit="1" customWidth="1" collapsed="1"/>
    <col min="220" max="220" width="15.7109375" bestFit="1" customWidth="1" collapsed="1"/>
    <col min="221" max="221" width="20.42578125" bestFit="1" customWidth="1" collapsed="1"/>
    <col min="222" max="222" width="23.42578125" bestFit="1" customWidth="1" collapsed="1"/>
    <col min="223" max="223" width="15" bestFit="1" customWidth="1" collapsed="1"/>
    <col min="224" max="224" width="16.85546875" bestFit="1" customWidth="1" collapsed="1"/>
    <col min="225" max="225" width="15.42578125" bestFit="1" customWidth="1" collapsed="1"/>
    <col min="226" max="226" width="18.42578125" bestFit="1" customWidth="1" collapsed="1"/>
    <col min="227" max="237" width="11.7109375" bestFit="1" customWidth="1" collapsed="1"/>
    <col min="238" max="238" width="7" bestFit="1" customWidth="1" collapsed="1"/>
    <col min="239" max="239" width="22" bestFit="1" customWidth="1" collapsed="1"/>
    <col min="240" max="240" width="25.28515625" bestFit="1" customWidth="1" collapsed="1"/>
    <col min="241" max="242" width="15.140625" bestFit="1" customWidth="1" collapsed="1"/>
    <col min="243" max="243" width="15.85546875" bestFit="1" customWidth="1" collapsed="1"/>
    <col min="244" max="254" width="16.7109375" bestFit="1" customWidth="1" collapsed="1"/>
    <col min="255" max="255" width="8" bestFit="1" customWidth="1" collapsed="1"/>
    <col min="256" max="256" width="18.42578125" bestFit="1" customWidth="1" collapsed="1"/>
    <col min="257" max="257" width="26.140625" bestFit="1" customWidth="1" collapsed="1"/>
    <col min="258" max="258" width="16.85546875" bestFit="1" customWidth="1" collapsed="1"/>
    <col min="259" max="259" width="19.85546875" bestFit="1" customWidth="1" collapsed="1"/>
    <col min="260" max="260" width="13.7109375" bestFit="1" customWidth="1" collapsed="1"/>
    <col min="261" max="261" width="23.7109375" bestFit="1" customWidth="1" collapsed="1"/>
    <col min="262" max="262" width="17" bestFit="1" customWidth="1" collapsed="1"/>
    <col min="263" max="263" width="17.42578125" bestFit="1" customWidth="1" collapsed="1"/>
    <col min="264" max="264" width="22.28515625" bestFit="1" customWidth="1" collapsed="1"/>
    <col min="265" max="265" width="12.5703125" bestFit="1" customWidth="1" collapsed="1"/>
    <col min="266" max="266" width="15.5703125" bestFit="1" customWidth="1" collapsed="1"/>
    <col min="267" max="267" width="18.42578125" bestFit="1" customWidth="1" collapsed="1"/>
    <col min="268" max="268" width="27.42578125" bestFit="1" customWidth="1" collapsed="1"/>
    <col min="269" max="269" width="17.5703125" bestFit="1" customWidth="1" collapsed="1"/>
    <col min="270" max="270" width="22.7109375" bestFit="1" customWidth="1" collapsed="1"/>
    <col min="271" max="271" width="27.42578125" bestFit="1" customWidth="1" collapsed="1"/>
    <col min="272" max="273" width="30.42578125" bestFit="1" customWidth="1" collapsed="1"/>
    <col min="274" max="274" width="41.28515625" bestFit="1" customWidth="1" collapsed="1"/>
    <col min="275" max="275" width="30.42578125" bestFit="1" customWidth="1" collapsed="1"/>
    <col min="276" max="276" width="35.85546875" bestFit="1" customWidth="1" collapsed="1"/>
    <col min="277" max="277" width="18.85546875" bestFit="1" customWidth="1" collapsed="1"/>
    <col min="278" max="278" width="15.85546875" bestFit="1" customWidth="1" collapsed="1"/>
    <col min="279" max="279" width="18.85546875" bestFit="1" customWidth="1" collapsed="1"/>
    <col min="280" max="290" width="15.85546875" bestFit="1" customWidth="1" collapsed="1"/>
    <col min="291" max="293" width="20.7109375" bestFit="1" customWidth="1" collapsed="1"/>
    <col min="294" max="294" width="18.7109375" bestFit="1" customWidth="1" collapsed="1"/>
    <col min="295" max="295" width="18.28515625" bestFit="1" customWidth="1" collapsed="1"/>
    <col min="296" max="296" width="28.7109375" bestFit="1" customWidth="1" collapsed="1"/>
    <col min="297" max="297" width="12.7109375" bestFit="1" customWidth="1" collapsed="1"/>
    <col min="298" max="298" width="18.28515625" bestFit="1" customWidth="1" collapsed="1"/>
    <col min="299" max="299" width="15.7109375" bestFit="1" customWidth="1" collapsed="1"/>
    <col min="300" max="300" width="20.42578125" bestFit="1" customWidth="1" collapsed="1"/>
    <col min="301" max="301" width="23.42578125" bestFit="1" customWidth="1" collapsed="1"/>
    <col min="302" max="302" width="15" bestFit="1" customWidth="1" collapsed="1"/>
    <col min="303" max="303" width="16.85546875" bestFit="1" customWidth="1" collapsed="1"/>
    <col min="304" max="304" width="15.42578125" bestFit="1" customWidth="1" collapsed="1"/>
    <col min="305" max="305" width="18.42578125" bestFit="1" customWidth="1" collapsed="1"/>
    <col min="306" max="316" width="11.7109375" bestFit="1" customWidth="1" collapsed="1"/>
    <col min="317" max="317" width="7" bestFit="1" customWidth="1" collapsed="1"/>
    <col min="318" max="318" width="22" bestFit="1" customWidth="1" collapsed="1"/>
    <col min="319" max="319" width="25.28515625" bestFit="1" customWidth="1" collapsed="1"/>
    <col min="320" max="321" width="15.140625" bestFit="1" customWidth="1" collapsed="1"/>
    <col min="322" max="322" width="15.85546875" bestFit="1" customWidth="1" collapsed="1"/>
    <col min="323" max="333" width="16.7109375" bestFit="1" customWidth="1" collapsed="1"/>
    <col min="334" max="334" width="8" bestFit="1" customWidth="1" collapsed="1"/>
    <col min="335" max="335" width="18.42578125" bestFit="1" customWidth="1" collapsed="1"/>
    <col min="336" max="336" width="26.140625" bestFit="1" customWidth="1" collapsed="1"/>
    <col min="337" max="337" width="16.85546875" bestFit="1" customWidth="1" collapsed="1"/>
    <col min="338" max="338" width="19.85546875" bestFit="1" customWidth="1" collapsed="1"/>
    <col min="339" max="339" width="13.7109375" bestFit="1" customWidth="1" collapsed="1"/>
    <col min="340" max="340" width="23.7109375" bestFit="1" customWidth="1" collapsed="1"/>
    <col min="341" max="341" width="17" bestFit="1" customWidth="1" collapsed="1"/>
    <col min="342" max="342" width="17.42578125" bestFit="1" customWidth="1" collapsed="1"/>
    <col min="343" max="343" width="22.28515625" bestFit="1" customWidth="1" collapsed="1"/>
    <col min="344" max="344" width="12.5703125" bestFit="1" customWidth="1" collapsed="1"/>
    <col min="345" max="345" width="15.5703125" bestFit="1" customWidth="1" collapsed="1"/>
    <col min="346" max="346" width="18.42578125" bestFit="1" customWidth="1" collapsed="1"/>
    <col min="347" max="347" width="27.42578125" bestFit="1" customWidth="1" collapsed="1"/>
    <col min="348" max="348" width="17.5703125" bestFit="1" customWidth="1" collapsed="1"/>
    <col min="349" max="349" width="22.7109375" bestFit="1" customWidth="1" collapsed="1"/>
    <col min="350" max="350" width="27.42578125" bestFit="1" customWidth="1" collapsed="1"/>
    <col min="351" max="352" width="30.42578125" bestFit="1" customWidth="1" collapsed="1"/>
    <col min="353" max="353" width="41.28515625" bestFit="1" customWidth="1" collapsed="1"/>
    <col min="354" max="354" width="30.42578125" bestFit="1" customWidth="1" collapsed="1"/>
    <col min="355" max="355" width="35.85546875" bestFit="1" customWidth="1" collapsed="1"/>
    <col min="356" max="356" width="18.85546875" bestFit="1" customWidth="1" collapsed="1"/>
    <col min="357" max="357" width="15.85546875" bestFit="1" customWidth="1" collapsed="1"/>
    <col min="358" max="358" width="18.85546875" bestFit="1" customWidth="1" collapsed="1"/>
    <col min="359" max="369" width="15.85546875" bestFit="1" customWidth="1" collapsed="1"/>
    <col min="370" max="372" width="20.7109375" bestFit="1" customWidth="1" collapsed="1"/>
    <col min="373" max="373" width="18.7109375" bestFit="1" customWidth="1" collapsed="1"/>
    <col min="374" max="374" width="18.28515625" bestFit="1" customWidth="1" collapsed="1"/>
    <col min="375" max="375" width="28.7109375" bestFit="1" customWidth="1" collapsed="1"/>
    <col min="376" max="376" width="12.7109375" bestFit="1" customWidth="1" collapsed="1"/>
    <col min="377" max="377" width="18.28515625" bestFit="1" customWidth="1" collapsed="1"/>
    <col min="378" max="378" width="15.7109375" bestFit="1" customWidth="1" collapsed="1"/>
    <col min="379" max="379" width="20.42578125" bestFit="1" customWidth="1" collapsed="1"/>
    <col min="380" max="380" width="23.42578125" bestFit="1" customWidth="1" collapsed="1"/>
    <col min="381" max="381" width="15" bestFit="1" customWidth="1" collapsed="1"/>
    <col min="382" max="382" width="16.85546875" bestFit="1" customWidth="1" collapsed="1"/>
    <col min="383" max="383" width="15.42578125" bestFit="1" customWidth="1" collapsed="1"/>
    <col min="384" max="384" width="18.42578125" bestFit="1" customWidth="1" collapsed="1"/>
    <col min="385" max="395" width="11.7109375" bestFit="1" customWidth="1" collapsed="1"/>
    <col min="396" max="396" width="7" bestFit="1" customWidth="1" collapsed="1"/>
    <col min="397" max="397" width="16.140625" bestFit="1" customWidth="1" collapsed="1"/>
    <col min="398" max="398" width="17.42578125" bestFit="1" customWidth="1" collapsed="1"/>
    <col min="399" max="399" width="16.140625" bestFit="1" customWidth="1" collapsed="1"/>
    <col min="400" max="400" width="17.7109375" bestFit="1" customWidth="1" collapsed="1"/>
    <col min="401" max="401" width="19.7109375" bestFit="1" customWidth="1" collapsed="1"/>
  </cols>
  <sheetData>
    <row r="3" spans="1:6" x14ac:dyDescent="0.25">
      <c r="A3" s="14" t="s">
        <v>87</v>
      </c>
      <c r="B3" s="20" t="s">
        <v>88</v>
      </c>
      <c r="C3" s="20" t="s">
        <v>89</v>
      </c>
      <c r="D3" s="20" t="s">
        <v>90</v>
      </c>
      <c r="E3" s="20" t="s">
        <v>91</v>
      </c>
      <c r="F3" t="s">
        <v>93</v>
      </c>
    </row>
    <row r="4" spans="1:6" x14ac:dyDescent="0.25">
      <c r="A4" s="69" t="s">
        <v>516</v>
      </c>
      <c r="F4" s="143"/>
    </row>
    <row r="5" spans="1:6" x14ac:dyDescent="0.25">
      <c r="A5" s="144" t="s">
        <v>400</v>
      </c>
      <c r="B5" s="20">
        <v>28</v>
      </c>
      <c r="C5" s="20">
        <v>0</v>
      </c>
      <c r="D5" s="20">
        <v>0</v>
      </c>
      <c r="E5" s="20">
        <v>0</v>
      </c>
      <c r="F5" s="143">
        <v>28</v>
      </c>
    </row>
    <row r="6" spans="1:6" x14ac:dyDescent="0.25">
      <c r="A6" s="144" t="s">
        <v>399</v>
      </c>
      <c r="B6" s="20">
        <v>16</v>
      </c>
      <c r="C6" s="20">
        <v>0</v>
      </c>
      <c r="D6" s="20">
        <v>0</v>
      </c>
      <c r="E6" s="20">
        <v>0</v>
      </c>
      <c r="F6" s="143">
        <v>16</v>
      </c>
    </row>
    <row r="7" spans="1:6" x14ac:dyDescent="0.25">
      <c r="A7" s="144" t="s">
        <v>411</v>
      </c>
      <c r="B7" s="20">
        <v>4</v>
      </c>
      <c r="C7" s="20">
        <v>0</v>
      </c>
      <c r="D7" s="20">
        <v>0</v>
      </c>
      <c r="E7" s="20">
        <v>0</v>
      </c>
      <c r="F7" s="143">
        <v>4</v>
      </c>
    </row>
    <row r="8" spans="1:6" x14ac:dyDescent="0.25">
      <c r="A8" s="144" t="s">
        <v>413</v>
      </c>
      <c r="B8" s="20">
        <v>3</v>
      </c>
      <c r="C8" s="20">
        <v>0</v>
      </c>
      <c r="D8" s="20">
        <v>0</v>
      </c>
      <c r="E8" s="20">
        <v>0</v>
      </c>
      <c r="F8" s="143">
        <v>3</v>
      </c>
    </row>
    <row r="9" spans="1:6" x14ac:dyDescent="0.25">
      <c r="A9" s="144" t="s">
        <v>423</v>
      </c>
      <c r="B9" s="20">
        <v>2</v>
      </c>
      <c r="C9" s="20">
        <v>0</v>
      </c>
      <c r="D9" s="20">
        <v>0</v>
      </c>
      <c r="E9" s="20">
        <v>0</v>
      </c>
      <c r="F9" s="143">
        <v>2</v>
      </c>
    </row>
    <row r="10" spans="1:6" x14ac:dyDescent="0.25">
      <c r="A10" s="144" t="s">
        <v>414</v>
      </c>
      <c r="B10" s="20">
        <v>2</v>
      </c>
      <c r="C10" s="20">
        <v>0</v>
      </c>
      <c r="D10" s="20">
        <v>0</v>
      </c>
      <c r="E10" s="20">
        <v>0</v>
      </c>
      <c r="F10" s="143">
        <v>2</v>
      </c>
    </row>
    <row r="11" spans="1:6" x14ac:dyDescent="0.25">
      <c r="A11" s="144" t="s">
        <v>433</v>
      </c>
      <c r="B11" s="20">
        <v>1</v>
      </c>
      <c r="C11" s="20">
        <v>0</v>
      </c>
      <c r="D11" s="20">
        <v>0</v>
      </c>
      <c r="E11" s="20">
        <v>0</v>
      </c>
      <c r="F11" s="143">
        <v>1</v>
      </c>
    </row>
    <row r="12" spans="1:6" x14ac:dyDescent="0.25">
      <c r="A12" s="144" t="s">
        <v>438</v>
      </c>
      <c r="B12" s="20">
        <v>1</v>
      </c>
      <c r="C12" s="20">
        <v>0</v>
      </c>
      <c r="D12" s="20">
        <v>0</v>
      </c>
      <c r="E12" s="20">
        <v>0</v>
      </c>
      <c r="F12" s="143">
        <v>1</v>
      </c>
    </row>
    <row r="13" spans="1:6" x14ac:dyDescent="0.25">
      <c r="A13" s="69"/>
      <c r="F13" s="143"/>
    </row>
    <row r="14" spans="1:6" x14ac:dyDescent="0.25">
      <c r="A14" s="69" t="s">
        <v>554</v>
      </c>
      <c r="F14" s="143"/>
    </row>
    <row r="15" spans="1:6" x14ac:dyDescent="0.25">
      <c r="A15" s="144" t="s">
        <v>409</v>
      </c>
      <c r="B15" s="20">
        <v>0</v>
      </c>
      <c r="C15" s="20">
        <v>0</v>
      </c>
      <c r="D15" s="20">
        <v>0</v>
      </c>
      <c r="E15" s="20">
        <v>1</v>
      </c>
      <c r="F15" s="143">
        <v>1</v>
      </c>
    </row>
    <row r="16" spans="1:6" x14ac:dyDescent="0.25">
      <c r="A16" s="144" t="s">
        <v>460</v>
      </c>
      <c r="B16" s="20">
        <v>0</v>
      </c>
      <c r="C16" s="20">
        <v>0</v>
      </c>
      <c r="D16" s="20">
        <v>0</v>
      </c>
      <c r="E16" s="20">
        <v>1</v>
      </c>
      <c r="F16" s="143">
        <v>1</v>
      </c>
    </row>
    <row r="17" spans="1:6" x14ac:dyDescent="0.25">
      <c r="A17" s="69"/>
      <c r="F17" s="143"/>
    </row>
    <row r="18" spans="1:6" x14ac:dyDescent="0.25">
      <c r="A18" s="69" t="s">
        <v>521</v>
      </c>
      <c r="F18" s="143"/>
    </row>
    <row r="19" spans="1:6" x14ac:dyDescent="0.25">
      <c r="A19" s="144" t="s">
        <v>400</v>
      </c>
      <c r="B19" s="20">
        <v>0</v>
      </c>
      <c r="C19" s="20">
        <v>0</v>
      </c>
      <c r="D19" s="20">
        <v>0</v>
      </c>
      <c r="E19" s="20">
        <v>25</v>
      </c>
      <c r="F19" s="143">
        <v>25</v>
      </c>
    </row>
    <row r="20" spans="1:6" x14ac:dyDescent="0.25">
      <c r="A20" s="144" t="s">
        <v>415</v>
      </c>
      <c r="B20" s="20">
        <v>0</v>
      </c>
      <c r="C20" s="20">
        <v>0</v>
      </c>
      <c r="D20" s="20">
        <v>0</v>
      </c>
      <c r="E20" s="20">
        <v>4</v>
      </c>
      <c r="F20" s="143">
        <v>4</v>
      </c>
    </row>
    <row r="21" spans="1:6" x14ac:dyDescent="0.25">
      <c r="A21" s="69"/>
      <c r="F21" s="143"/>
    </row>
    <row r="22" spans="1:6" x14ac:dyDescent="0.25">
      <c r="A22" s="69" t="s">
        <v>524</v>
      </c>
      <c r="F22" s="143"/>
    </row>
    <row r="23" spans="1:6" x14ac:dyDescent="0.25">
      <c r="A23" s="144" t="s">
        <v>399</v>
      </c>
      <c r="B23" s="20">
        <v>0</v>
      </c>
      <c r="C23" s="20">
        <v>0</v>
      </c>
      <c r="D23" s="20">
        <v>0</v>
      </c>
      <c r="E23" s="20">
        <v>42</v>
      </c>
      <c r="F23" s="143">
        <v>42</v>
      </c>
    </row>
    <row r="24" spans="1:6" x14ac:dyDescent="0.25">
      <c r="A24" s="144" t="s">
        <v>413</v>
      </c>
      <c r="B24" s="20">
        <v>0</v>
      </c>
      <c r="C24" s="20">
        <v>0</v>
      </c>
      <c r="D24" s="20">
        <v>0</v>
      </c>
      <c r="E24" s="20">
        <v>4</v>
      </c>
      <c r="F24" s="143">
        <v>4</v>
      </c>
    </row>
    <row r="25" spans="1:6" x14ac:dyDescent="0.25">
      <c r="A25" s="69"/>
      <c r="F25" s="143"/>
    </row>
    <row r="26" spans="1:6" x14ac:dyDescent="0.25">
      <c r="A26" s="69" t="s">
        <v>526</v>
      </c>
      <c r="F26" s="143"/>
    </row>
    <row r="27" spans="1:6" x14ac:dyDescent="0.25">
      <c r="A27" s="144" t="s">
        <v>404</v>
      </c>
      <c r="B27" s="20">
        <v>6</v>
      </c>
      <c r="C27" s="20">
        <v>0</v>
      </c>
      <c r="D27" s="20">
        <v>0</v>
      </c>
      <c r="E27" s="20">
        <v>0</v>
      </c>
      <c r="F27" s="143">
        <v>6</v>
      </c>
    </row>
    <row r="28" spans="1:6" x14ac:dyDescent="0.25">
      <c r="A28" s="144" t="s">
        <v>399</v>
      </c>
      <c r="B28" s="20">
        <v>6</v>
      </c>
      <c r="C28" s="20">
        <v>0</v>
      </c>
      <c r="D28" s="20">
        <v>0</v>
      </c>
      <c r="E28" s="20">
        <v>0</v>
      </c>
      <c r="F28" s="143">
        <v>6</v>
      </c>
    </row>
    <row r="29" spans="1:6" x14ac:dyDescent="0.25">
      <c r="A29" s="144" t="s">
        <v>411</v>
      </c>
      <c r="B29" s="20">
        <v>0</v>
      </c>
      <c r="C29" s="20">
        <v>0</v>
      </c>
      <c r="D29" s="20">
        <v>0</v>
      </c>
      <c r="E29" s="20">
        <v>1</v>
      </c>
      <c r="F29" s="143">
        <v>1</v>
      </c>
    </row>
    <row r="30" spans="1:6" x14ac:dyDescent="0.25">
      <c r="A30" s="144" t="s">
        <v>412</v>
      </c>
      <c r="B30" s="20">
        <v>3</v>
      </c>
      <c r="C30" s="20">
        <v>0</v>
      </c>
      <c r="D30" s="20">
        <v>0</v>
      </c>
      <c r="E30" s="20">
        <v>1</v>
      </c>
      <c r="F30" s="143">
        <v>4</v>
      </c>
    </row>
    <row r="31" spans="1:6" x14ac:dyDescent="0.25">
      <c r="A31" s="144" t="s">
        <v>416</v>
      </c>
      <c r="B31" s="20">
        <v>1</v>
      </c>
      <c r="C31" s="20">
        <v>0</v>
      </c>
      <c r="D31" s="20">
        <v>0</v>
      </c>
      <c r="E31" s="20">
        <v>0</v>
      </c>
      <c r="F31" s="143">
        <v>1</v>
      </c>
    </row>
    <row r="32" spans="1:6" x14ac:dyDescent="0.25">
      <c r="A32" s="69"/>
      <c r="F32" s="143"/>
    </row>
    <row r="33" spans="1:6" x14ac:dyDescent="0.25">
      <c r="A33" s="69" t="s">
        <v>528</v>
      </c>
      <c r="F33" s="143"/>
    </row>
    <row r="34" spans="1:6" x14ac:dyDescent="0.25">
      <c r="A34" s="144" t="s">
        <v>455</v>
      </c>
      <c r="B34" s="20">
        <v>0</v>
      </c>
      <c r="C34" s="20">
        <v>0</v>
      </c>
      <c r="D34" s="20">
        <v>0</v>
      </c>
      <c r="E34" s="20">
        <v>1</v>
      </c>
      <c r="F34" s="143">
        <v>1</v>
      </c>
    </row>
    <row r="35" spans="1:6" x14ac:dyDescent="0.25">
      <c r="A35" s="144" t="s">
        <v>406</v>
      </c>
      <c r="B35" s="20">
        <v>0</v>
      </c>
      <c r="C35" s="20">
        <v>0</v>
      </c>
      <c r="D35" s="20">
        <v>0</v>
      </c>
      <c r="E35" s="20">
        <v>10</v>
      </c>
      <c r="F35" s="143">
        <v>10</v>
      </c>
    </row>
    <row r="36" spans="1:6" x14ac:dyDescent="0.25">
      <c r="A36" s="144" t="s">
        <v>400</v>
      </c>
      <c r="B36" s="20">
        <v>0</v>
      </c>
      <c r="C36" s="20">
        <v>0</v>
      </c>
      <c r="D36" s="20">
        <v>0</v>
      </c>
      <c r="E36" s="20">
        <v>56</v>
      </c>
      <c r="F36" s="143">
        <v>56</v>
      </c>
    </row>
    <row r="37" spans="1:6" x14ac:dyDescent="0.25">
      <c r="A37" s="144" t="s">
        <v>413</v>
      </c>
      <c r="B37" s="20">
        <v>0</v>
      </c>
      <c r="C37" s="20">
        <v>0</v>
      </c>
      <c r="D37" s="20">
        <v>0</v>
      </c>
      <c r="E37" s="20">
        <v>3</v>
      </c>
      <c r="F37" s="143">
        <v>3</v>
      </c>
    </row>
    <row r="38" spans="1:6" x14ac:dyDescent="0.25">
      <c r="A38" s="144" t="s">
        <v>414</v>
      </c>
      <c r="B38" s="20">
        <v>0</v>
      </c>
      <c r="C38" s="20">
        <v>0</v>
      </c>
      <c r="D38" s="20">
        <v>0</v>
      </c>
      <c r="E38" s="20">
        <v>3</v>
      </c>
      <c r="F38" s="143">
        <v>3</v>
      </c>
    </row>
    <row r="39" spans="1:6" x14ac:dyDescent="0.25">
      <c r="A39" s="144" t="s">
        <v>416</v>
      </c>
      <c r="B39" s="20">
        <v>0</v>
      </c>
      <c r="C39" s="20">
        <v>0</v>
      </c>
      <c r="D39" s="20">
        <v>0</v>
      </c>
      <c r="E39" s="20">
        <v>2</v>
      </c>
      <c r="F39" s="143">
        <v>2</v>
      </c>
    </row>
    <row r="40" spans="1:6" x14ac:dyDescent="0.25">
      <c r="A40" s="69"/>
      <c r="F40" s="143"/>
    </row>
    <row r="41" spans="1:6" x14ac:dyDescent="0.25">
      <c r="A41" s="69" t="s">
        <v>531</v>
      </c>
      <c r="F41" s="143"/>
    </row>
    <row r="42" spans="1:6" x14ac:dyDescent="0.25">
      <c r="A42" s="144" t="s">
        <v>400</v>
      </c>
      <c r="B42" s="20">
        <v>0</v>
      </c>
      <c r="C42" s="20">
        <v>0</v>
      </c>
      <c r="D42" s="20">
        <v>0</v>
      </c>
      <c r="E42" s="20">
        <v>20</v>
      </c>
      <c r="F42" s="143">
        <v>20</v>
      </c>
    </row>
    <row r="43" spans="1:6" x14ac:dyDescent="0.25">
      <c r="A43" s="144" t="s">
        <v>411</v>
      </c>
      <c r="B43" s="20">
        <v>0</v>
      </c>
      <c r="C43" s="20">
        <v>0</v>
      </c>
      <c r="D43" s="20">
        <v>0</v>
      </c>
      <c r="E43" s="20">
        <v>3</v>
      </c>
      <c r="F43" s="143">
        <v>3</v>
      </c>
    </row>
    <row r="44" spans="1:6" x14ac:dyDescent="0.25">
      <c r="A44" s="144" t="s">
        <v>412</v>
      </c>
      <c r="B44" s="20">
        <v>0</v>
      </c>
      <c r="C44" s="20">
        <v>0</v>
      </c>
      <c r="D44" s="20">
        <v>0</v>
      </c>
      <c r="E44" s="20">
        <v>2</v>
      </c>
      <c r="F44" s="143">
        <v>2</v>
      </c>
    </row>
    <row r="45" spans="1:6" x14ac:dyDescent="0.25">
      <c r="A45" s="144" t="s">
        <v>414</v>
      </c>
      <c r="B45" s="20">
        <v>0</v>
      </c>
      <c r="C45" s="20">
        <v>0</v>
      </c>
      <c r="D45" s="20">
        <v>0</v>
      </c>
      <c r="E45" s="20">
        <v>1</v>
      </c>
      <c r="F45" s="143">
        <v>1</v>
      </c>
    </row>
    <row r="46" spans="1:6" x14ac:dyDescent="0.25">
      <c r="A46" s="69"/>
      <c r="F46" s="143"/>
    </row>
    <row r="47" spans="1:6" x14ac:dyDescent="0.25">
      <c r="A47" s="69" t="s">
        <v>555</v>
      </c>
      <c r="F47" s="143"/>
    </row>
    <row r="48" spans="1:6" x14ac:dyDescent="0.25">
      <c r="A48" s="144" t="s">
        <v>406</v>
      </c>
      <c r="B48" s="20">
        <v>0</v>
      </c>
      <c r="C48" s="20">
        <v>0</v>
      </c>
      <c r="D48" s="20">
        <v>0</v>
      </c>
      <c r="E48" s="20">
        <v>1</v>
      </c>
      <c r="F48" s="143">
        <v>1</v>
      </c>
    </row>
    <row r="49" spans="1:6" x14ac:dyDescent="0.25">
      <c r="A49" s="144" t="s">
        <v>399</v>
      </c>
      <c r="B49" s="20">
        <v>0</v>
      </c>
      <c r="C49" s="20">
        <v>0</v>
      </c>
      <c r="D49" s="20">
        <v>0</v>
      </c>
      <c r="E49" s="20">
        <v>40</v>
      </c>
      <c r="F49" s="143">
        <v>40</v>
      </c>
    </row>
    <row r="50" spans="1:6" x14ac:dyDescent="0.25">
      <c r="A50" s="144" t="s">
        <v>411</v>
      </c>
      <c r="B50" s="20">
        <v>0</v>
      </c>
      <c r="C50" s="20">
        <v>0</v>
      </c>
      <c r="D50" s="20">
        <v>0</v>
      </c>
      <c r="E50" s="20">
        <v>1</v>
      </c>
      <c r="F50" s="143">
        <v>1</v>
      </c>
    </row>
    <row r="51" spans="1:6" x14ac:dyDescent="0.25">
      <c r="A51" s="144" t="s">
        <v>412</v>
      </c>
      <c r="B51" s="20">
        <v>0</v>
      </c>
      <c r="C51" s="20">
        <v>0</v>
      </c>
      <c r="D51" s="20">
        <v>0</v>
      </c>
      <c r="E51" s="20">
        <v>3</v>
      </c>
      <c r="F51" s="143">
        <v>3</v>
      </c>
    </row>
    <row r="52" spans="1:6" x14ac:dyDescent="0.25">
      <c r="A52" s="144" t="s">
        <v>413</v>
      </c>
      <c r="B52" s="20">
        <v>0</v>
      </c>
      <c r="C52" s="20">
        <v>0</v>
      </c>
      <c r="D52" s="20">
        <v>0</v>
      </c>
      <c r="E52" s="20">
        <v>5</v>
      </c>
      <c r="F52" s="143">
        <v>5</v>
      </c>
    </row>
    <row r="53" spans="1:6" x14ac:dyDescent="0.25">
      <c r="A53" s="144" t="s">
        <v>414</v>
      </c>
      <c r="B53" s="20">
        <v>0</v>
      </c>
      <c r="C53" s="20">
        <v>0</v>
      </c>
      <c r="D53" s="20">
        <v>0</v>
      </c>
      <c r="E53" s="20">
        <v>2</v>
      </c>
      <c r="F53" s="143">
        <v>2</v>
      </c>
    </row>
    <row r="54" spans="1:6" x14ac:dyDescent="0.25">
      <c r="A54" s="69"/>
      <c r="F54" s="143"/>
    </row>
    <row r="55" spans="1:6" x14ac:dyDescent="0.25">
      <c r="A55" s="69" t="s">
        <v>535</v>
      </c>
      <c r="F55" s="143"/>
    </row>
    <row r="56" spans="1:6" x14ac:dyDescent="0.25">
      <c r="A56" s="144" t="s">
        <v>399</v>
      </c>
      <c r="B56" s="20">
        <v>0</v>
      </c>
      <c r="C56" s="20">
        <v>0</v>
      </c>
      <c r="D56" s="20">
        <v>0</v>
      </c>
      <c r="E56" s="20">
        <v>16</v>
      </c>
      <c r="F56" s="143">
        <v>16</v>
      </c>
    </row>
    <row r="57" spans="1:6" x14ac:dyDescent="0.25">
      <c r="A57" s="144" t="s">
        <v>413</v>
      </c>
      <c r="B57" s="20">
        <v>0</v>
      </c>
      <c r="C57" s="20">
        <v>0</v>
      </c>
      <c r="D57" s="20">
        <v>0</v>
      </c>
      <c r="E57" s="20">
        <v>4</v>
      </c>
      <c r="F57" s="143">
        <v>4</v>
      </c>
    </row>
    <row r="58" spans="1:6" x14ac:dyDescent="0.25">
      <c r="A58" s="69"/>
      <c r="F58" s="143"/>
    </row>
    <row r="59" spans="1:6" x14ac:dyDescent="0.25">
      <c r="A59" s="69" t="s">
        <v>537</v>
      </c>
      <c r="F59" s="143"/>
    </row>
    <row r="60" spans="1:6" x14ac:dyDescent="0.25">
      <c r="A60" s="144" t="s">
        <v>406</v>
      </c>
      <c r="B60" s="20">
        <v>0</v>
      </c>
      <c r="C60" s="20">
        <v>0</v>
      </c>
      <c r="D60" s="20">
        <v>0</v>
      </c>
      <c r="E60" s="20">
        <v>5</v>
      </c>
      <c r="F60" s="143">
        <v>5</v>
      </c>
    </row>
    <row r="61" spans="1:6" x14ac:dyDescent="0.25">
      <c r="A61" s="144" t="s">
        <v>400</v>
      </c>
      <c r="B61" s="20">
        <v>0</v>
      </c>
      <c r="C61" s="20">
        <v>0</v>
      </c>
      <c r="D61" s="20">
        <v>0</v>
      </c>
      <c r="E61" s="20">
        <v>60</v>
      </c>
      <c r="F61" s="143">
        <v>60</v>
      </c>
    </row>
    <row r="62" spans="1:6" x14ac:dyDescent="0.25">
      <c r="A62" s="144" t="s">
        <v>399</v>
      </c>
      <c r="B62" s="20">
        <v>0</v>
      </c>
      <c r="C62" s="20">
        <v>0</v>
      </c>
      <c r="D62" s="20">
        <v>0</v>
      </c>
      <c r="E62" s="20">
        <v>50</v>
      </c>
      <c r="F62" s="143">
        <v>50</v>
      </c>
    </row>
    <row r="63" spans="1:6" x14ac:dyDescent="0.25">
      <c r="A63" s="144" t="s">
        <v>412</v>
      </c>
      <c r="B63" s="20">
        <v>0</v>
      </c>
      <c r="C63" s="20">
        <v>0</v>
      </c>
      <c r="D63" s="20">
        <v>0</v>
      </c>
      <c r="E63" s="20">
        <v>10</v>
      </c>
      <c r="F63" s="143">
        <v>10</v>
      </c>
    </row>
    <row r="64" spans="1:6" x14ac:dyDescent="0.25">
      <c r="A64" s="144" t="s">
        <v>413</v>
      </c>
      <c r="B64" s="20">
        <v>0</v>
      </c>
      <c r="C64" s="20">
        <v>0</v>
      </c>
      <c r="D64" s="20">
        <v>0</v>
      </c>
      <c r="E64" s="20">
        <v>10</v>
      </c>
      <c r="F64" s="143">
        <v>10</v>
      </c>
    </row>
    <row r="65" spans="1:6" x14ac:dyDescent="0.25">
      <c r="A65" s="144" t="s">
        <v>416</v>
      </c>
      <c r="B65" s="20">
        <v>0</v>
      </c>
      <c r="C65" s="20">
        <v>0</v>
      </c>
      <c r="D65" s="20">
        <v>0</v>
      </c>
      <c r="E65" s="20">
        <v>2</v>
      </c>
      <c r="F65" s="143">
        <v>2</v>
      </c>
    </row>
    <row r="66" spans="1:6" x14ac:dyDescent="0.25">
      <c r="A66" s="69"/>
      <c r="F66" s="143"/>
    </row>
    <row r="67" spans="1:6" x14ac:dyDescent="0.25">
      <c r="A67" s="69" t="s">
        <v>539</v>
      </c>
      <c r="F67" s="143"/>
    </row>
    <row r="68" spans="1:6" x14ac:dyDescent="0.25">
      <c r="A68" s="144" t="s">
        <v>443</v>
      </c>
      <c r="B68" s="20">
        <v>0</v>
      </c>
      <c r="C68" s="20">
        <v>0</v>
      </c>
      <c r="D68" s="20">
        <v>0</v>
      </c>
      <c r="E68" s="20">
        <v>2</v>
      </c>
      <c r="F68" s="143">
        <v>2</v>
      </c>
    </row>
    <row r="69" spans="1:6" x14ac:dyDescent="0.25">
      <c r="A69" s="69"/>
      <c r="F69" s="143"/>
    </row>
    <row r="70" spans="1:6" x14ac:dyDescent="0.25">
      <c r="A70" s="69" t="s">
        <v>541</v>
      </c>
      <c r="F70" s="143"/>
    </row>
    <row r="71" spans="1:6" x14ac:dyDescent="0.25">
      <c r="A71" s="144" t="s">
        <v>406</v>
      </c>
      <c r="B71" s="20">
        <v>0</v>
      </c>
      <c r="C71" s="20">
        <v>0</v>
      </c>
      <c r="D71" s="20">
        <v>0</v>
      </c>
      <c r="E71" s="20">
        <v>3</v>
      </c>
      <c r="F71" s="143">
        <v>3</v>
      </c>
    </row>
    <row r="72" spans="1:6" x14ac:dyDescent="0.25">
      <c r="A72" s="144" t="s">
        <v>400</v>
      </c>
      <c r="B72" s="20">
        <v>0</v>
      </c>
      <c r="C72" s="20">
        <v>0</v>
      </c>
      <c r="D72" s="20">
        <v>0</v>
      </c>
      <c r="E72" s="20">
        <v>6</v>
      </c>
      <c r="F72" s="143">
        <v>6</v>
      </c>
    </row>
    <row r="73" spans="1:6" x14ac:dyDescent="0.25">
      <c r="A73" s="144" t="s">
        <v>399</v>
      </c>
      <c r="B73" s="20">
        <v>0</v>
      </c>
      <c r="C73" s="20">
        <v>0</v>
      </c>
      <c r="D73" s="20">
        <v>0</v>
      </c>
      <c r="E73" s="20">
        <v>6</v>
      </c>
      <c r="F73" s="143">
        <v>6</v>
      </c>
    </row>
    <row r="74" spans="1:6" x14ac:dyDescent="0.25">
      <c r="A74" s="144" t="s">
        <v>408</v>
      </c>
      <c r="B74" s="20">
        <v>0</v>
      </c>
      <c r="C74" s="20">
        <v>0</v>
      </c>
      <c r="D74" s="20">
        <v>0</v>
      </c>
      <c r="E74" s="20">
        <v>4</v>
      </c>
      <c r="F74" s="143">
        <v>4</v>
      </c>
    </row>
    <row r="75" spans="1:6" x14ac:dyDescent="0.25">
      <c r="A75" s="144" t="s">
        <v>414</v>
      </c>
      <c r="B75" s="20">
        <v>0</v>
      </c>
      <c r="C75" s="20">
        <v>0</v>
      </c>
      <c r="D75" s="20">
        <v>0</v>
      </c>
      <c r="E75" s="20">
        <v>2</v>
      </c>
      <c r="F75" s="143">
        <v>2</v>
      </c>
    </row>
    <row r="76" spans="1:6" x14ac:dyDescent="0.25">
      <c r="A76" s="144" t="s">
        <v>410</v>
      </c>
      <c r="B76" s="20">
        <v>6</v>
      </c>
      <c r="F76" s="143">
        <v>6</v>
      </c>
    </row>
    <row r="77" spans="1:6" x14ac:dyDescent="0.25">
      <c r="A77" s="69"/>
      <c r="F77" s="143"/>
    </row>
    <row r="78" spans="1:6" x14ac:dyDescent="0.25">
      <c r="A78" s="69" t="s">
        <v>544</v>
      </c>
      <c r="F78" s="143"/>
    </row>
    <row r="79" spans="1:6" x14ac:dyDescent="0.25">
      <c r="A79" s="144" t="s">
        <v>461</v>
      </c>
      <c r="B79" s="20">
        <v>0</v>
      </c>
      <c r="C79" s="20">
        <v>0</v>
      </c>
      <c r="D79" s="20">
        <v>0</v>
      </c>
      <c r="E79" s="20">
        <v>1</v>
      </c>
      <c r="F79" s="143">
        <v>1</v>
      </c>
    </row>
    <row r="80" spans="1:6" x14ac:dyDescent="0.25">
      <c r="A80" s="144" t="s">
        <v>457</v>
      </c>
      <c r="B80" s="20">
        <v>0</v>
      </c>
      <c r="C80" s="20">
        <v>0</v>
      </c>
      <c r="D80" s="20">
        <v>0</v>
      </c>
      <c r="E80" s="20">
        <v>1</v>
      </c>
      <c r="F80" s="143">
        <v>1</v>
      </c>
    </row>
    <row r="81" spans="1:6" x14ac:dyDescent="0.25">
      <c r="A81" s="144" t="s">
        <v>469</v>
      </c>
      <c r="B81" s="20">
        <v>5</v>
      </c>
      <c r="F81" s="143">
        <v>5</v>
      </c>
    </row>
    <row r="82" spans="1:6" x14ac:dyDescent="0.25">
      <c r="A82" s="69"/>
      <c r="F82" s="143"/>
    </row>
    <row r="83" spans="1:6" x14ac:dyDescent="0.25">
      <c r="A83" s="69" t="s">
        <v>546</v>
      </c>
      <c r="F83" s="143"/>
    </row>
    <row r="84" spans="1:6" x14ac:dyDescent="0.25">
      <c r="A84" s="144" t="s">
        <v>409</v>
      </c>
      <c r="B84" s="20">
        <v>0</v>
      </c>
      <c r="C84" s="20">
        <v>0</v>
      </c>
      <c r="D84" s="20">
        <v>0</v>
      </c>
      <c r="E84" s="20">
        <v>1</v>
      </c>
      <c r="F84" s="143">
        <v>1</v>
      </c>
    </row>
    <row r="85" spans="1:6" x14ac:dyDescent="0.25">
      <c r="A85" s="144" t="s">
        <v>406</v>
      </c>
      <c r="B85" s="20">
        <v>0</v>
      </c>
      <c r="C85" s="20">
        <v>0</v>
      </c>
      <c r="D85" s="20">
        <v>0</v>
      </c>
      <c r="E85" s="20">
        <v>10</v>
      </c>
      <c r="F85" s="143">
        <v>10</v>
      </c>
    </row>
    <row r="86" spans="1:6" x14ac:dyDescent="0.25">
      <c r="A86" s="144" t="s">
        <v>400</v>
      </c>
      <c r="B86" s="20">
        <v>0</v>
      </c>
      <c r="C86" s="20">
        <v>0</v>
      </c>
      <c r="D86" s="20">
        <v>0</v>
      </c>
      <c r="E86" s="20">
        <v>28</v>
      </c>
      <c r="F86" s="143">
        <v>28</v>
      </c>
    </row>
    <row r="87" spans="1:6" x14ac:dyDescent="0.25">
      <c r="A87" s="144" t="s">
        <v>399</v>
      </c>
      <c r="B87" s="20">
        <v>0</v>
      </c>
      <c r="C87" s="20">
        <v>0</v>
      </c>
      <c r="D87" s="20">
        <v>0</v>
      </c>
      <c r="E87" s="20">
        <v>10</v>
      </c>
      <c r="F87" s="143">
        <v>10</v>
      </c>
    </row>
    <row r="88" spans="1:6" x14ac:dyDescent="0.25">
      <c r="A88" s="144" t="s">
        <v>408</v>
      </c>
      <c r="B88" s="20">
        <v>0</v>
      </c>
      <c r="C88" s="20">
        <v>0</v>
      </c>
      <c r="D88" s="20">
        <v>0</v>
      </c>
      <c r="E88" s="20">
        <v>4</v>
      </c>
      <c r="F88" s="143">
        <v>4</v>
      </c>
    </row>
    <row r="89" spans="1:6" x14ac:dyDescent="0.25">
      <c r="A89" s="144" t="s">
        <v>407</v>
      </c>
      <c r="B89" s="20">
        <v>0</v>
      </c>
      <c r="C89" s="20">
        <v>0</v>
      </c>
      <c r="D89" s="20">
        <v>0</v>
      </c>
      <c r="E89" s="20">
        <v>2</v>
      </c>
      <c r="F89" s="143">
        <v>2</v>
      </c>
    </row>
    <row r="90" spans="1:6" x14ac:dyDescent="0.25">
      <c r="A90" s="144" t="s">
        <v>418</v>
      </c>
      <c r="B90" s="20">
        <v>0</v>
      </c>
      <c r="C90" s="20">
        <v>0</v>
      </c>
      <c r="D90" s="20">
        <v>0</v>
      </c>
      <c r="E90" s="20">
        <v>4</v>
      </c>
      <c r="F90" s="143">
        <v>4</v>
      </c>
    </row>
    <row r="91" spans="1:6" x14ac:dyDescent="0.25">
      <c r="A91" s="144" t="s">
        <v>413</v>
      </c>
      <c r="B91" s="20">
        <v>0</v>
      </c>
      <c r="C91" s="20">
        <v>0</v>
      </c>
      <c r="D91" s="20">
        <v>0</v>
      </c>
      <c r="E91" s="20">
        <v>1</v>
      </c>
      <c r="F91" s="143">
        <v>1</v>
      </c>
    </row>
    <row r="92" spans="1:6" x14ac:dyDescent="0.25">
      <c r="A92" s="144" t="s">
        <v>414</v>
      </c>
      <c r="B92" s="20">
        <v>0</v>
      </c>
      <c r="C92" s="20">
        <v>0</v>
      </c>
      <c r="D92" s="20">
        <v>0</v>
      </c>
      <c r="E92" s="20">
        <v>1</v>
      </c>
      <c r="F92" s="143">
        <v>1</v>
      </c>
    </row>
    <row r="93" spans="1:6" x14ac:dyDescent="0.25">
      <c r="A93" s="144" t="s">
        <v>424</v>
      </c>
      <c r="B93" s="20">
        <v>0</v>
      </c>
      <c r="C93" s="20">
        <v>0</v>
      </c>
      <c r="D93" s="20">
        <v>0</v>
      </c>
      <c r="E93" s="20">
        <v>2</v>
      </c>
      <c r="F93" s="143">
        <v>2</v>
      </c>
    </row>
    <row r="94" spans="1:6" x14ac:dyDescent="0.25">
      <c r="A94" s="69"/>
      <c r="F94" s="143"/>
    </row>
    <row r="95" spans="1:6" x14ac:dyDescent="0.25">
      <c r="A95" s="69" t="s">
        <v>549</v>
      </c>
      <c r="F95" s="143"/>
    </row>
    <row r="96" spans="1:6" x14ac:dyDescent="0.25">
      <c r="A96" s="144" t="s">
        <v>399</v>
      </c>
      <c r="B96" s="20">
        <v>0</v>
      </c>
      <c r="C96" s="20">
        <v>0</v>
      </c>
      <c r="D96" s="20">
        <v>0</v>
      </c>
      <c r="E96" s="20">
        <v>4</v>
      </c>
      <c r="F96" s="143">
        <v>4</v>
      </c>
    </row>
    <row r="97" spans="1:6" x14ac:dyDescent="0.25">
      <c r="A97" s="144" t="s">
        <v>408</v>
      </c>
      <c r="B97" s="20">
        <v>0</v>
      </c>
      <c r="C97" s="20">
        <v>0</v>
      </c>
      <c r="D97" s="20">
        <v>0</v>
      </c>
      <c r="E97" s="20">
        <v>2</v>
      </c>
      <c r="F97" s="143">
        <v>2</v>
      </c>
    </row>
    <row r="98" spans="1:6" x14ac:dyDescent="0.25">
      <c r="A98" s="144" t="s">
        <v>407</v>
      </c>
      <c r="B98" s="20">
        <v>0</v>
      </c>
      <c r="C98" s="20">
        <v>0</v>
      </c>
      <c r="D98" s="20">
        <v>0</v>
      </c>
      <c r="E98" s="20">
        <v>3</v>
      </c>
      <c r="F98" s="143">
        <v>3</v>
      </c>
    </row>
    <row r="99" spans="1:6" x14ac:dyDescent="0.25">
      <c r="A99" s="144" t="s">
        <v>411</v>
      </c>
      <c r="B99" s="20">
        <v>1</v>
      </c>
      <c r="C99" s="20">
        <v>0</v>
      </c>
      <c r="D99" s="20">
        <v>0</v>
      </c>
      <c r="E99" s="20">
        <v>1</v>
      </c>
      <c r="F99" s="143">
        <v>2</v>
      </c>
    </row>
    <row r="100" spans="1:6" x14ac:dyDescent="0.25">
      <c r="A100" s="144" t="s">
        <v>418</v>
      </c>
      <c r="B100" s="20">
        <v>1</v>
      </c>
      <c r="C100" s="20">
        <v>0</v>
      </c>
      <c r="D100" s="20">
        <v>1</v>
      </c>
      <c r="E100" s="20">
        <v>2</v>
      </c>
      <c r="F100" s="143">
        <v>4</v>
      </c>
    </row>
    <row r="101" spans="1:6" x14ac:dyDescent="0.25">
      <c r="A101" s="144" t="s">
        <v>413</v>
      </c>
      <c r="B101" s="20">
        <v>0</v>
      </c>
      <c r="C101" s="20">
        <v>0</v>
      </c>
      <c r="D101" s="20">
        <v>0</v>
      </c>
      <c r="E101" s="20">
        <v>1</v>
      </c>
      <c r="F101" s="143">
        <v>1</v>
      </c>
    </row>
    <row r="102" spans="1:6" x14ac:dyDescent="0.25">
      <c r="A102" s="69"/>
      <c r="F102" s="143"/>
    </row>
    <row r="103" spans="1:6" x14ac:dyDescent="0.25">
      <c r="A103" s="69" t="s">
        <v>551</v>
      </c>
      <c r="F103" s="143"/>
    </row>
    <row r="104" spans="1:6" x14ac:dyDescent="0.25">
      <c r="A104" s="144" t="s">
        <v>404</v>
      </c>
      <c r="B104" s="20">
        <v>0</v>
      </c>
      <c r="C104" s="20">
        <v>0</v>
      </c>
      <c r="D104" s="20">
        <v>0</v>
      </c>
      <c r="E104" s="20">
        <v>6</v>
      </c>
      <c r="F104" s="143">
        <v>6</v>
      </c>
    </row>
    <row r="105" spans="1:6" x14ac:dyDescent="0.25">
      <c r="A105" s="144" t="s">
        <v>406</v>
      </c>
      <c r="B105" s="20">
        <v>0</v>
      </c>
      <c r="C105" s="20">
        <v>0</v>
      </c>
      <c r="D105" s="20">
        <v>0</v>
      </c>
      <c r="E105" s="20">
        <v>4</v>
      </c>
      <c r="F105" s="143">
        <v>4</v>
      </c>
    </row>
    <row r="106" spans="1:6" x14ac:dyDescent="0.25">
      <c r="A106" s="144" t="s">
        <v>400</v>
      </c>
      <c r="B106" s="20">
        <v>0</v>
      </c>
      <c r="C106" s="20">
        <v>0</v>
      </c>
      <c r="D106" s="20">
        <v>0</v>
      </c>
      <c r="E106" s="20">
        <v>30</v>
      </c>
      <c r="F106" s="143">
        <v>30</v>
      </c>
    </row>
    <row r="107" spans="1:6" x14ac:dyDescent="0.25">
      <c r="A107" s="144" t="s">
        <v>408</v>
      </c>
      <c r="B107" s="20">
        <v>0</v>
      </c>
      <c r="C107" s="20">
        <v>0</v>
      </c>
      <c r="D107" s="20">
        <v>0</v>
      </c>
      <c r="E107" s="20">
        <v>4</v>
      </c>
      <c r="F107" s="143">
        <v>4</v>
      </c>
    </row>
    <row r="108" spans="1:6" x14ac:dyDescent="0.25">
      <c r="A108" s="144" t="s">
        <v>407</v>
      </c>
      <c r="B108" s="20">
        <v>0</v>
      </c>
      <c r="C108" s="20">
        <v>0</v>
      </c>
      <c r="D108" s="20">
        <v>0</v>
      </c>
      <c r="E108" s="20">
        <v>5</v>
      </c>
      <c r="F108" s="143">
        <v>5</v>
      </c>
    </row>
    <row r="109" spans="1:6" x14ac:dyDescent="0.25">
      <c r="A109" s="144" t="s">
        <v>413</v>
      </c>
      <c r="B109" s="20">
        <v>0</v>
      </c>
      <c r="C109" s="20">
        <v>0</v>
      </c>
      <c r="D109" s="20">
        <v>0</v>
      </c>
      <c r="E109" s="20">
        <v>1</v>
      </c>
      <c r="F109" s="143">
        <v>1</v>
      </c>
    </row>
    <row r="110" spans="1:6" x14ac:dyDescent="0.25">
      <c r="A110" s="144" t="s">
        <v>414</v>
      </c>
      <c r="B110" s="20">
        <v>0</v>
      </c>
      <c r="C110" s="20">
        <v>0</v>
      </c>
      <c r="D110" s="20">
        <v>0</v>
      </c>
      <c r="E110" s="20">
        <v>1</v>
      </c>
      <c r="F110" s="143">
        <v>1</v>
      </c>
    </row>
    <row r="111" spans="1:6" x14ac:dyDescent="0.25">
      <c r="A111" s="144" t="s">
        <v>416</v>
      </c>
      <c r="B111" s="20">
        <v>0</v>
      </c>
      <c r="C111" s="20">
        <v>0</v>
      </c>
      <c r="D111" s="20">
        <v>0</v>
      </c>
      <c r="E111" s="20">
        <v>1</v>
      </c>
      <c r="F111" s="143">
        <v>1</v>
      </c>
    </row>
    <row r="112" spans="1:6" x14ac:dyDescent="0.25">
      <c r="A112" s="69"/>
      <c r="F112" s="143"/>
    </row>
    <row r="113" spans="1:6" x14ac:dyDescent="0.25">
      <c r="A113" s="69" t="s">
        <v>553</v>
      </c>
      <c r="F113" s="143"/>
    </row>
    <row r="114" spans="1:6" x14ac:dyDescent="0.25">
      <c r="A114" s="144" t="s">
        <v>400</v>
      </c>
      <c r="B114" s="20">
        <v>0</v>
      </c>
      <c r="C114" s="20">
        <v>0</v>
      </c>
      <c r="D114" s="20">
        <v>0</v>
      </c>
      <c r="E114" s="20">
        <v>20</v>
      </c>
      <c r="F114" s="143">
        <v>20</v>
      </c>
    </row>
    <row r="115" spans="1:6" x14ac:dyDescent="0.25">
      <c r="A115" s="69"/>
      <c r="F115" s="143"/>
    </row>
  </sheetData>
  <conditionalFormatting sqref="F116:F1048576">
    <cfRule type="cellIs" dxfId="1300" priority="2" operator="greaterThan">
      <formula>0</formula>
    </cfRule>
  </conditionalFormatting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L35"/>
  <sheetViews>
    <sheetView workbookViewId="0">
      <selection activeCell="E26" sqref="A1:E26"/>
    </sheetView>
  </sheetViews>
  <sheetFormatPr defaultRowHeight="15" x14ac:dyDescent="0.25"/>
  <cols>
    <col min="1" max="1" width="60.7109375" customWidth="1" collapsed="1"/>
    <col min="6" max="6" width="9.5703125" hidden="1" customWidth="1" collapsed="1"/>
    <col min="7" max="7" width="16" bestFit="1" customWidth="1" collapsed="1"/>
    <col min="8" max="8" width="26.7109375" bestFit="1" customWidth="1" collapsed="1"/>
    <col min="9" max="9" width="31.42578125" bestFit="1" customWidth="1" collapsed="1"/>
    <col min="10" max="10" width="20.28515625" style="24" bestFit="1" customWidth="1" collapsed="1"/>
    <col min="11" max="11" width="12.85546875" style="24" bestFit="1" customWidth="1" collapsed="1"/>
    <col min="12" max="12" width="35.28515625" bestFit="1" customWidth="1" collapsed="1"/>
  </cols>
  <sheetData>
    <row r="1" spans="1:6" ht="20.25" x14ac:dyDescent="0.25">
      <c r="A1" s="6" t="s">
        <v>54</v>
      </c>
      <c r="B1" s="2" t="s">
        <v>56</v>
      </c>
      <c r="C1" s="3" t="s">
        <v>0</v>
      </c>
      <c r="D1" s="4" t="s">
        <v>1</v>
      </c>
      <c r="E1" s="5" t="s">
        <v>2</v>
      </c>
      <c r="F1" s="6" t="s">
        <v>98</v>
      </c>
    </row>
    <row r="2" spans="1:6" ht="15.75" x14ac:dyDescent="0.25">
      <c r="A2" s="12" t="s">
        <v>399</v>
      </c>
      <c r="B2" s="1">
        <f>IFERROR(VLOOKUP(1,'CARGA TOTAL'!$A$2:$C$230,3,0),0)</f>
        <v>22</v>
      </c>
      <c r="C2" s="1">
        <f>IFERROR(VLOOKUP(2,'CARGA TOTAL'!$A$2:$C$230,3,0),0)</f>
        <v>0</v>
      </c>
      <c r="D2" s="1">
        <f>IFERROR(VLOOKUP(3,'CARGA TOTAL'!$A$2:$C$230,3,0),0)</f>
        <v>0</v>
      </c>
      <c r="E2" s="1">
        <f>IFERROR(VLOOKUP(282,'CARGA TOTAL'!$A$2:$C$230,3,0),0)</f>
        <v>168</v>
      </c>
      <c r="F2" s="18">
        <f>B2+C2+D2+E2</f>
        <v>190</v>
      </c>
    </row>
    <row r="3" spans="1:6" ht="15.75" x14ac:dyDescent="0.25">
      <c r="A3" s="12" t="s">
        <v>400</v>
      </c>
      <c r="B3" s="1">
        <f>IFERROR(VLOOKUP(5,'CARGA TOTAL'!$A$2:$C$230,3,0),0)</f>
        <v>28</v>
      </c>
      <c r="C3" s="1">
        <f>IFERROR(VLOOKUP(6,'CARGA TOTAL'!$A$2:$C$230,3,0),0)</f>
        <v>0</v>
      </c>
      <c r="D3" s="1">
        <f>IFERROR(VLOOKUP(7,'CARGA TOTAL'!$A$2:$C$230,3,0),0)</f>
        <v>0</v>
      </c>
      <c r="E3" s="1">
        <f>IFERROR(VLOOKUP(258,'CARGA TOTAL'!$A$2:$C$230,3,0),0)</f>
        <v>245</v>
      </c>
      <c r="F3" s="18">
        <f t="shared" ref="F3:F25" si="0">B3+C3+D3+E3</f>
        <v>273</v>
      </c>
    </row>
    <row r="4" spans="1:6" ht="15.75" x14ac:dyDescent="0.25">
      <c r="A4" s="12" t="s">
        <v>404</v>
      </c>
      <c r="B4" s="1">
        <f>IFERROR(VLOOKUP(23,'CARGA TOTAL'!$A$2:$C$230,3,0),0)</f>
        <v>6</v>
      </c>
      <c r="C4" s="1">
        <f>IFERROR(VLOOKUP(24,'CARGA TOTAL'!$A$2:$C$230,3,0),0)</f>
        <v>0</v>
      </c>
      <c r="D4" s="1">
        <f>IFERROR(VLOOKUP(25,'CARGA TOTAL'!$A$2:$C$230,3,0),0)</f>
        <v>0</v>
      </c>
      <c r="E4" s="1">
        <f>IFERROR(VLOOKUP(291,'CARGA TOTAL'!$A$2:$C$230,3,0),0)</f>
        <v>6</v>
      </c>
      <c r="F4" s="18">
        <f t="shared" si="0"/>
        <v>12</v>
      </c>
    </row>
    <row r="5" spans="1:6" ht="15.75" x14ac:dyDescent="0.25">
      <c r="A5" s="12" t="s">
        <v>406</v>
      </c>
      <c r="B5" s="1">
        <f>IFERROR(VLOOKUP(227,'CARGA TOTAL'!$A$2:$C$230,3,0),0)</f>
        <v>0</v>
      </c>
      <c r="C5" s="1">
        <f>IFERROR(VLOOKUP(228,'CARGA TOTAL'!$A$2:$C$230,3,0),0)</f>
        <v>0</v>
      </c>
      <c r="D5" s="1">
        <f>IFERROR(VLOOKUP(229,'CARGA TOTAL'!$A$2:$C$230,3,0),0)</f>
        <v>0</v>
      </c>
      <c r="E5" s="1">
        <f>IFERROR(VLOOKUP(230,'CARGA TOTAL'!$A$2:$C$230,3,0),0)</f>
        <v>33</v>
      </c>
      <c r="F5" s="18">
        <f t="shared" si="0"/>
        <v>33</v>
      </c>
    </row>
    <row r="6" spans="1:6" ht="15.75" x14ac:dyDescent="0.25">
      <c r="A6" s="12" t="s">
        <v>407</v>
      </c>
      <c r="B6" s="1">
        <f>IFERROR(VLOOKUP(231,'CARGA TOTAL'!$A$2:$C$230,3,0),0)</f>
        <v>0</v>
      </c>
      <c r="C6" s="1">
        <f>IFERROR(VLOOKUP(232,'CARGA TOTAL'!$A$2:$C$230,3,0),0)</f>
        <v>0</v>
      </c>
      <c r="D6" s="1">
        <f>IFERROR(VLOOKUP(234,'CARGA TOTAL'!$A$2:$C$230,3,0),0)</f>
        <v>0</v>
      </c>
      <c r="E6" s="1">
        <f>IFERROR(VLOOKUP(233,'CARGA TOTAL'!$A$2:$C$230,3,0),0)</f>
        <v>10</v>
      </c>
      <c r="F6" s="18">
        <f t="shared" si="0"/>
        <v>10</v>
      </c>
    </row>
    <row r="7" spans="1:6" ht="15.75" x14ac:dyDescent="0.25">
      <c r="A7" s="12" t="s">
        <v>408</v>
      </c>
      <c r="B7" s="1">
        <f>IFERROR(VLOOKUP(237,'CARGA TOTAL'!$A$2:$C$230,3,0),0)</f>
        <v>0</v>
      </c>
      <c r="C7" s="1">
        <f>IFERROR(VLOOKUP(238,'CARGA TOTAL'!$A$2:$C$230,3,0),0)</f>
        <v>0</v>
      </c>
      <c r="D7" s="1">
        <f>IFERROR(VLOOKUP(240,'CARGA TOTAL'!$A$2:$C$230,3,0),0)</f>
        <v>0</v>
      </c>
      <c r="E7" s="1">
        <f>IFERROR(VLOOKUP(239,'CARGA TOTAL'!$A$2:$C$230,3,0),0)</f>
        <v>14</v>
      </c>
      <c r="F7" s="18">
        <f t="shared" si="0"/>
        <v>14</v>
      </c>
    </row>
    <row r="8" spans="1:6" ht="15.75" x14ac:dyDescent="0.25">
      <c r="A8" s="12" t="s">
        <v>409</v>
      </c>
      <c r="B8" s="1">
        <f>IFERROR(VLOOKUP(25707,'CARGA TOTAL'!$A$2:$C$230,3,0),0)</f>
        <v>0</v>
      </c>
      <c r="C8" s="1">
        <f>IFERROR(VLOOKUP(25708,'CARGA TOTAL'!$A$2:$C$230,3,0),0)</f>
        <v>0</v>
      </c>
      <c r="D8" s="1">
        <f>IFERROR(VLOOKUP(25710,'CARGA TOTAL'!$A$2:$C$230,3,0),0)</f>
        <v>0</v>
      </c>
      <c r="E8" s="1">
        <f>IFERROR(VLOOKUP(25709,'CARGA TOTAL'!$A$2:$C$230,3,0),0)</f>
        <v>2</v>
      </c>
      <c r="F8" s="18">
        <f t="shared" si="0"/>
        <v>2</v>
      </c>
    </row>
    <row r="9" spans="1:6" ht="15.75" x14ac:dyDescent="0.25">
      <c r="A9" s="12" t="s">
        <v>410</v>
      </c>
      <c r="B9" s="1">
        <f>IFERROR(VLOOKUP(25711,'CARGA TOTAL'!$A$2:$C$230,3,0),0)</f>
        <v>6</v>
      </c>
      <c r="C9" s="1"/>
      <c r="D9" s="1"/>
      <c r="E9" s="1"/>
      <c r="F9" s="18">
        <f t="shared" si="0"/>
        <v>6</v>
      </c>
    </row>
    <row r="10" spans="1:6" ht="15.75" x14ac:dyDescent="0.25">
      <c r="A10" s="12" t="s">
        <v>411</v>
      </c>
      <c r="B10" s="1">
        <f>IFERROR(VLOOKUP(35,'CARGA TOTAL'!$A$2:$C$230,3,0),0)</f>
        <v>5</v>
      </c>
      <c r="C10" s="1">
        <f>IFERROR(VLOOKUP(36,'CARGA TOTAL'!$A$2:$C$230,3,0),0)</f>
        <v>0</v>
      </c>
      <c r="D10" s="1">
        <f>IFERROR(VLOOKUP(37,'CARGA TOTAL'!$A$2:$C$230,3,0),0)</f>
        <v>0</v>
      </c>
      <c r="E10" s="1">
        <f>IFERROR(VLOOKUP(294,'CARGA TOTAL'!$A$2:$C$230,3,0),0)</f>
        <v>6</v>
      </c>
      <c r="F10" s="18">
        <f t="shared" si="0"/>
        <v>11</v>
      </c>
    </row>
    <row r="11" spans="1:6" ht="15.75" x14ac:dyDescent="0.25">
      <c r="A11" s="12" t="s">
        <v>412</v>
      </c>
      <c r="B11" s="1">
        <f>IFERROR(VLOOKUP(39,'CARGA TOTAL'!$A$2:$C$230,3,0),0)</f>
        <v>3</v>
      </c>
      <c r="C11" s="1">
        <f>IFERROR(VLOOKUP(40,'CARGA TOTAL'!$A$2:$C$230,3,0),0)</f>
        <v>0</v>
      </c>
      <c r="D11" s="1">
        <f>IFERROR(VLOOKUP(42,'CARGA TOTAL'!$A$2:$C$230,3,0),0)</f>
        <v>0</v>
      </c>
      <c r="E11" s="1">
        <f>IFERROR(VLOOKUP(295,'CARGA TOTAL'!$A$2:$C$230,3,0),0)</f>
        <v>16</v>
      </c>
      <c r="F11" s="18">
        <f t="shared" si="0"/>
        <v>19</v>
      </c>
    </row>
    <row r="12" spans="1:6" ht="15.75" x14ac:dyDescent="0.25">
      <c r="A12" s="12" t="s">
        <v>413</v>
      </c>
      <c r="B12" s="1">
        <f>IFERROR(VLOOKUP(44,'CARGA TOTAL'!$A$2:$C$230,3,0),0)</f>
        <v>3</v>
      </c>
      <c r="C12" s="1">
        <f>IFERROR(VLOOKUP(45,'CARGA TOTAL'!$A$2:$C$230,3,0),0)</f>
        <v>0</v>
      </c>
      <c r="D12" s="1">
        <f>IFERROR(VLOOKUP(46,'CARGA TOTAL'!$A$2:$C$230,3,0),0)</f>
        <v>0</v>
      </c>
      <c r="E12" s="1">
        <f>IFERROR(VLOOKUP(283,'CARGA TOTAL'!$A$2:$C$230,3,0),0)</f>
        <v>29</v>
      </c>
      <c r="F12" s="18">
        <f t="shared" si="0"/>
        <v>32</v>
      </c>
    </row>
    <row r="13" spans="1:6" ht="15.75" x14ac:dyDescent="0.25">
      <c r="A13" s="12" t="s">
        <v>414</v>
      </c>
      <c r="B13" s="1">
        <f>IFERROR(VLOOKUP(48,'CARGA TOTAL'!$A$2:$C$230,3,0),0)</f>
        <v>2</v>
      </c>
      <c r="C13" s="1">
        <f>IFERROR(VLOOKUP(49,'CARGA TOTAL'!$A$2:$C$230,3,0),0)</f>
        <v>0</v>
      </c>
      <c r="D13" s="1">
        <f>IFERROR(VLOOKUP(50,'CARGA TOTAL'!$A$2:$C$230,3,0),0)</f>
        <v>0</v>
      </c>
      <c r="E13" s="1">
        <f>IFERROR(VLOOKUP(298,'CARGA TOTAL'!$A$2:$C$230,3,0),0)</f>
        <v>10</v>
      </c>
      <c r="F13" s="18">
        <f t="shared" si="0"/>
        <v>12</v>
      </c>
    </row>
    <row r="14" spans="1:6" ht="15.75" x14ac:dyDescent="0.25">
      <c r="A14" s="12" t="s">
        <v>415</v>
      </c>
      <c r="B14" s="1">
        <f>IFERROR(VLOOKUP(52,'CARGA TOTAL'!$A$2:$C$230,3,0),0)</f>
        <v>0</v>
      </c>
      <c r="C14" s="1">
        <f>IFERROR(VLOOKUP(53,'CARGA TOTAL'!$A$2:$C$230,3,0),0)</f>
        <v>0</v>
      </c>
      <c r="D14" s="1">
        <f>IFERROR(VLOOKUP(54,'CARGA TOTAL'!$A$2:$C$230,3,0),0)</f>
        <v>0</v>
      </c>
      <c r="E14" s="1">
        <f>IFERROR(VLOOKUP(299,'CARGA TOTAL'!$A$2:$C$230,3,0),0)</f>
        <v>4</v>
      </c>
      <c r="F14" s="18">
        <f t="shared" si="0"/>
        <v>4</v>
      </c>
    </row>
    <row r="15" spans="1:6" ht="15.75" x14ac:dyDescent="0.25">
      <c r="A15" s="12" t="s">
        <v>416</v>
      </c>
      <c r="B15" s="1">
        <f>IFERROR(VLOOKUP(56,'CARGA TOTAL'!$A$2:$C$230,3,0),0)</f>
        <v>1</v>
      </c>
      <c r="C15" s="1">
        <f>IFERROR(VLOOKUP(61,'CARGA TOTAL'!$A$2:$C$230,3,0),0)</f>
        <v>0</v>
      </c>
      <c r="D15" s="1">
        <f>IFERROR(VLOOKUP(58,'CARGA TOTAL'!$A$2:$C$230,3,0),0)</f>
        <v>0</v>
      </c>
      <c r="E15" s="1">
        <f>IFERROR(VLOOKUP(300,'CARGA TOTAL'!$A$2:$C$230,3,0),0)</f>
        <v>5</v>
      </c>
      <c r="F15" s="18">
        <f t="shared" si="0"/>
        <v>6</v>
      </c>
    </row>
    <row r="16" spans="1:6" ht="15.75" x14ac:dyDescent="0.25">
      <c r="A16" s="12" t="s">
        <v>418</v>
      </c>
      <c r="B16" s="1">
        <f>IFERROR(VLOOKUP(963,'CARGA TOTAL'!$A$2:$C$230,3,0),0)</f>
        <v>1</v>
      </c>
      <c r="C16" s="1">
        <f>IFERROR(VLOOKUP(965,'CARGA TOTAL'!$A$2:$C$230,3,0),0)</f>
        <v>0</v>
      </c>
      <c r="D16" s="1">
        <f>IFERROR(VLOOKUP(966,'CARGA TOTAL'!$A$2:$C$230,3,0),0)</f>
        <v>1</v>
      </c>
      <c r="E16" s="1">
        <f>IFERROR(VLOOKUP(964,'CARGA TOTAL'!$A$2:$C$230,3,0),0)</f>
        <v>6</v>
      </c>
      <c r="F16" s="18">
        <f t="shared" si="0"/>
        <v>8</v>
      </c>
    </row>
    <row r="17" spans="1:11" ht="15.75" x14ac:dyDescent="0.25">
      <c r="A17" s="12" t="s">
        <v>423</v>
      </c>
      <c r="B17" s="1">
        <f>IFERROR(VLOOKUP(100,'CARGA TOTAL'!$A$2:$C$230,3,0),0)</f>
        <v>2</v>
      </c>
      <c r="C17" s="1">
        <f>IFERROR(VLOOKUP(101,'CARGA TOTAL'!$A$2:$C$230,3,0),0)</f>
        <v>0</v>
      </c>
      <c r="D17" s="1">
        <f>IFERROR(VLOOKUP(102,'CARGA TOTAL'!$A$2:$C$230,3,0),0)</f>
        <v>0</v>
      </c>
      <c r="E17" s="1">
        <f>IFERROR(VLOOKUP(306,'CARGA TOTAL'!$A$2:$C$230,3,0),0)</f>
        <v>0</v>
      </c>
      <c r="F17" s="18">
        <f t="shared" si="0"/>
        <v>2</v>
      </c>
    </row>
    <row r="18" spans="1:11" ht="15.75" x14ac:dyDescent="0.25">
      <c r="A18" s="12" t="s">
        <v>424</v>
      </c>
      <c r="B18" s="1">
        <f>IFERROR(VLOOKUP(104,'CARGA TOTAL'!$A$2:$C$230,3,0),0)</f>
        <v>0</v>
      </c>
      <c r="C18" s="1">
        <f>IFERROR(VLOOKUP(105,'CARGA TOTAL'!$A$2:$C$230,3,0),0)</f>
        <v>0</v>
      </c>
      <c r="D18" s="1">
        <f>IFERROR(VLOOKUP(106,'CARGA TOTAL'!$A$2:$C$230,3,0),0)</f>
        <v>0</v>
      </c>
      <c r="E18" s="1">
        <f>IFERROR(VLOOKUP(307,'CARGA TOTAL'!$A$2:$C$230,3,0),0)</f>
        <v>2</v>
      </c>
      <c r="F18" s="18">
        <f t="shared" si="0"/>
        <v>2</v>
      </c>
    </row>
    <row r="19" spans="1:11" ht="15.75" x14ac:dyDescent="0.25">
      <c r="A19" s="12" t="s">
        <v>433</v>
      </c>
      <c r="B19" s="1">
        <f>IFERROR(VLOOKUP(1109,'CARGA TOTAL'!$A$2:$C$230,3,0),0)</f>
        <v>1</v>
      </c>
      <c r="C19" s="1">
        <f>IFERROR(VLOOKUP(1110,'CARGA TOTAL'!$A$2:$C$230,3,0),0)</f>
        <v>0</v>
      </c>
      <c r="D19" s="1">
        <f>IFERROR(VLOOKUP(1111,'CARGA TOTAL'!$A$2:$C$230,3,0),0)</f>
        <v>0</v>
      </c>
      <c r="E19" s="1">
        <f>IFERROR(VLOOKUP(1112,'CARGA TOTAL'!$A$2:$C$230,3,0),0)</f>
        <v>0</v>
      </c>
      <c r="F19" s="18">
        <f t="shared" si="0"/>
        <v>1</v>
      </c>
    </row>
    <row r="20" spans="1:11" ht="15.75" x14ac:dyDescent="0.25">
      <c r="A20" s="12" t="s">
        <v>438</v>
      </c>
      <c r="B20" s="1">
        <f>IFERROR(VLOOKUP(1137,'CARGA TOTAL'!$A$2:$C$230,3,0),0)</f>
        <v>1</v>
      </c>
      <c r="C20" s="1">
        <f>IFERROR(VLOOKUP(1138,'CARGA TOTAL'!$A$2:$C$230,3,0),0)</f>
        <v>0</v>
      </c>
      <c r="D20" s="1">
        <f>IFERROR(VLOOKUP(1139,'CARGA TOTAL'!$A$2:$C$230,3,0),0)</f>
        <v>0</v>
      </c>
      <c r="E20" s="1">
        <f>IFERROR(VLOOKUP(1140,'CARGA TOTAL'!$A$2:$C$230,3,0),0)</f>
        <v>0</v>
      </c>
      <c r="F20" s="18">
        <f t="shared" si="0"/>
        <v>1</v>
      </c>
    </row>
    <row r="21" spans="1:11" ht="15.75" x14ac:dyDescent="0.25">
      <c r="A21" s="12" t="s">
        <v>443</v>
      </c>
      <c r="B21" s="1">
        <f>IFERROR(VLOOKUP(1157,'CARGA TOTAL'!$A$2:$C$230,3,0),0)</f>
        <v>0</v>
      </c>
      <c r="C21" s="1">
        <f>IFERROR(VLOOKUP(1158,'CARGA TOTAL'!$A$2:$C$230,3,0),0)</f>
        <v>0</v>
      </c>
      <c r="D21" s="1">
        <f>IFERROR(VLOOKUP(1159,'CARGA TOTAL'!$A$2:$C$230,3,0),0)</f>
        <v>0</v>
      </c>
      <c r="E21" s="1">
        <f>IFERROR(VLOOKUP(1160,'CARGA TOTAL'!$A$2:$C$230,3,0),0)</f>
        <v>2</v>
      </c>
      <c r="F21" s="18">
        <f t="shared" si="0"/>
        <v>2</v>
      </c>
    </row>
    <row r="22" spans="1:11" ht="15.75" x14ac:dyDescent="0.25">
      <c r="A22" s="12" t="s">
        <v>455</v>
      </c>
      <c r="B22" s="1">
        <f>IFERROR(VLOOKUP(1201,'CARGA TOTAL'!$A$2:$C$230,3,0),0)</f>
        <v>0</v>
      </c>
      <c r="C22" s="1">
        <f>IFERROR(VLOOKUP(1202,'CARGA TOTAL'!$A$2:$C$230,3,0),0)</f>
        <v>0</v>
      </c>
      <c r="D22" s="1">
        <f>IFERROR(VLOOKUP(1203,'CARGA TOTAL'!$A$2:$C$230,3,0),0)</f>
        <v>0</v>
      </c>
      <c r="E22" s="1">
        <f>IFERROR(VLOOKUP(1204,'CARGA TOTAL'!$A$2:$C$230,3,0),0)</f>
        <v>1</v>
      </c>
      <c r="F22" s="18">
        <f t="shared" si="0"/>
        <v>1</v>
      </c>
    </row>
    <row r="23" spans="1:11" ht="15.75" x14ac:dyDescent="0.25">
      <c r="A23" s="12" t="s">
        <v>457</v>
      </c>
      <c r="B23" s="1">
        <f>IFERROR(VLOOKUP(1213,'CARGA TOTAL'!$A$2:$C$230,3,0),0)</f>
        <v>0</v>
      </c>
      <c r="C23" s="1">
        <f>IFERROR(VLOOKUP(1214,'CARGA TOTAL'!$A$2:$C$230,3,0),0)</f>
        <v>0</v>
      </c>
      <c r="D23" s="1">
        <f>IFERROR(VLOOKUP(1215,'CARGA TOTAL'!$A$2:$C$230,3,0),0)</f>
        <v>0</v>
      </c>
      <c r="E23" s="1">
        <f>IFERROR(VLOOKUP(1216,'CARGA TOTAL'!$A$2:$C$230,3,0),0)</f>
        <v>1</v>
      </c>
      <c r="F23" s="18">
        <f t="shared" si="0"/>
        <v>1</v>
      </c>
    </row>
    <row r="24" spans="1:11" ht="15.75" x14ac:dyDescent="0.25">
      <c r="A24" s="12" t="s">
        <v>461</v>
      </c>
      <c r="B24" s="1">
        <f>IFERROR(VLOOKUP(1225,'CARGA TOTAL'!$A$2:$C$230,3,0),0)</f>
        <v>0</v>
      </c>
      <c r="C24" s="1">
        <f>IFERROR(VLOOKUP(1226,'CARGA TOTAL'!$A$2:$C$230,3,0),0)</f>
        <v>0</v>
      </c>
      <c r="D24" s="1">
        <f>IFERROR(VLOOKUP(1227,'CARGA TOTAL'!$A$2:$C$230,3,0),0)</f>
        <v>0</v>
      </c>
      <c r="E24" s="1">
        <f>IFERROR(VLOOKUP(1228,'CARGA TOTAL'!$A$2:$C$230,3,0),0)</f>
        <v>1</v>
      </c>
      <c r="F24" s="18">
        <f t="shared" si="0"/>
        <v>1</v>
      </c>
    </row>
    <row r="25" spans="1:11" ht="15.75" x14ac:dyDescent="0.25">
      <c r="A25" s="12" t="s">
        <v>460</v>
      </c>
      <c r="B25" s="1">
        <f>IFERROR(VLOOKUP(1229,'CARGA TOTAL'!$A$2:$C$230,3,0),0)</f>
        <v>0</v>
      </c>
      <c r="C25" s="1">
        <f>IFERROR(VLOOKUP(1230,'CARGA TOTAL'!$A$2:$C$230,3,0),0)</f>
        <v>0</v>
      </c>
      <c r="D25" s="1">
        <f>IFERROR(VLOOKUP(1231,'CARGA TOTAL'!$A$2:$C$230,3,0),0)</f>
        <v>0</v>
      </c>
      <c r="E25" s="1">
        <f>IFERROR(VLOOKUP(1232,'CARGA TOTAL'!$A$2:$C$230,3,0),0)</f>
        <v>1</v>
      </c>
      <c r="F25" s="18">
        <f t="shared" si="0"/>
        <v>1</v>
      </c>
    </row>
    <row r="26" spans="1:11" ht="15.75" x14ac:dyDescent="0.25">
      <c r="A26" s="12" t="s">
        <v>469</v>
      </c>
      <c r="B26" s="1">
        <f>IFERROR(VLOOKUP(25713,'CARGA TOTAL'!$A$2:$C$230,3,0),0)</f>
        <v>5</v>
      </c>
      <c r="C26" s="1"/>
      <c r="D26" s="1"/>
      <c r="E26" s="1"/>
      <c r="F26" s="18">
        <f t="shared" ref="F26" si="1">B26+C26+D26+E26</f>
        <v>5</v>
      </c>
    </row>
    <row r="27" spans="1:11" x14ac:dyDescent="0.25">
      <c r="C27" s="24"/>
      <c r="D27" s="24"/>
      <c r="J27"/>
      <c r="K27"/>
    </row>
    <row r="28" spans="1:11" x14ac:dyDescent="0.25">
      <c r="C28" s="24"/>
      <c r="D28" s="24"/>
      <c r="J28"/>
      <c r="K28"/>
    </row>
    <row r="29" spans="1:11" x14ac:dyDescent="0.25">
      <c r="C29" s="24"/>
      <c r="D29" s="24"/>
      <c r="J29"/>
      <c r="K29"/>
    </row>
    <row r="30" spans="1:11" x14ac:dyDescent="0.25">
      <c r="C30" s="24"/>
      <c r="D30" s="24"/>
      <c r="J30"/>
      <c r="K30"/>
    </row>
    <row r="31" spans="1:11" x14ac:dyDescent="0.25">
      <c r="C31" s="24"/>
      <c r="D31" s="24"/>
      <c r="J31"/>
      <c r="K31"/>
    </row>
    <row r="32" spans="1:11" x14ac:dyDescent="0.25">
      <c r="C32" s="24"/>
      <c r="D32" s="24"/>
      <c r="J32"/>
      <c r="K32"/>
    </row>
    <row r="33" spans="3:11" x14ac:dyDescent="0.25">
      <c r="C33" s="24"/>
      <c r="D33" s="24"/>
      <c r="J33"/>
      <c r="K33"/>
    </row>
    <row r="34" spans="3:11" x14ac:dyDescent="0.25">
      <c r="C34" s="24"/>
      <c r="D34" s="24"/>
      <c r="J34"/>
      <c r="K34"/>
    </row>
    <row r="35" spans="3:11" x14ac:dyDescent="0.25">
      <c r="C35" s="24"/>
      <c r="D35" s="24"/>
      <c r="J35"/>
      <c r="K35"/>
    </row>
  </sheetData>
  <conditionalFormatting sqref="B2:F26">
    <cfRule type="cellIs" dxfId="1299" priority="44" operator="equal">
      <formula>0</formula>
    </cfRule>
  </conditionalFormatting>
  <conditionalFormatting sqref="C2:C26">
    <cfRule type="cellIs" dxfId="1298" priority="39" operator="greaterThan">
      <formula>0</formula>
    </cfRule>
  </conditionalFormatting>
  <conditionalFormatting sqref="D2:D18">
    <cfRule type="cellIs" dxfId="1297" priority="48" operator="greaterThan">
      <formula>0</formula>
    </cfRule>
  </conditionalFormatting>
  <conditionalFormatting sqref="D2:D18">
    <cfRule type="cellIs" dxfId="1296" priority="41" operator="greaterThan">
      <formula>0</formula>
    </cfRule>
  </conditionalFormatting>
  <conditionalFormatting sqref="D4">
    <cfRule type="cellIs" dxfId="1295" priority="47" operator="greaterThan">
      <formula>0</formula>
    </cfRule>
  </conditionalFormatting>
  <conditionalFormatting sqref="E2:E26">
    <cfRule type="cellIs" dxfId="1294" priority="40" operator="greaterThan">
      <formula>0</formula>
    </cfRule>
  </conditionalFormatting>
  <conditionalFormatting sqref="F2:F26">
    <cfRule type="cellIs" dxfId="1293" priority="33" operator="greaterThan">
      <formula>0</formula>
    </cfRule>
  </conditionalFormatting>
  <conditionalFormatting sqref="D19:D26">
    <cfRule type="cellIs" dxfId="1292" priority="29" operator="greaterThan">
      <formula>0</formula>
    </cfRule>
    <cfRule type="cellIs" dxfId="1291" priority="31" operator="greaterThan">
      <formula>0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72"/>
  <sheetViews>
    <sheetView workbookViewId="0"/>
  </sheetViews>
  <sheetFormatPr defaultRowHeight="15" x14ac:dyDescent="0.25"/>
  <cols>
    <col min="1" max="1" width="50.7109375" style="7" customWidth="1" collapsed="1"/>
    <col min="7" max="7" width="12.28515625" customWidth="1" collapsed="1"/>
    <col min="8" max="8" width="50.7109375" customWidth="1" collapsed="1"/>
    <col min="14" max="14" width="13.5703125" customWidth="1" collapsed="1"/>
  </cols>
  <sheetData>
    <row r="1" spans="1:12" ht="20.25" x14ac:dyDescent="0.25">
      <c r="A1" s="6" t="s">
        <v>95</v>
      </c>
      <c r="B1" s="2" t="s">
        <v>56</v>
      </c>
      <c r="C1" s="3" t="s">
        <v>0</v>
      </c>
      <c r="D1" s="4" t="s">
        <v>1</v>
      </c>
      <c r="E1" s="5" t="s">
        <v>2</v>
      </c>
      <c r="F1" s="25" t="s">
        <v>96</v>
      </c>
      <c r="G1" s="26">
        <f ca="1">TODAY()</f>
        <v>45793</v>
      </c>
      <c r="H1" s="6"/>
      <c r="I1" s="2" t="s">
        <v>56</v>
      </c>
      <c r="J1" s="3" t="s">
        <v>0</v>
      </c>
      <c r="K1" s="4" t="s">
        <v>1</v>
      </c>
      <c r="L1" s="5" t="s">
        <v>2</v>
      </c>
    </row>
    <row r="2" spans="1:12" ht="15.75" x14ac:dyDescent="0.25">
      <c r="A2" s="12" t="s">
        <v>3</v>
      </c>
      <c r="B2" s="1">
        <f>IFERROR(VLOOKUP(1,'CARGA TOTAL'!$A$2:$C$230,3,0),0)</f>
        <v>22</v>
      </c>
      <c r="C2" s="1">
        <f>IFERROR(VLOOKUP(2,'CARGA TOTAL'!$A$2:$C$230,3,0),0)</f>
        <v>0</v>
      </c>
      <c r="D2" s="1">
        <f>IFERROR(VLOOKUP(3,'CARGA TOTAL'!$A$2:$C$230,3,0),0)</f>
        <v>0</v>
      </c>
      <c r="E2" s="1">
        <f>IFERROR(VLOOKUP(282,'CARGA TOTAL'!$A$2:$C$230,3,0),0)</f>
        <v>168</v>
      </c>
      <c r="F2" s="27"/>
      <c r="G2" s="27"/>
      <c r="H2" s="12" t="s">
        <v>31</v>
      </c>
      <c r="I2" s="1">
        <f>IFERROR(VLOOKUP(1125,'CARGA TOTAL'!$A$2:$C$230,3,0),0)</f>
        <v>0</v>
      </c>
      <c r="J2" s="1">
        <f>IFERROR(VLOOKUP(1126,'CARGA TOTAL'!$A$2:$C$230,3,0),0)</f>
        <v>0</v>
      </c>
      <c r="K2" s="1">
        <f>IFERROR(VLOOKUP(1127,'CARGA TOTAL'!$A$2:$C$230,3,0),0)</f>
        <v>0</v>
      </c>
      <c r="L2" s="1">
        <f>IFERROR(VLOOKUP(1128,'CARGA TOTAL'!$A$2:$C$230,3,0),0)</f>
        <v>0</v>
      </c>
    </row>
    <row r="3" spans="1:12" ht="15.75" x14ac:dyDescent="0.25">
      <c r="A3" s="12" t="s">
        <v>4</v>
      </c>
      <c r="B3" s="1">
        <f>IFERROR(VLOOKUP(5,'CARGA TOTAL'!$A$2:$C$230,3,0),0)</f>
        <v>28</v>
      </c>
      <c r="C3" s="1">
        <f>IFERROR(VLOOKUP(6,'CARGA TOTAL'!$A$2:$C$230,3,0),0)</f>
        <v>0</v>
      </c>
      <c r="D3" s="1">
        <f>IFERROR(VLOOKUP(7,'CARGA TOTAL'!$A$2:$C$230,3,0),0)</f>
        <v>0</v>
      </c>
      <c r="E3" s="1">
        <f>IFERROR(VLOOKUP(258,'CARGA TOTAL'!$A$2:$C$230,3,0),0)</f>
        <v>245</v>
      </c>
      <c r="F3" s="27"/>
      <c r="G3" s="27"/>
      <c r="H3" s="12" t="s">
        <v>32</v>
      </c>
      <c r="I3" s="1">
        <f>IFERROR(VLOOKUP(1133,'CARGA TOTAL'!$A$2:$C$230,3,0),0)</f>
        <v>0</v>
      </c>
      <c r="J3" s="1">
        <f>IFERROR(VLOOKUP(1134,'CARGA TOTAL'!$A$2:$C$230,3,0),0)</f>
        <v>0</v>
      </c>
      <c r="K3" s="1">
        <f>IFERROR(VLOOKUP(1135,'CARGA TOTAL'!$A$2:$C$230,3,0),0)</f>
        <v>0</v>
      </c>
      <c r="L3" s="1">
        <f>IFERROR(VLOOKUP(1136,'CARGA TOTAL'!$A$2:$C$230,3,0),0)</f>
        <v>0</v>
      </c>
    </row>
    <row r="4" spans="1:12" ht="15.75" x14ac:dyDescent="0.25">
      <c r="A4" s="12" t="s">
        <v>5</v>
      </c>
      <c r="B4" s="1">
        <f>IFERROR(VLOOKUP(13,'CARGA TOTAL'!$A$2:$C$230,3,0),0)</f>
        <v>0</v>
      </c>
      <c r="C4" s="1">
        <f>IFERROR(VLOOKUP(14,'CARGA TOTAL'!$A$2:$C$230,3,0),0)</f>
        <v>0</v>
      </c>
      <c r="D4" s="1">
        <f>IFERROR(VLOOKUP(15,'CARGA TOTAL'!$A$2:$C$230,3,0),0)</f>
        <v>0</v>
      </c>
      <c r="E4" s="1">
        <f>IFERROR(VLOOKUP(289,'CARGA TOTAL'!$A$2:$C$230,3,0),0)</f>
        <v>0</v>
      </c>
      <c r="F4" s="27"/>
      <c r="G4" s="27"/>
      <c r="H4" s="12" t="s">
        <v>33</v>
      </c>
      <c r="I4" s="1">
        <f>IFERROR(VLOOKUP(1105,'CARGA TOTAL'!$A$2:$C$230,3,0),0)</f>
        <v>0</v>
      </c>
      <c r="J4" s="1">
        <f>IFERROR(VLOOKUP(1106,'CARGA TOTAL'!$A$2:$C$230,3,0),0)</f>
        <v>0</v>
      </c>
      <c r="K4" s="1">
        <f>IFERROR(VLOOKUP(1107,'CARGA TOTAL'!$A$2:$C$230,3,0),0)</f>
        <v>0</v>
      </c>
      <c r="L4" s="1">
        <f>IFERROR(VLOOKUP(1108,'CARGA TOTAL'!$A$2:$C$230,3,0),0)</f>
        <v>0</v>
      </c>
    </row>
    <row r="5" spans="1:12" ht="15.75" x14ac:dyDescent="0.25">
      <c r="A5" s="12" t="s">
        <v>6</v>
      </c>
      <c r="B5" s="1">
        <f>IFERROR(VLOOKUP(267,'CARGA TOTAL'!$A$2:$C$230,3,0),0)</f>
        <v>0</v>
      </c>
      <c r="C5" s="1">
        <f>IFERROR(VLOOKUP(268,'CARGA TOTAL'!$A$2:$C$230,3,0),0)</f>
        <v>0</v>
      </c>
      <c r="D5" s="1">
        <f>IFERROR(VLOOKUP(270,'CARGA TOTAL'!$A$2:$C$230,3,0),0)</f>
        <v>0</v>
      </c>
      <c r="E5" s="1">
        <f>IFERROR(VLOOKUP(269,'CARGA TOTAL'!$A$2:$C$230,3,0),0)</f>
        <v>0</v>
      </c>
      <c r="F5" s="27"/>
      <c r="G5" s="27"/>
      <c r="H5" s="12" t="s">
        <v>34</v>
      </c>
      <c r="I5" s="1">
        <f>IFERROR(VLOOKUP(1109,'CARGA TOTAL'!$A$2:$C$230,3,0),0)</f>
        <v>1</v>
      </c>
      <c r="J5" s="1">
        <f>IFERROR(VLOOKUP(1110,'CARGA TOTAL'!$A$2:$C$230,3,0),0)</f>
        <v>0</v>
      </c>
      <c r="K5" s="1">
        <f>IFERROR(VLOOKUP(1111,'CARGA TOTAL'!$A$2:$C$230,3,0),0)</f>
        <v>0</v>
      </c>
      <c r="L5" s="1">
        <f>IFERROR(VLOOKUP(1112,'CARGA TOTAL'!$A$2:$C$230,3,0),0)</f>
        <v>0</v>
      </c>
    </row>
    <row r="6" spans="1:12" ht="15.75" x14ac:dyDescent="0.25">
      <c r="A6" s="12" t="s">
        <v>7</v>
      </c>
      <c r="B6" s="1">
        <f>IFERROR(VLOOKUP(17,'CARGA TOTAL'!$A$2:$C$230,3,0),0)</f>
        <v>0</v>
      </c>
      <c r="C6" s="1">
        <f>IFERROR(VLOOKUP(18,'CARGA TOTAL'!$A$2:$C$230,3,0),0)</f>
        <v>0</v>
      </c>
      <c r="D6" s="1">
        <f>IFERROR(VLOOKUP(19,'CARGA TOTAL'!$A$2:$C$230,3,0),0)</f>
        <v>0</v>
      </c>
      <c r="E6" s="1">
        <f>IFERROR(VLOOKUP(290,'CARGA TOTAL'!$A$2:$C$230,3,0),0)</f>
        <v>0</v>
      </c>
      <c r="F6" s="27"/>
      <c r="G6" s="27"/>
      <c r="H6" s="12" t="s">
        <v>69</v>
      </c>
      <c r="I6" s="1">
        <f>IFERROR(VLOOKUP(1113,'CARGA TOTAL'!$A$2:$C$230,3,0),0)</f>
        <v>0</v>
      </c>
      <c r="J6" s="1">
        <f>IFERROR(VLOOKUP(1114,'CARGA TOTAL'!$A$2:$C$230,3,0),0)</f>
        <v>0</v>
      </c>
      <c r="K6" s="1">
        <f>IFERROR(VLOOKUP(1115,'CARGA TOTAL'!$A$2:$C$230,3,0),0)</f>
        <v>0</v>
      </c>
      <c r="L6" s="1">
        <f>IFERROR(VLOOKUP(1116,'CARGA TOTAL'!$A$2:$C$230,3,0),0)</f>
        <v>0</v>
      </c>
    </row>
    <row r="7" spans="1:12" ht="15.75" x14ac:dyDescent="0.25">
      <c r="A7" s="12" t="s">
        <v>8</v>
      </c>
      <c r="B7" s="1">
        <f>IFERROR(VLOOKUP(23,'CARGA TOTAL'!$A$2:$C$230,3,0),0)</f>
        <v>6</v>
      </c>
      <c r="C7" s="1">
        <f>IFERROR(VLOOKUP(24,'CARGA TOTAL'!$A$2:$C$230,3,0),0)</f>
        <v>0</v>
      </c>
      <c r="D7" s="1">
        <f>IFERROR(VLOOKUP(25,'CARGA TOTAL'!$A$2:$C$230,3,0),0)</f>
        <v>0</v>
      </c>
      <c r="E7" s="1">
        <f>IFERROR(VLOOKUP(291,'CARGA TOTAL'!$A$2:$C$230,3,0),0)</f>
        <v>6</v>
      </c>
      <c r="F7" s="27"/>
      <c r="G7" s="27"/>
      <c r="H7" s="12" t="s">
        <v>70</v>
      </c>
      <c r="I7" s="1">
        <f>IFERROR(VLOOKUP(1117,'CARGA TOTAL'!$A$2:$C$230,3,0),0)</f>
        <v>0</v>
      </c>
      <c r="J7" s="1">
        <f>IFERROR(VLOOKUP(1118,'CARGA TOTAL'!$A$2:$C$230,3,0),0)</f>
        <v>0</v>
      </c>
      <c r="K7" s="1">
        <f>IFERROR(VLOOKUP(1119,'CARGA TOTAL'!$A$2:$C$230,3,0),0)</f>
        <v>0</v>
      </c>
      <c r="L7" s="1">
        <f>IFERROR(VLOOKUP(1120,'CARGA TOTAL'!$A$2:$C$230,3,0),0)</f>
        <v>0</v>
      </c>
    </row>
    <row r="8" spans="1:12" ht="15.75" x14ac:dyDescent="0.25">
      <c r="A8" s="12" t="s">
        <v>9</v>
      </c>
      <c r="B8" s="1">
        <f>IFERROR(VLOOKUP(27,'CARGA TOTAL'!$A$2:$C$230,3,0),0)</f>
        <v>0</v>
      </c>
      <c r="C8" s="1">
        <f>IFERROR(VLOOKUP(28,'CARGA TOTAL'!$A$2:$C$230,3,0),0)</f>
        <v>0</v>
      </c>
      <c r="D8" s="1">
        <f>IFERROR(VLOOKUP(29,'CARGA TOTAL'!$A$2:$C$230,3,0),0)</f>
        <v>0</v>
      </c>
      <c r="E8" s="1">
        <f>IFERROR(VLOOKUP(292,'CARGA TOTAL'!$A$2:$C$230,3,0),0)</f>
        <v>0</v>
      </c>
      <c r="F8" s="27"/>
      <c r="G8" s="27"/>
      <c r="H8" s="12" t="s">
        <v>35</v>
      </c>
      <c r="I8" s="1">
        <f>IFERROR(VLOOKUP(1121,'CARGA TOTAL'!$A$2:$C$230,3,0),0)</f>
        <v>0</v>
      </c>
      <c r="J8" s="1">
        <f>IFERROR(VLOOKUP(1122,'CARGA TOTAL'!$A$2:$C$230,3,0),0)</f>
        <v>0</v>
      </c>
      <c r="K8" s="1">
        <f>IFERROR(VLOOKUP(1123,'CARGA TOTAL'!$A$2:$C$230,3,0),0)</f>
        <v>0</v>
      </c>
      <c r="L8" s="1">
        <f>IFERROR(VLOOKUP(1124,'CARGA TOTAL'!$A$2:$C$230,3,0),0)</f>
        <v>0</v>
      </c>
    </row>
    <row r="9" spans="1:12" ht="15.75" x14ac:dyDescent="0.25">
      <c r="A9" s="12" t="s">
        <v>10</v>
      </c>
      <c r="B9" s="1">
        <f>IFERROR(VLOOKUP(227,'CARGA TOTAL'!$A$2:$C$230,3,0),0)</f>
        <v>0</v>
      </c>
      <c r="C9" s="1">
        <f>IFERROR(VLOOKUP(228,'CARGA TOTAL'!$A$2:$C$230,3,0),0)</f>
        <v>0</v>
      </c>
      <c r="D9" s="1">
        <f>IFERROR(VLOOKUP(229,'CARGA TOTAL'!$A$2:$C$230,3,0),0)</f>
        <v>0</v>
      </c>
      <c r="E9" s="1">
        <f>IFERROR(VLOOKUP(230,'CARGA TOTAL'!$A$2:$C$230,3,0),0)</f>
        <v>33</v>
      </c>
      <c r="F9" s="27"/>
      <c r="G9" s="27"/>
      <c r="H9" s="12" t="s">
        <v>36</v>
      </c>
      <c r="I9" s="1">
        <f>IFERROR(VLOOKUP(1129,'CARGA TOTAL'!$A$2:$C$230,3,0),0)</f>
        <v>0</v>
      </c>
      <c r="J9" s="1">
        <f>IFERROR(VLOOKUP(1130,'CARGA TOTAL'!$A$2:$C$230,3,0),0)</f>
        <v>0</v>
      </c>
      <c r="K9" s="1">
        <f>IFERROR(VLOOKUP(1131,'CARGA TOTAL'!$A$2:$C$230,3,0),0)</f>
        <v>0</v>
      </c>
      <c r="L9" s="1">
        <f>IFERROR(VLOOKUP(1132,'CARGA TOTAL'!$A$2:$C$230,3,0),0)</f>
        <v>0</v>
      </c>
    </row>
    <row r="10" spans="1:12" ht="15.75" x14ac:dyDescent="0.25">
      <c r="A10" s="12" t="s">
        <v>81</v>
      </c>
      <c r="B10" s="1">
        <f>IFERROR(VLOOKUP(231,'CARGA TOTAL'!$A$2:$C$230,3,0),0)</f>
        <v>0</v>
      </c>
      <c r="C10" s="1">
        <f>IFERROR(VLOOKUP(232,'CARGA TOTAL'!$A$2:$C$230,3,0),0)</f>
        <v>0</v>
      </c>
      <c r="D10" s="1">
        <f>IFERROR(VLOOKUP(234,'CARGA TOTAL'!$A$2:$C$230,3,0),0)</f>
        <v>0</v>
      </c>
      <c r="E10" s="1">
        <f>IFERROR(VLOOKUP(233,'CARGA TOTAL'!$A$2:$C$230,3,0),0)</f>
        <v>10</v>
      </c>
      <c r="F10" s="27"/>
      <c r="G10" s="27"/>
      <c r="H10" s="12" t="s">
        <v>37</v>
      </c>
      <c r="I10" s="1">
        <f>IFERROR(VLOOKUP(1137,'CARGA TOTAL'!$A$2:$C$230,3,0),0)</f>
        <v>1</v>
      </c>
      <c r="J10" s="1">
        <f>IFERROR(VLOOKUP(1138,'CARGA TOTAL'!$A$2:$C$230,3,0),0)</f>
        <v>0</v>
      </c>
      <c r="K10" s="1">
        <f>IFERROR(VLOOKUP(1139,'CARGA TOTAL'!$A$2:$C$230,3,0),0)</f>
        <v>0</v>
      </c>
      <c r="L10" s="1">
        <f>IFERROR(VLOOKUP(1140,'CARGA TOTAL'!$A$2:$C$230,3,0),0)</f>
        <v>0</v>
      </c>
    </row>
    <row r="11" spans="1:12" ht="15.75" x14ac:dyDescent="0.25">
      <c r="A11" s="12" t="s">
        <v>82</v>
      </c>
      <c r="B11" s="1">
        <f>IFERROR(VLOOKUP(237,'CARGA TOTAL'!$A$2:$C$230,3,0),0)</f>
        <v>0</v>
      </c>
      <c r="C11" s="1">
        <f>IFERROR(VLOOKUP(238,'CARGA TOTAL'!$A$2:$C$230,3,0),0)</f>
        <v>0</v>
      </c>
      <c r="D11" s="1">
        <f>IFERROR(VLOOKUP(240,'CARGA TOTAL'!$A$2:$C$230,3,0),0)</f>
        <v>0</v>
      </c>
      <c r="E11" s="1">
        <f>IFERROR(VLOOKUP(239,'CARGA TOTAL'!$A$2:$C$230,3,0),0)</f>
        <v>14</v>
      </c>
      <c r="F11" s="27"/>
      <c r="G11" s="27"/>
      <c r="H11" s="12" t="s">
        <v>38</v>
      </c>
      <c r="I11" s="1">
        <f>IFERROR(VLOOKUP(1141,'CARGA TOTAL'!$A$2:$C$230,3,0),0)</f>
        <v>0</v>
      </c>
      <c r="J11" s="1">
        <f>IFERROR(VLOOKUP(1142,'CARGA TOTAL'!$A$2:$C$230,3,0),0)</f>
        <v>0</v>
      </c>
      <c r="K11" s="1">
        <f>IFERROR(VLOOKUP(1143,'CARGA TOTAL'!$A$2:$C$230,3,0),0)</f>
        <v>0</v>
      </c>
      <c r="L11" s="1">
        <f>IFERROR(VLOOKUP(1144,'CARGA TOTAL'!$A$2:$C$230,3,0),0)</f>
        <v>0</v>
      </c>
    </row>
    <row r="12" spans="1:12" ht="15.75" x14ac:dyDescent="0.25">
      <c r="A12" s="12" t="s">
        <v>11</v>
      </c>
      <c r="B12" s="1">
        <f>IFERROR(VLOOKUP(25707,'CARGA TOTAL'!$A$2:$C$230,3,0),0)</f>
        <v>0</v>
      </c>
      <c r="C12" s="1">
        <f>IFERROR(VLOOKUP(25708,'CARGA TOTAL'!$A$2:$C$230,3,0),0)</f>
        <v>0</v>
      </c>
      <c r="D12" s="1">
        <f>IFERROR(VLOOKUP(25710,'CARGA TOTAL'!$A$2:$C$230,3,0),0)</f>
        <v>0</v>
      </c>
      <c r="E12" s="1">
        <f>IFERROR(VLOOKUP(25709,'CARGA TOTAL'!$A$2:$C$230,3,0),0)</f>
        <v>2</v>
      </c>
      <c r="F12" s="27"/>
      <c r="G12" s="27"/>
      <c r="H12" s="12" t="s">
        <v>39</v>
      </c>
      <c r="I12" s="1">
        <f>IFERROR(VLOOKUP(1145,'CARGA TOTAL'!$A$2:$C$230,3,0),0)</f>
        <v>0</v>
      </c>
      <c r="J12" s="1">
        <f>IFERROR(VLOOKUP(1146,'CARGA TOTAL'!$A$2:$C$230,3,0),0)</f>
        <v>0</v>
      </c>
      <c r="K12" s="1">
        <f>IFERROR(VLOOKUP(1147,'CARGA TOTAL'!$A$2:$C$230,3,0),0)</f>
        <v>0</v>
      </c>
      <c r="L12" s="1">
        <f>IFERROR(VLOOKUP(1148,'CARGA TOTAL'!$A$2:$C$230,3,0),0)</f>
        <v>0</v>
      </c>
    </row>
    <row r="13" spans="1:12" ht="15.75" x14ac:dyDescent="0.25">
      <c r="A13" s="12" t="s">
        <v>14</v>
      </c>
      <c r="B13" s="1">
        <f>IFERROR(VLOOKUP(25711,'CARGA TOTAL'!$A$2:$C$230,3,0),0)</f>
        <v>6</v>
      </c>
      <c r="C13" s="1"/>
      <c r="D13" s="1"/>
      <c r="E13" s="1"/>
      <c r="F13" s="27"/>
      <c r="G13" s="27"/>
      <c r="H13" s="12" t="s">
        <v>65</v>
      </c>
      <c r="I13" s="1">
        <f>IFERROR(VLOOKUP(1149,'CARGA TOTAL'!$A$2:$C$230,3,0),0)</f>
        <v>0</v>
      </c>
      <c r="J13" s="1">
        <f>IFERROR(VLOOKUP(1150,'CARGA TOTAL'!$A$2:$C$230,3,0),0)</f>
        <v>0</v>
      </c>
      <c r="K13" s="1">
        <f>IFERROR(VLOOKUP(1151,'CARGA TOTAL'!$A$2:$C$230,3,0),0)</f>
        <v>0</v>
      </c>
      <c r="L13" s="1">
        <f>IFERROR(VLOOKUP(1152,'CARGA TOTAL'!$A$2:$C$230,3,0),0)</f>
        <v>0</v>
      </c>
    </row>
    <row r="14" spans="1:12" ht="15.75" x14ac:dyDescent="0.25">
      <c r="A14" s="12" t="s">
        <v>15</v>
      </c>
      <c r="B14" s="1">
        <f>IFERROR(VLOOKUP(35,'CARGA TOTAL'!$A$2:$C$230,3,0),0)</f>
        <v>5</v>
      </c>
      <c r="C14" s="1">
        <f>IFERROR(VLOOKUP(36,'CARGA TOTAL'!$A$2:$C$230,3,0),0)</f>
        <v>0</v>
      </c>
      <c r="D14" s="1">
        <f>IFERROR(VLOOKUP(37,'CARGA TOTAL'!$A$2:$C$230,3,0),0)</f>
        <v>0</v>
      </c>
      <c r="E14" s="1">
        <f>IFERROR(VLOOKUP(294,'CARGA TOTAL'!$A$2:$C$230,3,0),0)</f>
        <v>6</v>
      </c>
      <c r="F14" s="27"/>
      <c r="G14" s="27"/>
      <c r="H14" s="12" t="s">
        <v>40</v>
      </c>
      <c r="I14" s="1">
        <f>IFERROR(VLOOKUP(1153,'CARGA TOTAL'!$A$2:$C$230,3,0),0)</f>
        <v>0</v>
      </c>
      <c r="J14" s="1">
        <f>IFERROR(VLOOKUP(1154,'CARGA TOTAL'!$A$2:$C$230,3,0),0)</f>
        <v>0</v>
      </c>
      <c r="K14" s="1">
        <f>IFERROR(VLOOKUP(1155,'CARGA TOTAL'!$A$2:$C$230,3,0),0)</f>
        <v>0</v>
      </c>
      <c r="L14" s="1">
        <f>IFERROR(VLOOKUP(1156,'CARGA TOTAL'!$A$2:$C$230,3,0),0)</f>
        <v>0</v>
      </c>
    </row>
    <row r="15" spans="1:12" ht="15.75" x14ac:dyDescent="0.25">
      <c r="A15" s="12" t="s">
        <v>16</v>
      </c>
      <c r="B15" s="1">
        <f>IFERROR(VLOOKUP(39,'CARGA TOTAL'!$A$2:$C$230,3,0),0)</f>
        <v>3</v>
      </c>
      <c r="C15" s="1">
        <f>IFERROR(VLOOKUP(40,'CARGA TOTAL'!$A$2:$C$230,3,0),0)</f>
        <v>0</v>
      </c>
      <c r="D15" s="1">
        <f>IFERROR(VLOOKUP(42,'CARGA TOTAL'!$A$2:$C$230,3,0),0)</f>
        <v>0</v>
      </c>
      <c r="E15" s="1">
        <f>IFERROR(VLOOKUP(295,'CARGA TOTAL'!$A$2:$C$230,3,0),0)</f>
        <v>16</v>
      </c>
      <c r="F15" s="27"/>
      <c r="G15" s="27"/>
      <c r="H15" s="12" t="s">
        <v>66</v>
      </c>
      <c r="I15" s="1">
        <f>IFERROR(VLOOKUP(1157,'CARGA TOTAL'!$A$2:$C$230,3,0),0)</f>
        <v>0</v>
      </c>
      <c r="J15" s="1">
        <f>IFERROR(VLOOKUP(1158,'CARGA TOTAL'!$A$2:$C$230,3,0),0)</f>
        <v>0</v>
      </c>
      <c r="K15" s="1">
        <f>IFERROR(VLOOKUP(1159,'CARGA TOTAL'!$A$2:$C$230,3,0),0)</f>
        <v>0</v>
      </c>
      <c r="L15" s="1">
        <f>IFERROR(VLOOKUP(1160,'CARGA TOTAL'!$A$2:$C$230,3,0),0)</f>
        <v>2</v>
      </c>
    </row>
    <row r="16" spans="1:12" ht="15.75" x14ac:dyDescent="0.25">
      <c r="A16" s="12" t="s">
        <v>17</v>
      </c>
      <c r="B16" s="1">
        <f>IFERROR(VLOOKUP(44,'CARGA TOTAL'!$A$2:$C$230,3,0),0)</f>
        <v>3</v>
      </c>
      <c r="C16" s="1">
        <f>IFERROR(VLOOKUP(45,'CARGA TOTAL'!$A$2:$C$230,3,0),0)</f>
        <v>0</v>
      </c>
      <c r="D16" s="1">
        <f>IFERROR(VLOOKUP(46,'CARGA TOTAL'!$A$2:$C$230,3,0),0)</f>
        <v>0</v>
      </c>
      <c r="E16" s="1">
        <f>IFERROR(VLOOKUP(283,'CARGA TOTAL'!$A$2:$C$230,3,0),0)</f>
        <v>29</v>
      </c>
      <c r="F16" s="27"/>
      <c r="G16" s="27"/>
      <c r="H16" s="12" t="s">
        <v>67</v>
      </c>
      <c r="I16" s="1">
        <f>IFERROR(VLOOKUP(1161,'CARGA TOTAL'!$A$2:$C$230,3,0),0)</f>
        <v>0</v>
      </c>
      <c r="J16" s="1">
        <f>IFERROR(VLOOKUP(1162,'CARGA TOTAL'!$A$2:$C$230,3,0),0)</f>
        <v>0</v>
      </c>
      <c r="K16" s="1">
        <f>IFERROR(VLOOKUP(1163,'CARGA TOTAL'!$A$2:$C$230,3,0),0)</f>
        <v>0</v>
      </c>
      <c r="L16" s="1">
        <f>IFERROR(VLOOKUP(1164,'CARGA TOTAL'!$A$2:$C$230,3,0),0)</f>
        <v>0</v>
      </c>
    </row>
    <row r="17" spans="1:12" ht="15.75" x14ac:dyDescent="0.25">
      <c r="A17" s="12" t="s">
        <v>18</v>
      </c>
      <c r="B17" s="1">
        <f>IFERROR(VLOOKUP(48,'CARGA TOTAL'!$A$2:$C$230,3,0),0)</f>
        <v>2</v>
      </c>
      <c r="C17" s="1">
        <f>IFERROR(VLOOKUP(49,'CARGA TOTAL'!$A$2:$C$230,3,0),0)</f>
        <v>0</v>
      </c>
      <c r="D17" s="1">
        <f>IFERROR(VLOOKUP(50,'CARGA TOTAL'!$A$2:$C$230,3,0),0)</f>
        <v>0</v>
      </c>
      <c r="E17" s="1">
        <f>IFERROR(VLOOKUP(298,'CARGA TOTAL'!$A$2:$C$230,3,0),0)</f>
        <v>10</v>
      </c>
      <c r="F17" s="27"/>
      <c r="G17" s="27"/>
      <c r="H17" s="12" t="s">
        <v>68</v>
      </c>
      <c r="I17" s="1">
        <f>IFERROR(VLOOKUP(1165,'CARGA TOTAL'!$A$2:$C$230,3,0),0)</f>
        <v>0</v>
      </c>
      <c r="J17" s="1">
        <f>IFERROR(VLOOKUP(1166,'CARGA TOTAL'!$A$2:$C$230,3,0),0)</f>
        <v>0</v>
      </c>
      <c r="K17" s="1">
        <f>IFERROR(VLOOKUP(1167,'CARGA TOTAL'!$A$2:$C$230,3,0),0)</f>
        <v>0</v>
      </c>
      <c r="L17" s="1">
        <f>IFERROR(VLOOKUP(1168,'CARGA TOTAL'!$A$2:$C$230,3,0),0)</f>
        <v>0</v>
      </c>
    </row>
    <row r="18" spans="1:12" ht="15.75" x14ac:dyDescent="0.25">
      <c r="A18" s="12" t="s">
        <v>19</v>
      </c>
      <c r="B18" s="1">
        <f>IFERROR(VLOOKUP(52,'CARGA TOTAL'!$A$2:$C$230,3,0),0)</f>
        <v>0</v>
      </c>
      <c r="C18" s="1">
        <f>IFERROR(VLOOKUP(53,'CARGA TOTAL'!$A$2:$C$230,3,0),0)</f>
        <v>0</v>
      </c>
      <c r="D18" s="1">
        <f>IFERROR(VLOOKUP(54,'CARGA TOTAL'!$A$2:$C$230,3,0),0)</f>
        <v>0</v>
      </c>
      <c r="E18" s="1">
        <f>IFERROR(VLOOKUP(299,'CARGA TOTAL'!$A$2:$C$230,3,0),0)</f>
        <v>4</v>
      </c>
      <c r="F18" s="27"/>
      <c r="G18" s="27"/>
      <c r="H18" s="12" t="s">
        <v>57</v>
      </c>
      <c r="I18" s="1">
        <f>IFERROR(VLOOKUP(1169,'CARGA TOTAL'!$A$2:$C$230,3,0),0)</f>
        <v>0</v>
      </c>
      <c r="J18" s="1">
        <f>IFERROR(VLOOKUP(1170,'CARGA TOTAL'!$A$2:$C$230,3,0),0)</f>
        <v>0</v>
      </c>
      <c r="K18" s="1">
        <f>IFERROR(VLOOKUP(1171,'CARGA TOTAL'!$A$2:$C$230,3,0),0)</f>
        <v>0</v>
      </c>
      <c r="L18" s="1">
        <f>IFERROR(VLOOKUP(1172,'CARGA TOTAL'!$A$2:$C$230,3,0),0)</f>
        <v>0</v>
      </c>
    </row>
    <row r="19" spans="1:12" ht="15.75" x14ac:dyDescent="0.25">
      <c r="A19" s="12" t="s">
        <v>20</v>
      </c>
      <c r="B19" s="1">
        <f>IFERROR(VLOOKUP(56,'CARGA TOTAL'!$A$2:$C$230,3,0),0)</f>
        <v>1</v>
      </c>
      <c r="C19" s="1">
        <f>IFERROR(VLOOKUP(61,'CARGA TOTAL'!$A$2:$C$230,3,0),0)</f>
        <v>0</v>
      </c>
      <c r="D19" s="1">
        <f>IFERROR(VLOOKUP(58,'CARGA TOTAL'!$A$2:$C$230,3,0),0)</f>
        <v>0</v>
      </c>
      <c r="E19" s="1">
        <f>IFERROR(VLOOKUP(300,'CARGA TOTAL'!$A$2:$C$230,3,0),0)</f>
        <v>5</v>
      </c>
      <c r="F19" s="27"/>
      <c r="G19" s="27"/>
      <c r="H19" s="12" t="s">
        <v>41</v>
      </c>
      <c r="I19" s="1">
        <f>IFERROR(VLOOKUP(1173,'CARGA TOTAL'!$A$2:$C$230,3,0),0)</f>
        <v>0</v>
      </c>
      <c r="J19" s="1">
        <f>IFERROR(VLOOKUP(1174,'CARGA TOTAL'!$A$2:$C$230,3,0),0)</f>
        <v>0</v>
      </c>
      <c r="K19" s="1">
        <f>IFERROR(VLOOKUP(1175,'CARGA TOTAL'!$A$2:$C$230,3,0),0)</f>
        <v>0</v>
      </c>
      <c r="L19" s="1">
        <f>IFERROR(VLOOKUP(1176,'CARGA TOTAL'!$A$2:$C$230,3,0),0)</f>
        <v>0</v>
      </c>
    </row>
    <row r="20" spans="1:12" ht="15.75" x14ac:dyDescent="0.25">
      <c r="A20" s="12" t="s">
        <v>21</v>
      </c>
      <c r="B20" s="1">
        <f>IFERROR(VLOOKUP(60,'CARGA TOTAL'!$A$2:$C$230,3,0),0)</f>
        <v>0</v>
      </c>
      <c r="C20" s="1">
        <f>IFERROR(VLOOKUP(120,'CARGA TOTAL'!$A$2:$C$230,3,0),0)</f>
        <v>0</v>
      </c>
      <c r="D20" s="1">
        <f>IFERROR(VLOOKUP(62,'CARGA TOTAL'!$A$2:$C$230,3,0),0)</f>
        <v>0</v>
      </c>
      <c r="E20" s="1">
        <f>IFERROR(VLOOKUP(301,'CARGA TOTAL'!$A$2:$C$230,3,0),0)</f>
        <v>0</v>
      </c>
      <c r="F20" s="27"/>
      <c r="G20" s="27"/>
      <c r="H20" s="12" t="s">
        <v>64</v>
      </c>
      <c r="I20" s="1">
        <f>IFERROR(VLOOKUP(1249,'CARGA TOTAL'!$A$2:$C$230,3,0),0)</f>
        <v>0</v>
      </c>
      <c r="J20" s="1">
        <f>IFERROR(VLOOKUP(1250,'CARGA TOTAL'!$A$2:$C$230,3,0),0)</f>
        <v>0</v>
      </c>
      <c r="K20" s="1">
        <f>IFERROR(VLOOKUP(1251,'CARGA TOTAL'!$A$2:$C$230,3,0),0)</f>
        <v>0</v>
      </c>
      <c r="L20" s="1">
        <f>IFERROR(VLOOKUP(1252,'CARGA TOTAL'!$A$2:$C$230,3,0),0)</f>
        <v>0</v>
      </c>
    </row>
    <row r="21" spans="1:12" ht="15.75" x14ac:dyDescent="0.25">
      <c r="A21" s="12" t="s">
        <v>22</v>
      </c>
      <c r="B21" s="1">
        <f>IFERROR(VLOOKUP(112,'CARGA TOTAL'!$A$2:$C$230,3,0),0)</f>
        <v>0</v>
      </c>
      <c r="C21" s="1">
        <f>IFERROR(VLOOKUP(113,'CARGA TOTAL'!$A$2:$C$230,3,0),0)</f>
        <v>0</v>
      </c>
      <c r="D21" s="1">
        <f>IFERROR(VLOOKUP(114,'CARGA TOTAL'!$A$2:$C$230,3,0),0)</f>
        <v>0</v>
      </c>
      <c r="E21" s="1">
        <f>IFERROR(VLOOKUP(296,'CARGA TOTAL'!$A$2:$C$230,3,0),0)</f>
        <v>0</v>
      </c>
      <c r="F21" s="27"/>
      <c r="G21" s="27"/>
      <c r="H21" s="12" t="s">
        <v>59</v>
      </c>
      <c r="I21" s="1">
        <f>IFERROR(VLOOKUP(1177,'CARGA TOTAL'!$A$2:$C$230,3,0),0)</f>
        <v>0</v>
      </c>
      <c r="J21" s="1">
        <f>IFERROR(VLOOKUP(1178,'CARGA TOTAL'!$A$2:$C$230,3,0),0)</f>
        <v>0</v>
      </c>
      <c r="K21" s="1">
        <f>IFERROR(VLOOKUP(1179,'CARGA TOTAL'!$A$2:$C$230,3,0),0)</f>
        <v>0</v>
      </c>
      <c r="L21" s="1">
        <f>IFERROR(VLOOKUP(1180,'CARGA TOTAL'!$A$2:$C$230,3,0),0)</f>
        <v>0</v>
      </c>
    </row>
    <row r="22" spans="1:12" ht="15.75" x14ac:dyDescent="0.25">
      <c r="A22" s="12" t="s">
        <v>23</v>
      </c>
      <c r="B22" s="1">
        <f>IFERROR(VLOOKUP(116,'CARGA TOTAL'!$A$2:$C$230,3,0),0)</f>
        <v>0</v>
      </c>
      <c r="C22" s="1">
        <f>IFERROR(VLOOKUP(117,'CARGA TOTAL'!$A$2:$C$230,3,0),0)</f>
        <v>0</v>
      </c>
      <c r="D22" s="1">
        <f>IFERROR(VLOOKUP(118,'CARGA TOTAL'!$A$2:$C$230,3,0),0)</f>
        <v>0</v>
      </c>
      <c r="E22" s="1">
        <f>IFERROR(VLOOKUP(293,'CARGA TOTAL'!$A$2:$C$230,3,0),0)</f>
        <v>0</v>
      </c>
      <c r="F22" s="27"/>
      <c r="G22" s="27"/>
      <c r="H22" s="12" t="s">
        <v>58</v>
      </c>
      <c r="I22" s="1">
        <f>IFERROR(VLOOKUP(1181,'CARGA TOTAL'!$A$2:$C$230,3,0),0)</f>
        <v>0</v>
      </c>
      <c r="J22" s="1">
        <f>IFERROR(VLOOKUP(1182,'CARGA TOTAL'!$A$2:$C$230,3,0),0)</f>
        <v>0</v>
      </c>
      <c r="K22" s="1">
        <f>IFERROR(VLOOKUP(1183,'CARGA TOTAL'!$A$2:$C$230,3,0),0)</f>
        <v>0</v>
      </c>
      <c r="L22" s="1">
        <f>IFERROR(VLOOKUP(1184,'CARGA TOTAL'!$A$2:$C$230,3,0),0)</f>
        <v>0</v>
      </c>
    </row>
    <row r="23" spans="1:12" ht="15.75" x14ac:dyDescent="0.25">
      <c r="A23" s="12" t="s">
        <v>24</v>
      </c>
      <c r="B23" s="1">
        <f>IFERROR(VLOOKUP(963,'CARGA TOTAL'!$A$2:$C$230,3,0),0)</f>
        <v>1</v>
      </c>
      <c r="C23" s="1">
        <f>IFERROR(VLOOKUP(965,'CARGA TOTAL'!$A$2:$C$230,3,0),0)</f>
        <v>0</v>
      </c>
      <c r="D23" s="1">
        <f>IFERROR(VLOOKUP(966,'CARGA TOTAL'!$A$2:$C$230,3,0),0)</f>
        <v>1</v>
      </c>
      <c r="E23" s="1">
        <f>IFERROR(VLOOKUP(964,'CARGA TOTAL'!$A$2:$C$230,3,0),0)</f>
        <v>6</v>
      </c>
      <c r="F23" s="27"/>
      <c r="G23" s="27"/>
      <c r="H23" s="12" t="s">
        <v>60</v>
      </c>
      <c r="I23" s="1">
        <f>IFERROR(VLOOKUP(1185,'CARGA TOTAL'!$A$2:$C$230,3,0),0)</f>
        <v>0</v>
      </c>
      <c r="J23" s="1">
        <f>IFERROR(VLOOKUP(1186,'CARGA TOTAL'!$A$2:$C$230,3,0),0)</f>
        <v>0</v>
      </c>
      <c r="K23" s="1">
        <f>IFERROR(VLOOKUP(1187,'CARGA TOTAL'!$A$2:$C$230,3,0),0)</f>
        <v>0</v>
      </c>
      <c r="L23" s="1">
        <f>IFERROR(VLOOKUP(1188,'CARGA TOTAL'!$A$2:$C$230,3,0),0)</f>
        <v>0</v>
      </c>
    </row>
    <row r="24" spans="1:12" ht="15.75" x14ac:dyDescent="0.25">
      <c r="A24" s="12" t="s">
        <v>25</v>
      </c>
      <c r="B24" s="1">
        <f>IFERROR(VLOOKUP(2042,'CARGA TOTAL'!$A$2:$C$230,3,0),0)</f>
        <v>0</v>
      </c>
      <c r="C24" s="1">
        <f>IFERROR(VLOOKUP(2041,'CARGA TOTAL'!$A$2:$C$230,3,0),0)</f>
        <v>0</v>
      </c>
      <c r="D24" s="1">
        <f>IFERROR(VLOOKUP(2043,'CARGA TOTAL'!$A$2:$C$230,3,0),0)</f>
        <v>0</v>
      </c>
      <c r="E24" s="1">
        <f>IFERROR(VLOOKUP(2040,'CARGA TOTAL'!$A$2:$C$230,3,0),0)</f>
        <v>0</v>
      </c>
      <c r="F24" s="27"/>
      <c r="G24" s="27"/>
      <c r="H24" s="12" t="s">
        <v>61</v>
      </c>
      <c r="I24" s="1">
        <f>IFERROR(VLOOKUP(1189,'CARGA TOTAL'!$A$2:$C$230,3,0),0)</f>
        <v>0</v>
      </c>
      <c r="J24" s="1">
        <f>IFERROR(VLOOKUP(1190,'CARGA TOTAL'!$A$2:$C$230,3,0),0)</f>
        <v>0</v>
      </c>
      <c r="K24" s="1">
        <f>IFERROR(VLOOKUP(1191,'CARGA TOTAL'!$A$2:$C$230,3,0),0)</f>
        <v>0</v>
      </c>
      <c r="L24" s="1">
        <f>IFERROR(VLOOKUP(1192,'CARGA TOTAL'!$A$2:$C$230,3,0),0)</f>
        <v>0</v>
      </c>
    </row>
    <row r="25" spans="1:12" ht="15.75" x14ac:dyDescent="0.25">
      <c r="A25" s="12" t="s">
        <v>26</v>
      </c>
      <c r="B25" s="1">
        <f>IFERROR(VLOOKUP(2045,'CARGA TOTAL'!$A$2:$C$230,3,0),0)</f>
        <v>0</v>
      </c>
      <c r="C25" s="1">
        <f>IFERROR(VLOOKUP(2046,'CARGA TOTAL'!$A$2:$C$230,3,0),0)</f>
        <v>0</v>
      </c>
      <c r="D25" s="1">
        <f>IFERROR(VLOOKUP(2047,'CARGA TOTAL'!$A$2:$C$230,3,0),0)</f>
        <v>0</v>
      </c>
      <c r="E25" s="1">
        <f>IFERROR(VLOOKUP(2048,'CARGA TOTAL'!$A$2:$C$230,3,0),0)</f>
        <v>0</v>
      </c>
      <c r="F25" s="27"/>
      <c r="G25" s="27"/>
      <c r="H25" s="12" t="s">
        <v>62</v>
      </c>
      <c r="I25" s="1">
        <f>IFERROR(VLOOKUP(1193,'CARGA TOTAL'!$A$2:$C$230,3,0),0)</f>
        <v>0</v>
      </c>
      <c r="J25" s="1">
        <f>IFERROR(VLOOKUP(1194,'CARGA TOTAL'!$A$2:$C$230,3,0),0)</f>
        <v>0</v>
      </c>
      <c r="K25" s="1">
        <f>IFERROR(VLOOKUP(1195,'CARGA TOTAL'!$A$2:$C$230,3,0),0)</f>
        <v>0</v>
      </c>
      <c r="L25" s="1">
        <f>IFERROR(VLOOKUP(1196,'CARGA TOTAL'!$A$2:$C$230,3,0),0)</f>
        <v>0</v>
      </c>
    </row>
    <row r="26" spans="1:12" ht="15.75" x14ac:dyDescent="0.25">
      <c r="A26" s="12" t="s">
        <v>27</v>
      </c>
      <c r="B26" s="1">
        <f>IFERROR(VLOOKUP(2050,'CARGA TOTAL'!$A$2:$C$230,3,0),0)</f>
        <v>0</v>
      </c>
      <c r="C26" s="1">
        <f>IFERROR(VLOOKUP(2051,'CARGA TOTAL'!$A$2:$C$230,3,0),0)</f>
        <v>0</v>
      </c>
      <c r="D26" s="1">
        <f>IFERROR(VLOOKUP(2052,'CARGA TOTAL'!$A$2:$C$230,3,0),0)</f>
        <v>0</v>
      </c>
      <c r="E26" s="1">
        <f>IFERROR(VLOOKUP(2053,'CARGA TOTAL'!$A$2:$C$230,3,0),0)</f>
        <v>0</v>
      </c>
      <c r="F26" s="27"/>
      <c r="G26" s="27"/>
      <c r="H26" s="12" t="s">
        <v>42</v>
      </c>
      <c r="I26" s="1">
        <f>IFERROR(VLOOKUP(1197,'CARGA TOTAL'!$A$2:$C$230,3,0),0)</f>
        <v>0</v>
      </c>
      <c r="J26" s="1">
        <f>IFERROR(VLOOKUP(1198,'CARGA TOTAL'!$A$2:$C$230,3,0),0)</f>
        <v>0</v>
      </c>
      <c r="K26" s="1">
        <f>IFERROR(VLOOKUP(1199,'CARGA TOTAL'!$A$2:$C$230,3,0),0)</f>
        <v>0</v>
      </c>
      <c r="L26" s="1">
        <f>IFERROR(VLOOKUP(1200,'CARGA TOTAL'!$A$2:$C$230,3,0),0)</f>
        <v>0</v>
      </c>
    </row>
    <row r="27" spans="1:12" ht="15.75" x14ac:dyDescent="0.25">
      <c r="A27" s="12" t="s">
        <v>28</v>
      </c>
      <c r="B27" s="1">
        <f>IFERROR(VLOOKUP(216,'CARGA TOTAL'!$A$2:$C$230,3,0),0)</f>
        <v>0</v>
      </c>
      <c r="C27" s="1">
        <f>IFERROR(VLOOKUP(217,'CARGA TOTAL'!$A$2:$C$230,3,0),0)</f>
        <v>0</v>
      </c>
      <c r="D27" s="1">
        <f>IFERROR(VLOOKUP(218,'CARGA TOTAL'!$A$2:$C$230,3,0),0)</f>
        <v>0</v>
      </c>
      <c r="E27" s="1">
        <f>IFERROR(VLOOKUP(305,'CARGA TOTAL'!$A$2:$C$230,3,0),0)</f>
        <v>0</v>
      </c>
      <c r="F27" s="27"/>
      <c r="G27" s="27"/>
      <c r="H27" s="12" t="s">
        <v>63</v>
      </c>
      <c r="I27" s="1">
        <f>IFERROR(VLOOKUP(1201,'CARGA TOTAL'!$A$2:$C$230,3,0),0)</f>
        <v>0</v>
      </c>
      <c r="J27" s="1">
        <f>IFERROR(VLOOKUP(1202,'CARGA TOTAL'!$A$2:$C$230,3,0),0)</f>
        <v>0</v>
      </c>
      <c r="K27" s="1">
        <f>IFERROR(VLOOKUP(1203,'CARGA TOTAL'!$A$2:$C$230,3,0),0)</f>
        <v>0</v>
      </c>
      <c r="L27" s="1">
        <f>IFERROR(VLOOKUP(1204,'CARGA TOTAL'!$A$2:$C$230,3,0),0)</f>
        <v>1</v>
      </c>
    </row>
    <row r="28" spans="1:12" ht="15.75" x14ac:dyDescent="0.25">
      <c r="A28" s="12" t="s">
        <v>29</v>
      </c>
      <c r="B28" s="1">
        <f>IFERROR(VLOOKUP(100,'CARGA TOTAL'!$A$2:$C$230,3,0),0)</f>
        <v>2</v>
      </c>
      <c r="C28" s="1">
        <f>IFERROR(VLOOKUP(101,'CARGA TOTAL'!$A$2:$C$230,3,0),0)</f>
        <v>0</v>
      </c>
      <c r="D28" s="1">
        <f>IFERROR(VLOOKUP(102,'CARGA TOTAL'!$A$2:$C$230,3,0),0)</f>
        <v>0</v>
      </c>
      <c r="E28" s="1">
        <f>IFERROR(VLOOKUP(306,'CARGA TOTAL'!$A$2:$C$230,3,0),0)</f>
        <v>0</v>
      </c>
      <c r="F28" s="27"/>
      <c r="G28" s="27"/>
      <c r="H28" s="12" t="s">
        <v>43</v>
      </c>
      <c r="I28" s="1">
        <f>IFERROR(VLOOKUP(1205,'CARGA TOTAL'!$A$2:$C$230,3,0),0)</f>
        <v>0</v>
      </c>
      <c r="J28" s="1">
        <f>IFERROR(VLOOKUP(1206,'CARGA TOTAL'!$A$2:$C$230,3,0),0)</f>
        <v>0</v>
      </c>
      <c r="K28" s="1">
        <f>IFERROR(VLOOKUP(1207,'CARGA TOTAL'!$A$2:$C$230,3,0),0)</f>
        <v>0</v>
      </c>
      <c r="L28" s="1">
        <f>IFERROR(VLOOKUP(1208,'CARGA TOTAL'!$A$2:$C$230,3,0),0)</f>
        <v>0</v>
      </c>
    </row>
    <row r="29" spans="1:12" ht="15.75" x14ac:dyDescent="0.25">
      <c r="A29" s="12" t="s">
        <v>30</v>
      </c>
      <c r="B29" s="1">
        <f>IFERROR(VLOOKUP(104,'CARGA TOTAL'!$A$2:$C$230,3,0),0)</f>
        <v>0</v>
      </c>
      <c r="C29" s="1">
        <f>IFERROR(VLOOKUP(105,'CARGA TOTAL'!$A$2:$C$230,3,0),0)</f>
        <v>0</v>
      </c>
      <c r="D29" s="1">
        <f>IFERROR(VLOOKUP(106,'CARGA TOTAL'!$A$2:$C$230,3,0),0)</f>
        <v>0</v>
      </c>
      <c r="E29" s="1">
        <f>IFERROR(VLOOKUP(307,'CARGA TOTAL'!$A$2:$C$230,3,0),0)</f>
        <v>2</v>
      </c>
      <c r="F29" s="27"/>
      <c r="G29" s="27"/>
      <c r="H29" s="12" t="s">
        <v>44</v>
      </c>
      <c r="I29" s="1">
        <f>IFERROR(VLOOKUP(1213,'CARGA TOTAL'!$A$2:$C$230,3,0),0)</f>
        <v>0</v>
      </c>
      <c r="J29" s="1">
        <f>IFERROR(VLOOKUP(1214,'CARGA TOTAL'!$A$2:$C$230,3,0),0)</f>
        <v>0</v>
      </c>
      <c r="K29" s="1">
        <f>IFERROR(VLOOKUP(1215,'CARGA TOTAL'!$A$2:$C$230,3,0),0)</f>
        <v>0</v>
      </c>
      <c r="L29" s="1">
        <f>IFERROR(VLOOKUP(1216,'CARGA TOTAL'!$A$2:$C$230,3,0),0)</f>
        <v>1</v>
      </c>
    </row>
    <row r="30" spans="1:12" ht="15.75" x14ac:dyDescent="0.25">
      <c r="A30" s="12" t="s">
        <v>83</v>
      </c>
      <c r="B30" s="1">
        <f>IFERROR(VLOOKUP(400,'CARGA TOTAL'!$A$2:$C$230,3,0),0)</f>
        <v>0</v>
      </c>
      <c r="C30" s="1">
        <f>IFERROR(VLOOKUP(401,'CARGA TOTAL'!$A$2:$C$230,3,0),0)</f>
        <v>0</v>
      </c>
      <c r="D30" s="1">
        <f>IFERROR(VLOOKUP(402,'CARGA TOTAL'!$A$2:$C$230,3,0),0)</f>
        <v>0</v>
      </c>
      <c r="E30" s="1">
        <f>IFERROR(VLOOKUP(403,'CARGA TOTAL'!$A$2:$C$230,3,0),0)</f>
        <v>0</v>
      </c>
      <c r="F30" s="27"/>
      <c r="G30" s="27"/>
      <c r="H30" s="12" t="s">
        <v>45</v>
      </c>
      <c r="I30" s="1">
        <f>IFERROR(VLOOKUP(1209,'CARGA TOTAL'!$A$2:$C$230,3,0),0)</f>
        <v>0</v>
      </c>
      <c r="J30" s="1">
        <f>IFERROR(VLOOKUP(1210,'CARGA TOTAL'!$A$2:$C$230,3,0),0)</f>
        <v>0</v>
      </c>
      <c r="K30" s="1">
        <f>IFERROR(VLOOKUP(1211,'CARGA TOTAL'!$A$2:$C$230,3,0),0)</f>
        <v>0</v>
      </c>
      <c r="L30" s="1">
        <f>IFERROR(VLOOKUP(1212,'CARGA TOTAL'!$A$2:$C$230,3,0),0)</f>
        <v>0</v>
      </c>
    </row>
    <row r="31" spans="1:12" ht="15.75" x14ac:dyDescent="0.25">
      <c r="A31" s="12" t="s">
        <v>71</v>
      </c>
      <c r="B31" s="1">
        <f>IFERROR(VLOOKUP(22,'CARGA TOTAL'!$A$2:$C$230,3,0),0)</f>
        <v>0</v>
      </c>
      <c r="C31" s="1"/>
      <c r="D31" s="1"/>
      <c r="E31" s="1"/>
      <c r="F31" s="27"/>
      <c r="G31" s="27"/>
      <c r="H31" s="12" t="s">
        <v>46</v>
      </c>
      <c r="I31" s="1">
        <f>IFERROR(VLOOKUP(1217,'CARGA TOTAL'!$A$2:$C$230,3,0),0)</f>
        <v>0</v>
      </c>
      <c r="J31" s="1">
        <f>IFERROR(VLOOKUP(1218,'CARGA TOTAL'!$A$2:$C$230,3,0),0)</f>
        <v>0</v>
      </c>
      <c r="K31" s="1">
        <f>IFERROR(VLOOKUP(1219,'CARGA TOTAL'!$A$2:$C$230,3,0),0)</f>
        <v>0</v>
      </c>
      <c r="L31" s="1">
        <f>IFERROR(VLOOKUP(1220,'CARGA TOTAL'!$A$2:$C$230,3,0),0)</f>
        <v>0</v>
      </c>
    </row>
    <row r="32" spans="1:12" ht="15.75" x14ac:dyDescent="0.25">
      <c r="A32" s="12" t="s">
        <v>72</v>
      </c>
      <c r="B32" s="1">
        <f>IFERROR(VLOOKUP(21,'CARGA TOTAL'!$A$2:$C$230,3,0),0)</f>
        <v>0</v>
      </c>
      <c r="C32" s="1"/>
      <c r="D32" s="1"/>
      <c r="E32" s="1"/>
      <c r="F32" s="27"/>
      <c r="G32" s="27"/>
      <c r="H32" s="12" t="s">
        <v>47</v>
      </c>
      <c r="I32" s="1">
        <f>IFERROR(VLOOKUP(1225,'CARGA TOTAL'!$A$2:$C$230,3,0),0)</f>
        <v>0</v>
      </c>
      <c r="J32" s="1">
        <f>IFERROR(VLOOKUP(1226,'CARGA TOTAL'!$A$2:$C$230,3,0),0)</f>
        <v>0</v>
      </c>
      <c r="K32" s="1">
        <f>IFERROR(VLOOKUP(1227,'CARGA TOTAL'!$A$2:$C$230,3,0),0)</f>
        <v>0</v>
      </c>
      <c r="L32" s="1">
        <f>IFERROR(VLOOKUP(1228,'CARGA TOTAL'!$A$2:$C$230,3,0),0)</f>
        <v>1</v>
      </c>
    </row>
    <row r="33" spans="1:12" ht="15.75" x14ac:dyDescent="0.25">
      <c r="A33" s="28"/>
      <c r="B33" s="29"/>
      <c r="C33" s="29"/>
      <c r="D33" s="29"/>
      <c r="E33" s="29"/>
      <c r="F33" s="27"/>
      <c r="G33" s="27"/>
      <c r="H33" s="12" t="s">
        <v>48</v>
      </c>
      <c r="I33" s="1">
        <f>IFERROR(VLOOKUP(1221,'CARGA TOTAL'!$A$2:$C$230,3,0),0)</f>
        <v>0</v>
      </c>
      <c r="J33" s="1">
        <f>IFERROR(VLOOKUP(1222,'CARGA TOTAL'!$A$2:$C$230,3,0),0)</f>
        <v>0</v>
      </c>
      <c r="K33" s="1">
        <f>IFERROR(VLOOKUP(1223,'CARGA TOTAL'!$A$2:$C$230,3,0),0)</f>
        <v>0</v>
      </c>
      <c r="L33" s="1">
        <f>IFERROR(VLOOKUP(1224,'CARGA TOTAL'!$A$2:$C$230,3,0),0)</f>
        <v>0</v>
      </c>
    </row>
    <row r="34" spans="1:12" ht="15.75" x14ac:dyDescent="0.25">
      <c r="A34" s="28"/>
      <c r="B34" s="29"/>
      <c r="C34" s="29"/>
      <c r="D34" s="29"/>
      <c r="E34" s="29"/>
      <c r="F34" s="27"/>
      <c r="G34" s="27"/>
      <c r="H34" s="12" t="s">
        <v>49</v>
      </c>
      <c r="I34" s="1">
        <f>IFERROR(VLOOKUP(1229,'CARGA TOTAL'!$A$2:$C$230,3,0),0)</f>
        <v>0</v>
      </c>
      <c r="J34" s="1">
        <f>IFERROR(VLOOKUP(1230,'CARGA TOTAL'!$A$2:$C$230,3,0),0)</f>
        <v>0</v>
      </c>
      <c r="K34" s="1">
        <f>IFERROR(VLOOKUP(1231,'CARGA TOTAL'!$A$2:$C$230,3,0),0)</f>
        <v>0</v>
      </c>
      <c r="L34" s="1">
        <f>IFERROR(VLOOKUP(1232,'CARGA TOTAL'!$A$2:$C$230,3,0),0)</f>
        <v>1</v>
      </c>
    </row>
    <row r="35" spans="1:12" ht="15.75" x14ac:dyDescent="0.25">
      <c r="A35" s="28"/>
      <c r="B35" s="29"/>
      <c r="C35" s="29"/>
      <c r="D35" s="29"/>
      <c r="E35" s="29"/>
      <c r="F35" s="27"/>
      <c r="G35" s="27"/>
      <c r="H35" s="12" t="s">
        <v>50</v>
      </c>
      <c r="I35" s="1">
        <f>IFERROR(VLOOKUP(1233,'CARGA TOTAL'!$A$2:$C$230,3,0),0)</f>
        <v>0</v>
      </c>
      <c r="J35" s="1">
        <f>IFERROR(VLOOKUP(1234,'CARGA TOTAL'!$A$2:$C$230,3,0),0)</f>
        <v>0</v>
      </c>
      <c r="K35" s="1">
        <f>IFERROR(VLOOKUP(1235,'CARGA TOTAL'!$A$2:$C$230,3,0),0)</f>
        <v>0</v>
      </c>
      <c r="L35" s="1">
        <f>IFERROR(VLOOKUP(1236,'CARGA TOTAL'!$A$2:$C$230,3,0),0)</f>
        <v>0</v>
      </c>
    </row>
    <row r="36" spans="1:12" ht="15.75" x14ac:dyDescent="0.25">
      <c r="A36" s="28"/>
      <c r="B36" s="29"/>
      <c r="C36" s="29"/>
      <c r="D36" s="29"/>
      <c r="E36" s="29"/>
      <c r="F36" s="27"/>
      <c r="G36" s="27"/>
      <c r="H36" s="12" t="s">
        <v>76</v>
      </c>
      <c r="I36" s="1">
        <f>IFERROR(VLOOKUP(1237,'CARGA TOTAL'!$A$2:$C$230,3,0),0)</f>
        <v>0</v>
      </c>
      <c r="J36" s="1">
        <f>IFERROR(VLOOKUP(1238,'CARGA TOTAL'!$A$2:$C$230,3,0),0)</f>
        <v>0</v>
      </c>
      <c r="K36" s="1">
        <f>IFERROR(VLOOKUP(1239,'CARGA TOTAL'!$A$2:$C$230,3,0),0)</f>
        <v>0</v>
      </c>
      <c r="L36" s="1">
        <f>IFERROR(VLOOKUP(1240,'CARGA TOTAL'!$A$2:$C$230,3,0),0)</f>
        <v>0</v>
      </c>
    </row>
    <row r="37" spans="1:12" ht="15.75" x14ac:dyDescent="0.25">
      <c r="A37" s="28"/>
      <c r="B37" s="29"/>
      <c r="C37" s="29"/>
      <c r="D37" s="29"/>
      <c r="E37" s="29"/>
      <c r="F37" s="27"/>
      <c r="G37" s="27"/>
      <c r="H37" s="12" t="s">
        <v>12</v>
      </c>
      <c r="I37" s="1">
        <f>IFERROR(VLOOKUP(1241,'CARGA TOTAL'!$A$2:$C$230,3,0),0)</f>
        <v>0</v>
      </c>
      <c r="J37" s="1">
        <f>IFERROR(VLOOKUP(1242,'CARGA TOTAL'!$A$2:$C$230,3,0),0)</f>
        <v>0</v>
      </c>
      <c r="K37" s="1">
        <f>IFERROR(VLOOKUP(1243,'CARGA TOTAL'!$A$2:$C$230,3,0),0)</f>
        <v>0</v>
      </c>
      <c r="L37" s="1">
        <f>IFERROR(VLOOKUP(1244,'CARGA TOTAL'!$A$2:$C$230,3,0),0)</f>
        <v>0</v>
      </c>
    </row>
    <row r="38" spans="1:12" ht="15.75" x14ac:dyDescent="0.25">
      <c r="A38" s="28"/>
      <c r="B38" s="29"/>
      <c r="C38" s="29"/>
      <c r="D38" s="29"/>
      <c r="E38" s="29"/>
      <c r="F38" s="27"/>
      <c r="G38" s="27"/>
      <c r="H38" s="12" t="s">
        <v>13</v>
      </c>
      <c r="I38" s="1">
        <f>IFERROR(VLOOKUP(1245,'CARGA TOTAL'!$A$2:$C$230,3,0),0)</f>
        <v>0</v>
      </c>
      <c r="J38" s="1">
        <f>IFERROR(VLOOKUP(1246,'CARGA TOTAL'!$A$2:$C$230,3,0),0)</f>
        <v>0</v>
      </c>
      <c r="K38" s="1">
        <f>IFERROR(VLOOKUP(1247,'CARGA TOTAL'!$A$2:$C$230,3,0),0)</f>
        <v>0</v>
      </c>
      <c r="L38" s="1">
        <f>IFERROR(VLOOKUP(1248,'CARGA TOTAL'!$A$2:$C$230,3,0),0)</f>
        <v>0</v>
      </c>
    </row>
    <row r="39" spans="1:12" ht="15.75" x14ac:dyDescent="0.25">
      <c r="A39" s="28"/>
      <c r="B39" s="29"/>
      <c r="C39" s="29"/>
      <c r="D39" s="29"/>
      <c r="E39" s="29"/>
      <c r="F39" s="27"/>
      <c r="G39" s="27"/>
      <c r="H39" s="12" t="s">
        <v>73</v>
      </c>
      <c r="I39" s="1">
        <f>IFERROR(VLOOKUP(25714,'CARGA TOTAL'!$A$2:$C$230,3,0),0)</f>
        <v>0</v>
      </c>
      <c r="J39" s="1"/>
      <c r="K39" s="1"/>
      <c r="L39" s="1"/>
    </row>
    <row r="40" spans="1:12" ht="15.75" x14ac:dyDescent="0.25">
      <c r="A40" s="28"/>
      <c r="B40" s="29"/>
      <c r="C40" s="29"/>
      <c r="D40" s="29"/>
      <c r="E40" s="29"/>
      <c r="F40" s="27"/>
      <c r="G40" s="27"/>
      <c r="H40" s="12" t="s">
        <v>74</v>
      </c>
      <c r="I40" s="1">
        <f>IFERROR(VLOOKUP(25712,'CARGA TOTAL'!$A$2:$C$230,3,0),0)</f>
        <v>0</v>
      </c>
      <c r="J40" s="1"/>
      <c r="K40" s="1"/>
      <c r="L40" s="1"/>
    </row>
    <row r="41" spans="1:12" ht="15.75" x14ac:dyDescent="0.25">
      <c r="A41" s="28"/>
      <c r="B41" s="29"/>
      <c r="C41" s="29"/>
      <c r="D41" s="29"/>
      <c r="E41" s="29"/>
      <c r="F41" s="27"/>
      <c r="G41" s="27"/>
      <c r="H41" s="12" t="s">
        <v>75</v>
      </c>
      <c r="I41" s="1">
        <f>IFERROR(VLOOKUP(25713,'CARGA TOTAL'!$A$2:$C$230,3,0),0)</f>
        <v>5</v>
      </c>
      <c r="J41" s="1"/>
      <c r="K41" s="1"/>
      <c r="L41" s="1"/>
    </row>
    <row r="42" spans="1:12" ht="15.75" x14ac:dyDescent="0.25">
      <c r="A42" s="30"/>
      <c r="B42" s="29"/>
      <c r="C42" s="29"/>
      <c r="D42" s="29"/>
      <c r="E42" s="29"/>
      <c r="F42" s="27"/>
      <c r="G42" s="27"/>
      <c r="H42" s="12" t="s">
        <v>77</v>
      </c>
      <c r="I42" s="1">
        <f>IFERROR(VLOOKUP(1260,'CARGA TOTAL'!$A$2:$C$230,3,0),0)</f>
        <v>0</v>
      </c>
      <c r="J42" s="1"/>
      <c r="K42" s="1"/>
      <c r="L42" s="1"/>
    </row>
    <row r="43" spans="1:12" ht="15.75" x14ac:dyDescent="0.25">
      <c r="A43" s="30"/>
      <c r="B43" s="29"/>
      <c r="C43" s="29"/>
      <c r="D43" s="29"/>
      <c r="E43" s="29"/>
      <c r="F43" s="27"/>
      <c r="G43" s="27"/>
      <c r="H43" s="12" t="s">
        <v>78</v>
      </c>
      <c r="I43" s="1">
        <f>IFERROR(VLOOKUP(1261,'CARGA TOTAL'!$A$2:$C$230,3,0),0)</f>
        <v>0</v>
      </c>
      <c r="J43" s="1"/>
      <c r="K43" s="1"/>
      <c r="L43" s="1"/>
    </row>
    <row r="44" spans="1:12" ht="15.75" x14ac:dyDescent="0.25">
      <c r="A44" s="30"/>
      <c r="B44" s="29"/>
      <c r="C44" s="29"/>
      <c r="D44" s="29"/>
      <c r="E44" s="29"/>
      <c r="F44" s="27"/>
      <c r="G44" s="27"/>
      <c r="H44" s="12" t="s">
        <v>79</v>
      </c>
      <c r="I44" s="1">
        <f>IFERROR(VLOOKUP(1262,'CARGA TOTAL'!$A$2:$C$230,3,0),0)</f>
        <v>0</v>
      </c>
      <c r="J44" s="1"/>
      <c r="K44" s="1"/>
      <c r="L44" s="1"/>
    </row>
    <row r="45" spans="1:12" ht="15.75" x14ac:dyDescent="0.25">
      <c r="A45" s="30"/>
      <c r="B45" s="29"/>
      <c r="C45" s="29"/>
      <c r="D45" s="29"/>
      <c r="E45" s="29"/>
      <c r="F45" s="27"/>
      <c r="G45" s="27"/>
      <c r="H45" s="12" t="s">
        <v>80</v>
      </c>
      <c r="I45" s="1">
        <f>IFERROR(VLOOKUP(1263,'CARGA TOTAL'!$A$2:$C$230,3,0),0)</f>
        <v>0</v>
      </c>
      <c r="J45" s="1"/>
      <c r="K45" s="1"/>
      <c r="L45" s="1"/>
    </row>
    <row r="46" spans="1:12" ht="15.75" x14ac:dyDescent="0.25">
      <c r="A46" s="30"/>
      <c r="B46" s="29"/>
      <c r="C46" s="29"/>
      <c r="D46" s="29"/>
      <c r="E46" s="29"/>
      <c r="F46" s="27"/>
      <c r="G46" s="27"/>
      <c r="H46" s="12" t="s">
        <v>85</v>
      </c>
      <c r="I46" s="1">
        <f>IFERROR(VLOOKUP(1264,'CARGA TOTAL'!$A$2:$C$230,3,0),0)</f>
        <v>0</v>
      </c>
      <c r="J46" s="1"/>
      <c r="K46" s="1"/>
      <c r="L46" s="1"/>
    </row>
    <row r="47" spans="1:12" ht="15.75" x14ac:dyDescent="0.25">
      <c r="A47" s="30"/>
      <c r="B47" s="29"/>
      <c r="C47" s="29"/>
      <c r="D47" s="29"/>
      <c r="E47" s="29"/>
      <c r="F47" s="27"/>
      <c r="G47" s="27"/>
      <c r="H47" s="12" t="s">
        <v>84</v>
      </c>
      <c r="I47" s="1">
        <f>IFERROR(VLOOKUP(1265,'CARGA TOTAL'!$A$2:$C$230,3,0),0)</f>
        <v>0</v>
      </c>
      <c r="J47" s="1"/>
      <c r="K47" s="1"/>
      <c r="L47" s="1"/>
    </row>
    <row r="48" spans="1:12" ht="15.75" x14ac:dyDescent="0.25">
      <c r="A48" s="30"/>
      <c r="B48" s="29"/>
      <c r="C48" s="29"/>
      <c r="D48" s="29"/>
      <c r="E48" s="29"/>
      <c r="F48" s="27"/>
      <c r="G48" s="27"/>
      <c r="H48" s="12" t="s">
        <v>86</v>
      </c>
      <c r="I48" s="1">
        <f>IFERROR(VLOOKUP(1266,'CARGA TOTAL'!$A$2:$C$230,3,0),0)</f>
        <v>0</v>
      </c>
      <c r="J48" s="1"/>
      <c r="K48" s="1"/>
      <c r="L48" s="1"/>
    </row>
    <row r="49" spans="1:12" ht="15.75" x14ac:dyDescent="0.25">
      <c r="A49" s="30"/>
      <c r="B49" s="29"/>
      <c r="C49" s="29"/>
      <c r="D49" s="29"/>
      <c r="E49" s="29"/>
      <c r="F49" s="27"/>
      <c r="G49" s="27"/>
      <c r="H49" s="12" t="s">
        <v>478</v>
      </c>
      <c r="I49" s="1">
        <f>IFERROR(VLOOKUP(1268,'CARGA TOTAL'!$A$2:$C$230,3,0),0)</f>
        <v>0</v>
      </c>
      <c r="J49" s="1">
        <f>IFERROR(VLOOKUP(1269,'CARGA TOTAL'!$A$2:$C$230,3,0),0)</f>
        <v>0</v>
      </c>
      <c r="K49" s="1">
        <f>IFERROR(VLOOKUP(1270,'CARGA TOTAL'!$A$2:$C$230,3,0),0)</f>
        <v>0</v>
      </c>
      <c r="L49" s="1">
        <f>IFERROR(VLOOKUP(1271,'CARGA TOTAL'!$A$2:$C$230,3,0),0)</f>
        <v>0</v>
      </c>
    </row>
    <row r="50" spans="1:12" x14ac:dyDescent="0.25">
      <c r="F50" s="27"/>
      <c r="G50" s="27"/>
    </row>
    <row r="51" spans="1:12" x14ac:dyDescent="0.25">
      <c r="F51" s="27"/>
      <c r="G51" s="27"/>
    </row>
    <row r="52" spans="1:12" x14ac:dyDescent="0.25">
      <c r="F52" s="27"/>
      <c r="G52" s="27"/>
    </row>
    <row r="53" spans="1:12" x14ac:dyDescent="0.25">
      <c r="F53" s="27"/>
      <c r="G53" s="27"/>
    </row>
    <row r="54" spans="1:12" x14ac:dyDescent="0.25">
      <c r="F54" s="27"/>
      <c r="G54" s="27"/>
    </row>
    <row r="55" spans="1:12" x14ac:dyDescent="0.25">
      <c r="F55" s="27"/>
      <c r="G55" s="27"/>
    </row>
    <row r="56" spans="1:12" x14ac:dyDescent="0.25">
      <c r="F56" s="27"/>
      <c r="G56" s="27"/>
    </row>
    <row r="57" spans="1:12" x14ac:dyDescent="0.25">
      <c r="F57" s="27"/>
      <c r="G57" s="27"/>
    </row>
    <row r="58" spans="1:12" x14ac:dyDescent="0.25">
      <c r="F58" s="27"/>
      <c r="G58" s="27"/>
    </row>
    <row r="59" spans="1:12" x14ac:dyDescent="0.25">
      <c r="F59" s="27"/>
      <c r="G59" s="27"/>
    </row>
    <row r="60" spans="1:12" x14ac:dyDescent="0.25">
      <c r="F60" s="27"/>
      <c r="G60" s="27"/>
    </row>
    <row r="61" spans="1:12" x14ac:dyDescent="0.25">
      <c r="F61" s="27"/>
      <c r="G61" s="27"/>
    </row>
    <row r="62" spans="1:12" x14ac:dyDescent="0.25">
      <c r="F62" s="27"/>
      <c r="G62" s="27"/>
    </row>
    <row r="63" spans="1:12" x14ac:dyDescent="0.25">
      <c r="F63" s="27"/>
      <c r="G63" s="27"/>
    </row>
    <row r="64" spans="1:12" x14ac:dyDescent="0.25">
      <c r="F64" s="27"/>
      <c r="G64" s="27"/>
    </row>
    <row r="65" spans="6:7" x14ac:dyDescent="0.25">
      <c r="F65" s="27"/>
      <c r="G65" s="27"/>
    </row>
    <row r="66" spans="6:7" x14ac:dyDescent="0.25">
      <c r="F66" s="27"/>
      <c r="G66" s="27"/>
    </row>
    <row r="67" spans="6:7" x14ac:dyDescent="0.25">
      <c r="F67" s="27"/>
      <c r="G67" s="27"/>
    </row>
    <row r="68" spans="6:7" x14ac:dyDescent="0.25">
      <c r="F68" s="27"/>
      <c r="G68" s="27"/>
    </row>
    <row r="69" spans="6:7" x14ac:dyDescent="0.25">
      <c r="F69" s="27"/>
      <c r="G69" s="27"/>
    </row>
    <row r="70" spans="6:7" x14ac:dyDescent="0.25">
      <c r="F70" s="27"/>
      <c r="G70" s="27"/>
    </row>
    <row r="71" spans="6:7" x14ac:dyDescent="0.25">
      <c r="F71" s="27"/>
      <c r="G71" s="27"/>
    </row>
    <row r="72" spans="6:7" x14ac:dyDescent="0.25">
      <c r="F72" s="27"/>
      <c r="G72" s="27"/>
    </row>
  </sheetData>
  <conditionalFormatting sqref="B2:E32">
    <cfRule type="cellIs" dxfId="1282" priority="18" operator="equal">
      <formula>0</formula>
    </cfRule>
  </conditionalFormatting>
  <conditionalFormatting sqref="C2:C32">
    <cfRule type="cellIs" dxfId="1281" priority="13" operator="greaterThan">
      <formula>0</formula>
    </cfRule>
  </conditionalFormatting>
  <conditionalFormatting sqref="D2:D8">
    <cfRule type="cellIs" dxfId="1280" priority="22" operator="greaterThan">
      <formula>0</formula>
    </cfRule>
  </conditionalFormatting>
  <conditionalFormatting sqref="D2:D32">
    <cfRule type="cellIs" dxfId="1279" priority="15" operator="greaterThan">
      <formula>0</formula>
    </cfRule>
  </conditionalFormatting>
  <conditionalFormatting sqref="D7">
    <cfRule type="cellIs" dxfId="1278" priority="21" operator="greaterThan">
      <formula>0</formula>
    </cfRule>
  </conditionalFormatting>
  <conditionalFormatting sqref="D9:D31">
    <cfRule type="cellIs" dxfId="1277" priority="20" operator="greaterThan">
      <formula>0</formula>
    </cfRule>
  </conditionalFormatting>
  <conditionalFormatting sqref="D30:D31">
    <cfRule type="cellIs" dxfId="1276" priority="19" operator="greaterThan">
      <formula>0</formula>
    </cfRule>
  </conditionalFormatting>
  <conditionalFormatting sqref="D31:D32">
    <cfRule type="cellIs" dxfId="1275" priority="16" operator="greaterThan">
      <formula>0</formula>
    </cfRule>
    <cfRule type="cellIs" dxfId="1274" priority="17" operator="greaterThan">
      <formula>0</formula>
    </cfRule>
  </conditionalFormatting>
  <conditionalFormatting sqref="E2:E32">
    <cfRule type="cellIs" dxfId="1273" priority="14" operator="greaterThan">
      <formula>0</formula>
    </cfRule>
  </conditionalFormatting>
  <conditionalFormatting sqref="I2:L48">
    <cfRule type="cellIs" dxfId="1272" priority="12" operator="equal">
      <formula>0</formula>
    </cfRule>
  </conditionalFormatting>
  <conditionalFormatting sqref="J2:J48">
    <cfRule type="cellIs" dxfId="1271" priority="7" operator="greaterThan">
      <formula>0</formula>
    </cfRule>
  </conditionalFormatting>
  <conditionalFormatting sqref="K2:K48">
    <cfRule type="cellIs" dxfId="1270" priority="9" operator="greaterThan">
      <formula>0</formula>
    </cfRule>
    <cfRule type="cellIs" dxfId="1269" priority="11" operator="greaterThan">
      <formula>0</formula>
    </cfRule>
  </conditionalFormatting>
  <conditionalFormatting sqref="K42:K48">
    <cfRule type="cellIs" dxfId="1268" priority="10" operator="greaterThan">
      <formula>0</formula>
    </cfRule>
  </conditionalFormatting>
  <conditionalFormatting sqref="L2:L48">
    <cfRule type="cellIs" dxfId="1267" priority="8" operator="greaterThan">
      <formula>0</formula>
    </cfRule>
  </conditionalFormatting>
  <conditionalFormatting sqref="I49:L49">
    <cfRule type="cellIs" dxfId="1266" priority="6" operator="equal">
      <formula>0</formula>
    </cfRule>
  </conditionalFormatting>
  <conditionalFormatting sqref="J49">
    <cfRule type="cellIs" dxfId="1265" priority="1" operator="greaterThan">
      <formula>0</formula>
    </cfRule>
  </conditionalFormatting>
  <conditionalFormatting sqref="K49">
    <cfRule type="cellIs" dxfId="1264" priority="3" operator="greaterThan">
      <formula>0</formula>
    </cfRule>
    <cfRule type="cellIs" dxfId="1263" priority="5" operator="greaterThan">
      <formula>0</formula>
    </cfRule>
  </conditionalFormatting>
  <conditionalFormatting sqref="K49">
    <cfRule type="cellIs" dxfId="1262" priority="4" operator="greaterThan">
      <formula>0</formula>
    </cfRule>
  </conditionalFormatting>
  <conditionalFormatting sqref="L49">
    <cfRule type="cellIs" dxfId="1261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V201"/>
  <sheetViews>
    <sheetView tabSelected="1" workbookViewId="0">
      <selection activeCell="K9" sqref="K9:L9"/>
    </sheetView>
  </sheetViews>
  <sheetFormatPr defaultRowHeight="15" x14ac:dyDescent="0.25"/>
  <cols>
    <col min="1" max="1" width="2.140625" customWidth="1" collapsed="1"/>
    <col min="2" max="2" width="11.42578125" style="24" customWidth="1" collapsed="1"/>
    <col min="3" max="3" width="8" style="24" bestFit="1" customWidth="1" collapsed="1"/>
    <col min="4" max="4" width="14.85546875" style="61" customWidth="1" collapsed="1"/>
    <col min="5" max="5" width="13.140625" style="61" customWidth="1" collapsed="1"/>
    <col min="6" max="6" width="12.42578125" style="61" customWidth="1" collapsed="1"/>
    <col min="7" max="7" width="38.28515625" style="61" customWidth="1" collapsed="1"/>
    <col min="8" max="8" width="10.5703125" style="61" customWidth="1" collapsed="1"/>
    <col min="9" max="9" width="12.7109375" style="24" bestFit="1" customWidth="1" collapsed="1"/>
    <col min="10" max="10" width="2" bestFit="1" customWidth="1" collapsed="1"/>
    <col min="11" max="11" width="13.28515625" customWidth="1" collapsed="1"/>
    <col min="12" max="12" width="13.7109375" customWidth="1" collapsed="1"/>
    <col min="13" max="13" width="1.28515625" customWidth="1" collapsed="1"/>
    <col min="14" max="14" width="2.28515625" customWidth="1" collapsed="1"/>
    <col min="15" max="15" width="35.7109375" customWidth="1" collapsed="1"/>
    <col min="19" max="20" width="12.42578125" bestFit="1" customWidth="1" collapsed="1"/>
    <col min="22" max="22" width="10.140625" bestFit="1" customWidth="1" collapsed="1"/>
  </cols>
  <sheetData>
    <row r="1" spans="1:22" ht="20.25" customHeight="1" thickBot="1" x14ac:dyDescent="0.35">
      <c r="A1" s="117" t="s">
        <v>99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O1" s="100" t="s">
        <v>126</v>
      </c>
      <c r="P1" s="101"/>
      <c r="Q1" s="101"/>
      <c r="R1" s="101"/>
      <c r="S1" s="101"/>
      <c r="V1" s="94">
        <f>K22/K20</f>
        <v>0.90570958027773441</v>
      </c>
    </row>
    <row r="2" spans="1:22" x14ac:dyDescent="0.25">
      <c r="A2" s="32"/>
      <c r="B2" s="33"/>
      <c r="C2" s="33"/>
      <c r="D2" s="33"/>
      <c r="E2" s="33"/>
      <c r="F2" s="33"/>
      <c r="G2" s="34" t="s">
        <v>100</v>
      </c>
      <c r="H2" s="33"/>
      <c r="I2" s="33"/>
      <c r="J2" s="35"/>
      <c r="K2" s="120" t="s">
        <v>101</v>
      </c>
      <c r="L2" s="120"/>
      <c r="M2" s="36"/>
      <c r="O2" s="86" t="s">
        <v>102</v>
      </c>
      <c r="P2" s="87" t="s">
        <v>103</v>
      </c>
      <c r="Q2" s="87" t="s">
        <v>104</v>
      </c>
      <c r="R2" s="87" t="s">
        <v>105</v>
      </c>
      <c r="S2" s="88" t="s">
        <v>106</v>
      </c>
      <c r="V2" s="94">
        <f>K18/K4</f>
        <v>0.93899999999999995</v>
      </c>
    </row>
    <row r="3" spans="1:22" ht="15.75" x14ac:dyDescent="0.25">
      <c r="A3" s="32"/>
      <c r="B3" s="33"/>
      <c r="C3" s="33"/>
      <c r="D3" s="33"/>
      <c r="E3" s="33"/>
      <c r="F3" s="33"/>
      <c r="G3" s="37">
        <f>VLOOKUP(K9,O:S,3,0)</f>
        <v>2.6</v>
      </c>
      <c r="H3" s="33"/>
      <c r="I3" s="33"/>
      <c r="J3" s="35"/>
      <c r="K3" s="121"/>
      <c r="L3" s="121"/>
      <c r="M3" s="36"/>
      <c r="O3" s="82" t="s">
        <v>203</v>
      </c>
      <c r="P3" s="89">
        <v>9</v>
      </c>
      <c r="Q3" s="89">
        <v>2.6</v>
      </c>
      <c r="R3" s="89">
        <v>2.9</v>
      </c>
      <c r="S3" s="83">
        <v>12000</v>
      </c>
    </row>
    <row r="4" spans="1:22" x14ac:dyDescent="0.25">
      <c r="A4" s="32"/>
      <c r="B4" s="33"/>
      <c r="C4" s="33"/>
      <c r="D4" s="33"/>
      <c r="E4" s="33"/>
      <c r="F4" s="33"/>
      <c r="G4" s="33"/>
      <c r="H4" s="33"/>
      <c r="I4" s="33"/>
      <c r="J4" s="35"/>
      <c r="K4" s="122">
        <f>VLOOKUP(K9,O:S,5,0)</f>
        <v>7000</v>
      </c>
      <c r="L4" s="123"/>
      <c r="M4" s="36"/>
      <c r="O4" s="84" t="s">
        <v>204</v>
      </c>
      <c r="P4" s="90">
        <v>8.5</v>
      </c>
      <c r="Q4" s="90">
        <v>2.6</v>
      </c>
      <c r="R4" s="90">
        <v>2.9</v>
      </c>
      <c r="S4" s="85">
        <v>7000</v>
      </c>
    </row>
    <row r="5" spans="1:22" x14ac:dyDescent="0.25">
      <c r="A5" s="32"/>
      <c r="B5" s="33"/>
      <c r="C5" s="33"/>
      <c r="D5" s="33"/>
      <c r="E5" s="33"/>
      <c r="F5" s="33"/>
      <c r="G5" s="33"/>
      <c r="H5" s="33"/>
      <c r="I5" s="33"/>
      <c r="J5" s="35"/>
      <c r="K5" s="124" t="s">
        <v>107</v>
      </c>
      <c r="L5" s="124"/>
      <c r="M5" s="36"/>
      <c r="O5" s="38"/>
      <c r="P5" s="39"/>
      <c r="Q5" s="39"/>
      <c r="R5" s="39"/>
      <c r="S5" s="40"/>
    </row>
    <row r="6" spans="1:22" ht="15.75" thickBot="1" x14ac:dyDescent="0.3">
      <c r="A6" s="32"/>
      <c r="B6" s="33"/>
      <c r="C6" s="125" t="s">
        <v>108</v>
      </c>
      <c r="D6" s="125"/>
      <c r="E6" s="33"/>
      <c r="F6" s="33"/>
      <c r="G6" s="41"/>
      <c r="H6" s="125" t="s">
        <v>109</v>
      </c>
      <c r="I6" s="125"/>
      <c r="J6" s="35"/>
      <c r="K6" s="126" t="s">
        <v>111</v>
      </c>
      <c r="L6" s="127"/>
      <c r="M6" s="36"/>
    </row>
    <row r="7" spans="1:22" ht="19.5" thickBot="1" x14ac:dyDescent="0.35">
      <c r="A7" s="32"/>
      <c r="B7" s="33"/>
      <c r="C7" s="132">
        <f>VLOOKUP(K9,O:S,2,0)</f>
        <v>8.5</v>
      </c>
      <c r="D7" s="133"/>
      <c r="E7" s="33"/>
      <c r="F7" s="33"/>
      <c r="G7" s="41"/>
      <c r="H7" s="134">
        <f>VLOOKUP(K9,O:S,4,0)</f>
        <v>2.9</v>
      </c>
      <c r="I7" s="135"/>
      <c r="J7" s="42"/>
      <c r="K7" s="43"/>
      <c r="L7" s="43"/>
      <c r="M7" s="36"/>
      <c r="O7" s="91" t="s">
        <v>479</v>
      </c>
    </row>
    <row r="8" spans="1:22" x14ac:dyDescent="0.25">
      <c r="A8" s="32"/>
      <c r="B8" s="33"/>
      <c r="C8" s="33"/>
      <c r="D8" s="33"/>
      <c r="E8" s="33"/>
      <c r="F8" s="33"/>
      <c r="G8" s="33"/>
      <c r="H8" s="33"/>
      <c r="I8" s="33"/>
      <c r="J8" s="42"/>
      <c r="K8" s="136" t="s">
        <v>110</v>
      </c>
      <c r="L8" s="137"/>
      <c r="M8" s="36"/>
      <c r="O8" s="92">
        <v>160</v>
      </c>
    </row>
    <row r="9" spans="1:22" ht="15.75" thickBot="1" x14ac:dyDescent="0.3">
      <c r="A9" s="32"/>
      <c r="B9" s="33"/>
      <c r="C9" s="33"/>
      <c r="D9" s="33"/>
      <c r="E9" s="33"/>
      <c r="F9" s="33"/>
      <c r="G9" s="33"/>
      <c r="H9" s="33"/>
      <c r="I9" s="33"/>
      <c r="J9" s="35"/>
      <c r="K9" s="138" t="s">
        <v>204</v>
      </c>
      <c r="L9" s="139"/>
      <c r="M9" s="36"/>
    </row>
    <row r="10" spans="1:22" ht="19.5" thickBot="1" x14ac:dyDescent="0.35">
      <c r="A10" s="32"/>
      <c r="B10" s="33"/>
      <c r="C10" s="33"/>
      <c r="D10" s="33"/>
      <c r="E10" s="33"/>
      <c r="F10" s="33"/>
      <c r="G10" s="33"/>
      <c r="H10" s="33"/>
      <c r="I10" s="33"/>
      <c r="J10" s="35"/>
      <c r="K10" s="35" t="s">
        <v>111</v>
      </c>
      <c r="L10" s="43"/>
      <c r="M10" s="36"/>
      <c r="O10" s="91" t="s">
        <v>392</v>
      </c>
    </row>
    <row r="11" spans="1:22" x14ac:dyDescent="0.25">
      <c r="A11" s="32"/>
      <c r="B11" s="33"/>
      <c r="C11" s="33"/>
      <c r="D11" s="33"/>
      <c r="E11" s="33"/>
      <c r="F11" s="33"/>
      <c r="G11" s="33"/>
      <c r="H11" s="33"/>
      <c r="I11" s="33"/>
      <c r="J11" s="35"/>
      <c r="K11" s="35"/>
      <c r="L11" s="43"/>
      <c r="M11" s="36"/>
      <c r="O11" s="93">
        <v>240</v>
      </c>
    </row>
    <row r="12" spans="1:22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5"/>
      <c r="K12" s="43"/>
      <c r="L12" s="43"/>
      <c r="M12" s="36"/>
    </row>
    <row r="13" spans="1:22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5"/>
      <c r="K13" s="140" t="s">
        <v>51</v>
      </c>
      <c r="L13" s="140"/>
      <c r="M13" s="36"/>
    </row>
    <row r="14" spans="1:22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5"/>
      <c r="K14" s="141">
        <f>SUM(C17:C200)</f>
        <v>649</v>
      </c>
      <c r="L14" s="142"/>
      <c r="M14" s="36"/>
    </row>
    <row r="15" spans="1:22" x14ac:dyDescent="0.25">
      <c r="A15" s="43"/>
      <c r="B15" s="128" t="s">
        <v>390</v>
      </c>
      <c r="C15" s="128"/>
      <c r="D15" s="128"/>
      <c r="E15" s="128"/>
      <c r="F15" s="128"/>
      <c r="G15" s="128"/>
      <c r="H15" s="128"/>
      <c r="I15" s="43"/>
      <c r="J15" s="35"/>
      <c r="K15" s="114" t="s">
        <v>112</v>
      </c>
      <c r="L15" s="114"/>
      <c r="M15" s="36"/>
    </row>
    <row r="16" spans="1:22" x14ac:dyDescent="0.25">
      <c r="A16" s="32"/>
      <c r="B16" s="44" t="s">
        <v>113</v>
      </c>
      <c r="C16" s="44" t="s">
        <v>114</v>
      </c>
      <c r="D16" s="44" t="s">
        <v>115</v>
      </c>
      <c r="E16" s="129" t="s">
        <v>97</v>
      </c>
      <c r="F16" s="130"/>
      <c r="G16" s="131"/>
      <c r="H16" s="44" t="s">
        <v>116</v>
      </c>
      <c r="I16" s="43"/>
      <c r="J16" s="35"/>
      <c r="K16" s="109">
        <f>IF(B17&lt;&gt;"",SUM(H17:H200),0)</f>
        <v>6173</v>
      </c>
      <c r="L16" s="110"/>
      <c r="M16" s="36"/>
    </row>
    <row r="17" spans="1:13" x14ac:dyDescent="0.25">
      <c r="A17" s="32"/>
      <c r="B17" s="45">
        <v>1204</v>
      </c>
      <c r="C17" s="46">
        <v>1</v>
      </c>
      <c r="D17" s="47">
        <f>IFERROR(IF(OR(J17="",C17=""),"",VLOOKUP(J17,'CUBAGEM PRODUTOS'!A:I,9,0)*C17),"ERRO")</f>
        <v>0</v>
      </c>
      <c r="E17" s="111" t="str">
        <f>IFERROR(IF(OR(J17="",C17=""),"",VLOOKUP(J17,'CUBAGEM PRODUTOS'!A:H,2,0)),"ERRO")</f>
        <v>BARRA MESA 2,00 IMBUIA</v>
      </c>
      <c r="F17" s="112"/>
      <c r="G17" s="113"/>
      <c r="H17" s="72">
        <f>IFERROR(IF(OR(J17="",C17=""),"",VLOOKUP(J17,'CUBAGEM PRODUTOS'!$A:$H,4,0)*C17),"ERRO")</f>
        <v>0</v>
      </c>
      <c r="I17" s="43"/>
      <c r="J17" s="35">
        <f>IF(B17="","",VALUE(B17))</f>
        <v>1204</v>
      </c>
      <c r="K17" s="114" t="s">
        <v>398</v>
      </c>
      <c r="L17" s="114"/>
      <c r="M17" s="36"/>
    </row>
    <row r="18" spans="1:13" x14ac:dyDescent="0.25">
      <c r="A18" s="32"/>
      <c r="B18" s="48">
        <v>1232</v>
      </c>
      <c r="C18" s="49">
        <v>1</v>
      </c>
      <c r="D18" s="71">
        <f>IFERROR(IF(OR(J18="",C18=""),"",VLOOKUP(J18,'CUBAGEM PRODUTOS'!A:I,9,0)*C18),"ERRO")</f>
        <v>0</v>
      </c>
      <c r="E18" s="106" t="str">
        <f>IFERROR(IF(OR(J18="",C18=""),"",VLOOKUP(J18,'CUBAGEM PRODUTOS'!A:H,2,0)),"ERRO")</f>
        <v>CABECEIRA BELICHE IMBUIA</v>
      </c>
      <c r="F18" s="107"/>
      <c r="G18" s="108"/>
      <c r="H18" s="50">
        <f>IFERROR(IF(OR(J18="",C18=""),"",VLOOKUP(J18,'CUBAGEM PRODUTOS'!$A:$H,4,0)*C18),"ERRO")</f>
        <v>0</v>
      </c>
      <c r="I18" s="43"/>
      <c r="J18" s="35">
        <f t="shared" ref="J18:J81" si="0">IF(B18="","",VALUE(B18))</f>
        <v>1232</v>
      </c>
      <c r="K18" s="109">
        <f>IF(B17&lt;&gt;"",SUM(H17:H200) + O8 + O11,0)</f>
        <v>6573</v>
      </c>
      <c r="L18" s="110"/>
      <c r="M18" s="36"/>
    </row>
    <row r="19" spans="1:13" x14ac:dyDescent="0.25">
      <c r="A19" s="32"/>
      <c r="B19" s="45">
        <v>1228</v>
      </c>
      <c r="C19" s="51">
        <v>1</v>
      </c>
      <c r="D19" s="47">
        <f>IFERROR(IF(OR(J19="",C19=""),"",VLOOKUP(J19,'CUBAGEM PRODUTOS'!A:I,9,0)*C19),"ERRO")</f>
        <v>0</v>
      </c>
      <c r="E19" s="111" t="str">
        <f>IFERROR(IF(OR(J19="",C19=""),"",VLOOKUP(J19,'CUBAGEM PRODUTOS'!A:H,2,0)),"ERRO")</f>
        <v>CABECEIRA CASAL IMBUIA</v>
      </c>
      <c r="F19" s="112"/>
      <c r="G19" s="113"/>
      <c r="H19" s="72">
        <f>IFERROR(IF(OR(J19="",C19=""),"",VLOOKUP(J19,'CUBAGEM PRODUTOS'!$A:$H,4,0)*C19),"ERRO")</f>
        <v>0</v>
      </c>
      <c r="I19" s="43"/>
      <c r="J19" s="35">
        <f t="shared" si="0"/>
        <v>1228</v>
      </c>
      <c r="K19" s="114" t="s">
        <v>117</v>
      </c>
      <c r="L19" s="114"/>
      <c r="M19" s="36"/>
    </row>
    <row r="20" spans="1:13" x14ac:dyDescent="0.25">
      <c r="A20" s="32"/>
      <c r="B20" s="48">
        <v>1216</v>
      </c>
      <c r="C20" s="49">
        <v>1</v>
      </c>
      <c r="D20" s="71">
        <f>IFERROR(IF(OR(J20="",C20=""),"",VLOOKUP(J20,'CUBAGEM PRODUTOS'!A:I,9,0)*C20),"ERRO")</f>
        <v>0</v>
      </c>
      <c r="E20" s="106" t="str">
        <f>IFERROR(IF(OR(J20="",C20=""),"",VLOOKUP(J20,'CUBAGEM PRODUTOS'!A:H,2,0)),"ERRO")</f>
        <v>PESEIRA CAMA CASAL IMBUIA</v>
      </c>
      <c r="F20" s="107"/>
      <c r="G20" s="108"/>
      <c r="H20" s="50">
        <f>IFERROR(IF(OR(J20="",C20=""),"",VLOOKUP(J20,'CUBAGEM PRODUTOS'!$A:$H,4,0)*C20),"ERRO")</f>
        <v>0</v>
      </c>
      <c r="I20" s="43"/>
      <c r="J20" s="35">
        <f t="shared" si="0"/>
        <v>1216</v>
      </c>
      <c r="K20" s="109">
        <f>C7*G3*H7</f>
        <v>64.09</v>
      </c>
      <c r="L20" s="110"/>
      <c r="M20" s="36"/>
    </row>
    <row r="21" spans="1:13" x14ac:dyDescent="0.25">
      <c r="A21" s="32"/>
      <c r="B21" s="53">
        <v>1160</v>
      </c>
      <c r="C21" s="51">
        <v>2</v>
      </c>
      <c r="D21" s="47">
        <f>IFERROR(IF(OR(J21="",C21=""),"",VLOOKUP(J21,'CUBAGEM PRODUTOS'!A:I,9,0)*C21),"ERRO")</f>
        <v>7.1999999999999995E-2</v>
      </c>
      <c r="E21" s="111" t="str">
        <f>IFERROR(IF(OR(J21="",C21=""),"",VLOOKUP(J21,'CUBAGEM PRODUTOS'!A:H,2,0)),"ERRO")</f>
        <v>PÉ MESA 0,80/ 1,20 / 1,50 / 1,60 IMBUIA</v>
      </c>
      <c r="F21" s="112"/>
      <c r="G21" s="113"/>
      <c r="H21" s="72">
        <f>IFERROR(IF(OR(J21="",C21=""),"",VLOOKUP(J21,'CUBAGEM PRODUTOS'!$A:$H,4,0)*C21),"ERRO")</f>
        <v>6</v>
      </c>
      <c r="I21" s="43"/>
      <c r="J21" s="35">
        <f t="shared" si="0"/>
        <v>1160</v>
      </c>
      <c r="K21" s="115" t="s">
        <v>118</v>
      </c>
      <c r="L21" s="115"/>
      <c r="M21" s="36"/>
    </row>
    <row r="22" spans="1:13" x14ac:dyDescent="0.25">
      <c r="A22" s="32"/>
      <c r="B22" s="48">
        <v>1109</v>
      </c>
      <c r="C22" s="49">
        <v>1</v>
      </c>
      <c r="D22" s="50">
        <f>IFERROR(IF(OR(J22="",C22=""),"",VLOOKUP(J22,'CUBAGEM PRODUTOS'!A:I,9,0)*C22),"ERRO")</f>
        <v>2.2499999999999999E-2</v>
      </c>
      <c r="E22" s="106" t="str">
        <f>IFERROR(IF(OR(J22="",C22=""),"",VLOOKUP(J22,'CUBAGEM PRODUTOS'!A:H,2,0)),"ERRO")</f>
        <v>TAMPO 0,75 CEREJEIRA</v>
      </c>
      <c r="F22" s="107"/>
      <c r="G22" s="108"/>
      <c r="H22" s="50">
        <f>IFERROR(IF(OR(J22="",C22=""),"",VLOOKUP(J22,'CUBAGEM PRODUTOS'!$A:$H,4,0)*C22),"ERRO")</f>
        <v>7.5</v>
      </c>
      <c r="I22" s="43"/>
      <c r="J22" s="35">
        <f t="shared" si="0"/>
        <v>1109</v>
      </c>
      <c r="K22" s="96">
        <f>SUM(D17:D200)</f>
        <v>58.046927000000004</v>
      </c>
      <c r="L22" s="52">
        <f>K22</f>
        <v>58.046927000000004</v>
      </c>
      <c r="M22" s="36"/>
    </row>
    <row r="23" spans="1:13" x14ac:dyDescent="0.25">
      <c r="A23" s="32"/>
      <c r="B23" s="53">
        <v>1137</v>
      </c>
      <c r="C23" s="51">
        <v>1</v>
      </c>
      <c r="D23" s="47">
        <f>IFERROR(IF(OR(J23="",C23=""),"",VLOOKUP(J23,'CUBAGEM PRODUTOS'!A:I,9,0)*C23),"ERRO")</f>
        <v>6.1199999999999997E-2</v>
      </c>
      <c r="E23" s="105" t="str">
        <f>IFERROR(IF(OR(J23="",C23=""),"",VLOOKUP(J23,'CUBAGEM PRODUTOS'!A:H,2,0)),"ERRO")</f>
        <v>TAMPO 1,80 CEREJEIRA</v>
      </c>
      <c r="F23" s="105"/>
      <c r="G23" s="105"/>
      <c r="H23" s="72">
        <f>IFERROR(IF(OR(J23="",C23=""),"",VLOOKUP(J23,'CUBAGEM PRODUTOS'!$A:$H,4,0)*C23),"ERRO")</f>
        <v>17</v>
      </c>
      <c r="I23" s="43"/>
      <c r="J23" s="35">
        <f>IF(B23="","",VALUE(B23))</f>
        <v>1137</v>
      </c>
      <c r="K23" s="115" t="s">
        <v>397</v>
      </c>
      <c r="L23" s="116"/>
      <c r="M23" s="36"/>
    </row>
    <row r="24" spans="1:13" x14ac:dyDescent="0.25">
      <c r="A24" s="32"/>
      <c r="B24" s="48">
        <v>23</v>
      </c>
      <c r="C24" s="49">
        <v>6</v>
      </c>
      <c r="D24" s="50">
        <f>IFERROR(IF(OR(J24="",C24=""),"",VLOOKUP(J24,'CUBAGEM PRODUTOS'!A:I,9,0)*C24),"ERRO")</f>
        <v>0.27</v>
      </c>
      <c r="E24" s="97" t="str">
        <f>IFERROR(IF(OR(J24="",C24=""),"",VLOOKUP(J24,'CUBAGEM PRODUTOS'!A:H,2,0)),"ERRO")</f>
        <v>BANQUETA 0,50 CEREJEIRA</v>
      </c>
      <c r="F24" s="97"/>
      <c r="G24" s="97"/>
      <c r="H24" s="50">
        <f>IFERROR(IF(OR(J24="",C24=""),"",VLOOKUP(J24,'CUBAGEM PRODUTOS'!$A:$H,4,0)*C24),"ERRO")</f>
        <v>18</v>
      </c>
      <c r="I24" s="43"/>
      <c r="J24" s="35">
        <f>IF(B24="","",VALUE(B24))</f>
        <v>23</v>
      </c>
      <c r="K24" s="95">
        <f>IF(K9&lt;&gt;"",C7*V1,0)</f>
        <v>7.6985314323607428</v>
      </c>
      <c r="L24" s="52">
        <f>K24</f>
        <v>7.6985314323607428</v>
      </c>
      <c r="M24" s="36"/>
    </row>
    <row r="25" spans="1:13" ht="15.75" x14ac:dyDescent="0.25">
      <c r="A25" s="32"/>
      <c r="B25" s="53">
        <v>291</v>
      </c>
      <c r="C25" s="51">
        <v>6</v>
      </c>
      <c r="D25" s="47">
        <f>IFERROR(IF(OR(J25="",C25=""),"",VLOOKUP(J25,'CUBAGEM PRODUTOS'!A:I,9,0)*C25),"ERRO")</f>
        <v>0.27</v>
      </c>
      <c r="E25" s="105" t="str">
        <f>IFERROR(IF(OR(J25="",C25=""),"",VLOOKUP(J25,'CUBAGEM PRODUTOS'!A:H,2,0)),"ERRO")</f>
        <v>BANQUETA 0,50 IMBUIA</v>
      </c>
      <c r="F25" s="105"/>
      <c r="G25" s="105"/>
      <c r="H25" s="72">
        <f>IFERROR(IF(OR(J25="",C25=""),"",VLOOKUP(J25,'CUBAGEM PRODUTOS'!$A:$H,4,0)*C25),"ERRO")</f>
        <v>18</v>
      </c>
      <c r="I25" s="43"/>
      <c r="J25" s="35">
        <f>IF(B25="","",VALUE(B25))</f>
        <v>291</v>
      </c>
      <c r="K25" s="104" t="s">
        <v>393</v>
      </c>
      <c r="L25" s="104"/>
      <c r="M25" s="36"/>
    </row>
    <row r="26" spans="1:13" ht="15.75" x14ac:dyDescent="0.25">
      <c r="A26" s="32"/>
      <c r="B26" s="48">
        <v>25709</v>
      </c>
      <c r="C26" s="49">
        <v>2</v>
      </c>
      <c r="D26" s="50">
        <f>IFERROR(IF(OR(J26="",C26=""),"",VLOOKUP(J26,'CUBAGEM PRODUTOS'!A:I,9,0)*C26),"ERRO")</f>
        <v>7.1059999999999998E-2</v>
      </c>
      <c r="E26" s="97" t="str">
        <f>IFERROR(IF(OR(J26="",C26=""),"",VLOOKUP(J26,'CUBAGEM PRODUTOS'!A:H,2,0)),"ERRO")</f>
        <v>BARRA DE CAMA IMBUIA</v>
      </c>
      <c r="F26" s="97"/>
      <c r="G26" s="97"/>
      <c r="H26" s="50">
        <f>IFERROR(IF(OR(J26="",C26=""),"",VLOOKUP(J26,'CUBAGEM PRODUTOS'!$A:$H,4,0)*C26),"ERRO")</f>
        <v>26</v>
      </c>
      <c r="I26" s="43"/>
      <c r="J26" s="35">
        <f>IF(B26="","",VALUE(B26))</f>
        <v>25709</v>
      </c>
      <c r="K26" s="98" t="str">
        <f>IF(AND(K6="BATIDA",K22&lt;=K20),"OK","NÃO VAI CABER")</f>
        <v>OK</v>
      </c>
      <c r="L26" s="99"/>
      <c r="M26" s="36"/>
    </row>
    <row r="27" spans="1:13" x14ac:dyDescent="0.25">
      <c r="A27" s="32"/>
      <c r="B27" s="53">
        <v>230</v>
      </c>
      <c r="C27" s="51">
        <v>33</v>
      </c>
      <c r="D27" s="47">
        <f>IFERROR(IF(OR(J27="",C27=""),"",VLOOKUP(J27,'CUBAGEM PRODUTOS'!A:I,9,0)*C27),"ERRO")</f>
        <v>3.5940300000000001</v>
      </c>
      <c r="E27" s="105" t="str">
        <f>IFERROR(IF(OR(J27="",C27=""),"",VLOOKUP(J27,'CUBAGEM PRODUTOS'!A:H,2,0)),"ERRO")</f>
        <v>BELICHE IMBUIA</v>
      </c>
      <c r="F27" s="105"/>
      <c r="G27" s="105"/>
      <c r="H27" s="72">
        <f>IFERROR(IF(OR(J27="",C27=""),"",VLOOKUP(J27,'CUBAGEM PRODUTOS'!$A:$H,4,0)*C27),"ERRO")</f>
        <v>1518</v>
      </c>
      <c r="I27" s="43"/>
      <c r="J27" s="35">
        <f t="shared" si="0"/>
        <v>230</v>
      </c>
      <c r="K27" s="54" t="str">
        <f>IF(K22&gt;K20,TEXT(K22-K20,"0,0")&amp;" M³ EXCEDENTES", "")</f>
        <v/>
      </c>
      <c r="L27" s="43"/>
      <c r="M27" s="36"/>
    </row>
    <row r="28" spans="1:13" ht="15.75" x14ac:dyDescent="0.25">
      <c r="A28" s="32"/>
      <c r="B28" s="48">
        <v>5</v>
      </c>
      <c r="C28" s="49">
        <v>28</v>
      </c>
      <c r="D28" s="50">
        <f>IFERROR(IF(OR(J28="",C28=""),"",VLOOKUP(J28,'CUBAGEM PRODUTOS'!A:I,9,0)*C28),"ERRO")</f>
        <v>2.9688119999999998</v>
      </c>
      <c r="E28" s="97" t="str">
        <f>IFERROR(IF(OR(J28="",C28=""),"",VLOOKUP(J28,'CUBAGEM PRODUTOS'!A:H,2,0)),"ERRO")</f>
        <v>CADEIRA ALTA CEREJEIRA</v>
      </c>
      <c r="F28" s="97"/>
      <c r="G28" s="97"/>
      <c r="H28" s="50">
        <f>IFERROR(IF(OR(J28="",C28=""),"",VLOOKUP(J28,'CUBAGEM PRODUTOS'!$A:$H,4,0)*C28),"ERRO")</f>
        <v>154</v>
      </c>
      <c r="I28" s="43"/>
      <c r="J28" s="35">
        <f t="shared" si="0"/>
        <v>5</v>
      </c>
      <c r="K28" s="104" t="s">
        <v>394</v>
      </c>
      <c r="L28" s="104"/>
      <c r="M28" s="36"/>
    </row>
    <row r="29" spans="1:13" ht="15.75" x14ac:dyDescent="0.25">
      <c r="A29" s="32"/>
      <c r="B29" s="53">
        <v>258</v>
      </c>
      <c r="C29" s="51">
        <v>245</v>
      </c>
      <c r="D29" s="47">
        <f>IFERROR(IF(OR(J29="",C29=""),"",VLOOKUP(J29,'CUBAGEM PRODUTOS'!A:I,9,0)*C29),"ERRO")</f>
        <v>25.977104999999998</v>
      </c>
      <c r="E29" s="105" t="str">
        <f>IFERROR(IF(OR(J29="",C29=""),"",VLOOKUP(J29,'CUBAGEM PRODUTOS'!A:H,2,0)),"ERRO")</f>
        <v>CADEIRA ALTA IMBUIA</v>
      </c>
      <c r="F29" s="105"/>
      <c r="G29" s="105"/>
      <c r="H29" s="72">
        <f>IFERROR(IF(OR(J29="",C29=""),"",VLOOKUP(J29,'CUBAGEM PRODUTOS'!$A:$H,4,0)*C29),"ERRO")</f>
        <v>1347.5</v>
      </c>
      <c r="I29" s="43"/>
      <c r="J29" s="35">
        <f t="shared" si="0"/>
        <v>258</v>
      </c>
      <c r="K29" s="98" t="str">
        <f>IF(AND(K10="BATIDA",K18&lt;=K4),"OK","CARGA ACIMA DO LIMITE")</f>
        <v>OK</v>
      </c>
      <c r="L29" s="99"/>
      <c r="M29" s="36"/>
    </row>
    <row r="30" spans="1:13" x14ac:dyDescent="0.25">
      <c r="A30" s="32"/>
      <c r="B30" s="48">
        <v>1</v>
      </c>
      <c r="C30" s="49">
        <v>22</v>
      </c>
      <c r="D30" s="50">
        <f>IFERROR(IF(OR(J30="",C30=""),"",VLOOKUP(J30,'CUBAGEM PRODUTOS'!A:I,9,0)*C30),"ERRO")</f>
        <v>1.6587999999999998</v>
      </c>
      <c r="E30" s="97" t="str">
        <f>IFERROR(IF(OR(J30="",C30=""),"",VLOOKUP(J30,'CUBAGEM PRODUTOS'!A:H,2,0)),"ERRO")</f>
        <v>CADEIRA COMUM CEREJEIRA</v>
      </c>
      <c r="F30" s="97"/>
      <c r="G30" s="97"/>
      <c r="H30" s="50">
        <f>IFERROR(IF(OR(J30="",C30=""),"",VLOOKUP(J30,'CUBAGEM PRODUTOS'!$A:$H,4,0)*C30),"ERRO")</f>
        <v>110</v>
      </c>
      <c r="I30" s="43"/>
      <c r="J30" s="35">
        <f t="shared" si="0"/>
        <v>1</v>
      </c>
      <c r="K30" s="54" t="str">
        <f>IF(K18&gt;K4,(TEXT(K18-K4,"0.0,0")&amp;" KGs EXCEDENTES"),"")</f>
        <v/>
      </c>
      <c r="L30" s="43"/>
      <c r="M30" s="36"/>
    </row>
    <row r="31" spans="1:13" ht="15.75" x14ac:dyDescent="0.25">
      <c r="A31" s="32"/>
      <c r="B31" s="53">
        <v>282</v>
      </c>
      <c r="C31" s="51">
        <v>168</v>
      </c>
      <c r="D31" s="47">
        <f>IFERROR(IF(OR(J31="",C31=""),"",VLOOKUP(J31,'CUBAGEM PRODUTOS'!A:I,9,0)*C31),"ERRO")</f>
        <v>12.667199999999999</v>
      </c>
      <c r="E31" s="105" t="str">
        <f>IFERROR(IF(OR(J31="",C31=""),"",VLOOKUP(J31,'CUBAGEM PRODUTOS'!A:H,2,0)),"ERRO")</f>
        <v>CADEIRA COMUM IMBUIA</v>
      </c>
      <c r="F31" s="105"/>
      <c r="G31" s="105"/>
      <c r="H31" s="72">
        <f>IFERROR(IF(OR(J31="",C31=""),"",VLOOKUP(J31,'CUBAGEM PRODUTOS'!$A:$H,4,0)*C31),"ERRO")</f>
        <v>840</v>
      </c>
      <c r="I31" s="43"/>
      <c r="J31" s="35">
        <f t="shared" si="0"/>
        <v>282</v>
      </c>
      <c r="K31" s="104" t="s">
        <v>205</v>
      </c>
      <c r="L31" s="104"/>
      <c r="M31" s="36"/>
    </row>
    <row r="32" spans="1:13" ht="15.75" x14ac:dyDescent="0.25">
      <c r="A32" s="32"/>
      <c r="B32" s="48">
        <v>239</v>
      </c>
      <c r="C32" s="49">
        <v>14</v>
      </c>
      <c r="D32" s="50">
        <f>IFERROR(IF(OR(J32="",C32=""),"",VLOOKUP(J32,'CUBAGEM PRODUTOS'!A:I,9,0)*C32),"ERRO")</f>
        <v>2.27332</v>
      </c>
      <c r="E32" s="97" t="str">
        <f>IFERROR(IF(OR(J32="",C32=""),"",VLOOKUP(J32,'CUBAGEM PRODUTOS'!A:H,2,0)),"ERRO")</f>
        <v>CAMA CASAL IMBUIA</v>
      </c>
      <c r="F32" s="97"/>
      <c r="G32" s="97"/>
      <c r="H32" s="50">
        <f>IFERROR(IF(OR(J32="",C32=""),"",VLOOKUP(J32,'CUBAGEM PRODUTOS'!$A:$H,4,0)*C32),"ERRO")</f>
        <v>329</v>
      </c>
      <c r="I32" s="43"/>
      <c r="J32" s="35">
        <f t="shared" si="0"/>
        <v>239</v>
      </c>
      <c r="K32" s="102">
        <v>87615.21</v>
      </c>
      <c r="L32" s="103"/>
      <c r="M32" s="36"/>
    </row>
    <row r="33" spans="1:13" x14ac:dyDescent="0.25">
      <c r="A33" s="32"/>
      <c r="B33" s="53">
        <v>233</v>
      </c>
      <c r="C33" s="51">
        <v>10</v>
      </c>
      <c r="D33" s="47">
        <f>IFERROR(IF(OR(J33="",C33=""),"",VLOOKUP(J33,'CUBAGEM PRODUTOS'!A:I,9,0)*C33),"ERRO")</f>
        <v>1.0291999999999999</v>
      </c>
      <c r="E33" s="105" t="str">
        <f>IFERROR(IF(OR(J33="",C33=""),"",VLOOKUP(J33,'CUBAGEM PRODUTOS'!A:H,2,0)),"ERRO")</f>
        <v>CAMA SOLTEIRO IMBUIA</v>
      </c>
      <c r="F33" s="105"/>
      <c r="G33" s="105"/>
      <c r="H33" s="72">
        <f>IFERROR(IF(OR(J33="",C33=""),"",VLOOKUP(J33,'CUBAGEM PRODUTOS'!$A:$H,4,0)*C33),"ERRO")</f>
        <v>200</v>
      </c>
      <c r="I33" s="43"/>
      <c r="J33" s="35">
        <f t="shared" si="0"/>
        <v>233</v>
      </c>
      <c r="K33" s="43"/>
      <c r="L33" s="43"/>
      <c r="M33" s="36"/>
    </row>
    <row r="34" spans="1:13" x14ac:dyDescent="0.25">
      <c r="A34" s="32"/>
      <c r="B34" s="48">
        <v>35</v>
      </c>
      <c r="C34" s="49">
        <v>5</v>
      </c>
      <c r="D34" s="50">
        <f>IFERROR(IF(OR(J34="",C34=""),"",VLOOKUP(J34,'CUBAGEM PRODUTOS'!A:I,9,0)*C34),"ERRO")</f>
        <v>0.18225000000000002</v>
      </c>
      <c r="E34" s="97" t="str">
        <f>IFERROR(IF(OR(J34="",C34=""),"",VLOOKUP(J34,'CUBAGEM PRODUTOS'!A:H,2,0)),"ERRO")</f>
        <v>MESA 0,70 X 0,45 CEREJEIRA</v>
      </c>
      <c r="F34" s="97"/>
      <c r="G34" s="97"/>
      <c r="H34" s="50">
        <f>IFERROR(IF(OR(J34="",C34=""),"",VLOOKUP(J34,'CUBAGEM PRODUTOS'!$A:$H,4,0)*C34),"ERRO")</f>
        <v>45</v>
      </c>
      <c r="I34" s="43"/>
      <c r="J34" s="35">
        <f t="shared" si="0"/>
        <v>35</v>
      </c>
      <c r="K34" s="43"/>
      <c r="L34" s="43"/>
      <c r="M34" s="36"/>
    </row>
    <row r="35" spans="1:13" x14ac:dyDescent="0.25">
      <c r="A35" s="32"/>
      <c r="B35" s="53">
        <v>294</v>
      </c>
      <c r="C35" s="51">
        <v>6</v>
      </c>
      <c r="D35" s="47">
        <f>IFERROR(IF(OR(J35="",C35=""),"",VLOOKUP(J35,'CUBAGEM PRODUTOS'!A:I,9,0)*C35),"ERRO")</f>
        <v>0.21870000000000001</v>
      </c>
      <c r="E35" s="105" t="str">
        <f>IFERROR(IF(OR(J35="",C35=""),"",VLOOKUP(J35,'CUBAGEM PRODUTOS'!A:H,2,0)),"ERRO")</f>
        <v>MESA 0,70 X 0,45 IMBUIA</v>
      </c>
      <c r="F35" s="105"/>
      <c r="G35" s="105"/>
      <c r="H35" s="72">
        <f>IFERROR(IF(OR(J35="",C35=""),"",VLOOKUP(J35,'CUBAGEM PRODUTOS'!$A:$H,4,0)*C35),"ERRO")</f>
        <v>54</v>
      </c>
      <c r="I35" s="43"/>
      <c r="J35" s="35">
        <f t="shared" si="0"/>
        <v>294</v>
      </c>
      <c r="K35" s="43"/>
      <c r="L35" s="43"/>
      <c r="M35" s="36"/>
    </row>
    <row r="36" spans="1:13" x14ac:dyDescent="0.25">
      <c r="A36" s="32"/>
      <c r="B36" s="48">
        <v>39</v>
      </c>
      <c r="C36" s="49">
        <v>3</v>
      </c>
      <c r="D36" s="50">
        <f>IFERROR(IF(OR(J36="",C36=""),"",VLOOKUP(J36,'CUBAGEM PRODUTOS'!A:I,9,0)*C36),"ERRO")</f>
        <v>0.22275</v>
      </c>
      <c r="E36" s="97" t="str">
        <f>IFERROR(IF(OR(J36="",C36=""),"",VLOOKUP(J36,'CUBAGEM PRODUTOS'!A:H,2,0)),"ERRO")</f>
        <v>MESA 0,75 X 0,75 CEREJEIRA</v>
      </c>
      <c r="F36" s="97"/>
      <c r="G36" s="97"/>
      <c r="H36" s="50">
        <f>IFERROR(IF(OR(J36="",C36=""),"",VLOOKUP(J36,'CUBAGEM PRODUTOS'!$A:$H,4,0)*C36),"ERRO")</f>
        <v>45</v>
      </c>
      <c r="I36" s="43"/>
      <c r="J36" s="35">
        <f t="shared" si="0"/>
        <v>39</v>
      </c>
      <c r="K36" s="43"/>
      <c r="L36" s="43"/>
      <c r="M36" s="36"/>
    </row>
    <row r="37" spans="1:13" x14ac:dyDescent="0.25">
      <c r="A37" s="32"/>
      <c r="B37" s="53">
        <v>295</v>
      </c>
      <c r="C37" s="51">
        <v>16</v>
      </c>
      <c r="D37" s="47">
        <f>IFERROR(IF(OR(J37="",C37=""),"",VLOOKUP(J37,'CUBAGEM PRODUTOS'!A:I,9,0)*C37),"ERRO")</f>
        <v>1.1879999999999999</v>
      </c>
      <c r="E37" s="105" t="str">
        <f>IFERROR(IF(OR(J37="",C37=""),"",VLOOKUP(J37,'CUBAGEM PRODUTOS'!A:H,2,0)),"ERRO")</f>
        <v>MESA 0,75 X 0,75 IMBUIA</v>
      </c>
      <c r="F37" s="105"/>
      <c r="G37" s="105"/>
      <c r="H37" s="72">
        <f>IFERROR(IF(OR(J37="",C37=""),"",VLOOKUP(J37,'CUBAGEM PRODUTOS'!$A:$H,4,0)*C37),"ERRO")</f>
        <v>240</v>
      </c>
      <c r="I37" s="43"/>
      <c r="J37" s="35">
        <f t="shared" si="0"/>
        <v>295</v>
      </c>
      <c r="K37" s="43"/>
      <c r="L37" s="43"/>
      <c r="M37" s="36"/>
    </row>
    <row r="38" spans="1:13" x14ac:dyDescent="0.25">
      <c r="A38" s="32"/>
      <c r="B38" s="48">
        <v>963</v>
      </c>
      <c r="C38" s="49">
        <v>1</v>
      </c>
      <c r="D38" s="50">
        <f>IFERROR(IF(OR(J38="",C38=""),"",VLOOKUP(J38,'CUBAGEM PRODUTOS'!A:I,9,0)*C38),"ERRO")</f>
        <v>4.4549999999999999E-2</v>
      </c>
      <c r="E38" s="97" t="str">
        <f>IFERROR(IF(OR(J38="",C38=""),"",VLOOKUP(J38,'CUBAGEM PRODUTOS'!A:H,2,0)),"ERRO")</f>
        <v>MESA 1,10 X 0,45 CEREJEIRA</v>
      </c>
      <c r="F38" s="97"/>
      <c r="G38" s="97"/>
      <c r="H38" s="50">
        <f>IFERROR(IF(OR(J38="",C38=""),"",VLOOKUP(J38,'CUBAGEM PRODUTOS'!$A:$H,4,0)*C38),"ERRO")</f>
        <v>11</v>
      </c>
      <c r="I38" s="43"/>
      <c r="J38" s="35">
        <f t="shared" si="0"/>
        <v>963</v>
      </c>
      <c r="K38" s="43"/>
      <c r="L38" s="43"/>
      <c r="M38" s="36"/>
    </row>
    <row r="39" spans="1:13" x14ac:dyDescent="0.25">
      <c r="A39" s="32"/>
      <c r="B39" s="53">
        <v>964</v>
      </c>
      <c r="C39" s="51">
        <v>6</v>
      </c>
      <c r="D39" s="47">
        <f>IFERROR(IF(OR(J39="",C39=""),"",VLOOKUP(J39,'CUBAGEM PRODUTOS'!A:I,9,0)*C39),"ERRO")</f>
        <v>0.26729999999999998</v>
      </c>
      <c r="E39" s="105" t="str">
        <f>IFERROR(IF(OR(J39="",C39=""),"",VLOOKUP(J39,'CUBAGEM PRODUTOS'!A:H,2,0)),"ERRO")</f>
        <v>MESA 1,10 X 0,45 IMBUIA</v>
      </c>
      <c r="F39" s="105"/>
      <c r="G39" s="105"/>
      <c r="H39" s="72">
        <f>IFERROR(IF(OR(J39="",C39=""),"",VLOOKUP(J39,'CUBAGEM PRODUTOS'!$A:$H,4,0)*C39),"ERRO")</f>
        <v>66</v>
      </c>
      <c r="I39" s="43"/>
      <c r="J39" s="35">
        <f t="shared" si="0"/>
        <v>964</v>
      </c>
      <c r="K39" s="43"/>
      <c r="L39" s="43"/>
      <c r="M39" s="36"/>
    </row>
    <row r="40" spans="1:13" x14ac:dyDescent="0.25">
      <c r="A40" s="32"/>
      <c r="B40" s="48">
        <v>966</v>
      </c>
      <c r="C40" s="49">
        <v>1</v>
      </c>
      <c r="D40" s="50">
        <f>IFERROR(IF(OR(J40="",C40=""),"",VLOOKUP(J40,'CUBAGEM PRODUTOS'!A:I,9,0)*C40),"ERRO")</f>
        <v>4.4549999999999999E-2</v>
      </c>
      <c r="E40" s="97" t="str">
        <f>IFERROR(IF(OR(J40="",C40=""),"",VLOOKUP(J40,'CUBAGEM PRODUTOS'!A:H,2,0)),"ERRO")</f>
        <v>MESA 1,10 X 0,45 TABACO</v>
      </c>
      <c r="F40" s="97"/>
      <c r="G40" s="97"/>
      <c r="H40" s="50">
        <f>IFERROR(IF(OR(J40="",C40=""),"",VLOOKUP(J40,'CUBAGEM PRODUTOS'!$A:$H,4,0)*C40),"ERRO")</f>
        <v>11</v>
      </c>
      <c r="I40" s="43"/>
      <c r="J40" s="35">
        <f t="shared" si="0"/>
        <v>966</v>
      </c>
      <c r="K40" s="43"/>
      <c r="L40" s="43"/>
      <c r="M40" s="36"/>
    </row>
    <row r="41" spans="1:13" x14ac:dyDescent="0.25">
      <c r="A41" s="32"/>
      <c r="B41" s="53">
        <v>44</v>
      </c>
      <c r="C41" s="51">
        <v>3</v>
      </c>
      <c r="D41" s="47">
        <f>IFERROR(IF(OR(J41="",C41=""),"",VLOOKUP(J41,'CUBAGEM PRODUTOS'!A:I,9,0)*C41),"ERRO")</f>
        <v>0.18112499999999998</v>
      </c>
      <c r="E41" s="105" t="str">
        <f>IFERROR(IF(OR(J41="",C41=""),"",VLOOKUP(J41,'CUBAGEM PRODUTOS'!A:H,2,0)),"ERRO")</f>
        <v>MESA 1,15 X 0,75 CEREJEIRA</v>
      </c>
      <c r="F41" s="105"/>
      <c r="G41" s="105"/>
      <c r="H41" s="72">
        <f>IFERROR(IF(OR(J41="",C41=""),"",VLOOKUP(J41,'CUBAGEM PRODUTOS'!$A:$H,4,0)*C41),"ERRO")</f>
        <v>48</v>
      </c>
      <c r="I41" s="43"/>
      <c r="J41" s="35">
        <f t="shared" si="0"/>
        <v>44</v>
      </c>
      <c r="K41" s="43"/>
      <c r="L41" s="43"/>
      <c r="M41" s="36"/>
    </row>
    <row r="42" spans="1:13" x14ac:dyDescent="0.25">
      <c r="A42" s="32"/>
      <c r="B42" s="48">
        <v>283</v>
      </c>
      <c r="C42" s="49">
        <v>29</v>
      </c>
      <c r="D42" s="50">
        <f>IFERROR(IF(OR(J42="",C42=""),"",VLOOKUP(J42,'CUBAGEM PRODUTOS'!A:I,9,0)*C42),"ERRO")</f>
        <v>1.750875</v>
      </c>
      <c r="E42" s="97" t="str">
        <f>IFERROR(IF(OR(J42="",C42=""),"",VLOOKUP(J42,'CUBAGEM PRODUTOS'!A:H,2,0)),"ERRO")</f>
        <v>MESA 1,15 X 0,75 IMBUIA</v>
      </c>
      <c r="F42" s="97"/>
      <c r="G42" s="97"/>
      <c r="H42" s="50">
        <f>IFERROR(IF(OR(J42="",C42=""),"",VLOOKUP(J42,'CUBAGEM PRODUTOS'!$A:$H,4,0)*C42),"ERRO")</f>
        <v>464</v>
      </c>
      <c r="I42" s="43"/>
      <c r="J42" s="35">
        <f t="shared" si="0"/>
        <v>283</v>
      </c>
      <c r="K42" s="43"/>
      <c r="L42" s="43"/>
      <c r="M42" s="36"/>
    </row>
    <row r="43" spans="1:13" x14ac:dyDescent="0.25">
      <c r="A43" s="32"/>
      <c r="B43" s="53">
        <v>100</v>
      </c>
      <c r="C43" s="51">
        <v>2</v>
      </c>
      <c r="D43" s="47">
        <f>IFERROR(IF(OR(J43="",C43=""),"",VLOOKUP(J43,'CUBAGEM PRODUTOS'!A:I,9,0)*C43),"ERRO")</f>
        <v>0.15359999999999999</v>
      </c>
      <c r="E43" s="105" t="str">
        <f>IFERROR(IF(OR(J43="",C43=""),"",VLOOKUP(J43,'CUBAGEM PRODUTOS'!A:H,2,0)),"ERRO")</f>
        <v>MESA 1,20 X 0,80 CEREJEIRA</v>
      </c>
      <c r="F43" s="105"/>
      <c r="G43" s="105"/>
      <c r="H43" s="72">
        <f>IFERROR(IF(OR(J43="",C43=""),"",VLOOKUP(J43,'CUBAGEM PRODUTOS'!$A:$H,4,0)*C43),"ERRO")</f>
        <v>34</v>
      </c>
      <c r="I43" s="43"/>
      <c r="J43" s="35">
        <f t="shared" si="0"/>
        <v>100</v>
      </c>
      <c r="K43" s="43"/>
      <c r="L43" s="43"/>
      <c r="M43" s="36"/>
    </row>
    <row r="44" spans="1:13" x14ac:dyDescent="0.25">
      <c r="A44" s="32"/>
      <c r="B44" s="48">
        <v>48</v>
      </c>
      <c r="C44" s="49">
        <v>2</v>
      </c>
      <c r="D44" s="50">
        <f>IFERROR(IF(OR(J44="",C44=""),"",VLOOKUP(J44,'CUBAGEM PRODUTOS'!A:I,9,0)*C44),"ERRO")</f>
        <v>0.192</v>
      </c>
      <c r="E44" s="97" t="str">
        <f>IFERROR(IF(OR(J44="",C44=""),"",VLOOKUP(J44,'CUBAGEM PRODUTOS'!A:H,2,0)),"ERRO")</f>
        <v>MESA 1,50 X 0,80 CEREJEIRA</v>
      </c>
      <c r="F44" s="97"/>
      <c r="G44" s="97"/>
      <c r="H44" s="50">
        <f>IFERROR(IF(OR(J44="",C44=""),"",VLOOKUP(J44,'CUBAGEM PRODUTOS'!$A:$H,4,0)*C44),"ERRO")</f>
        <v>44</v>
      </c>
      <c r="I44" s="43"/>
      <c r="J44" s="35">
        <f t="shared" si="0"/>
        <v>48</v>
      </c>
      <c r="K44" s="43"/>
      <c r="L44" s="43"/>
      <c r="M44" s="36"/>
    </row>
    <row r="45" spans="1:13" x14ac:dyDescent="0.25">
      <c r="A45" s="32"/>
      <c r="B45" s="53">
        <v>298</v>
      </c>
      <c r="C45" s="51">
        <v>10</v>
      </c>
      <c r="D45" s="47">
        <f>IFERROR(IF(OR(J45="",C45=""),"",VLOOKUP(J45,'CUBAGEM PRODUTOS'!A:I,9,0)*C45),"ERRO")</f>
        <v>0.96</v>
      </c>
      <c r="E45" s="105" t="str">
        <f>IFERROR(IF(OR(J45="",C45=""),"",VLOOKUP(J45,'CUBAGEM PRODUTOS'!A:H,2,0)),"ERRO")</f>
        <v>MESA 1,50 X 0,80 IMBUIA</v>
      </c>
      <c r="F45" s="105"/>
      <c r="G45" s="105"/>
      <c r="H45" s="72">
        <f>IFERROR(IF(OR(J45="",C45=""),"",VLOOKUP(J45,'CUBAGEM PRODUTOS'!$A:$H,4,0)*C45),"ERRO")</f>
        <v>220</v>
      </c>
      <c r="I45" s="43"/>
      <c r="J45" s="35">
        <f t="shared" si="0"/>
        <v>298</v>
      </c>
      <c r="K45" s="43"/>
      <c r="L45" s="43"/>
      <c r="M45" s="36"/>
    </row>
    <row r="46" spans="1:13" x14ac:dyDescent="0.25">
      <c r="A46" s="32"/>
      <c r="B46" s="48">
        <v>307</v>
      </c>
      <c r="C46" s="49">
        <v>2</v>
      </c>
      <c r="D46" s="50">
        <f>IFERROR(IF(OR(J46="",C46=""),"",VLOOKUP(J46,'CUBAGEM PRODUTOS'!A:I,9,0)*C46),"ERRO")</f>
        <v>0.20480000000000001</v>
      </c>
      <c r="E46" s="97" t="str">
        <f>IFERROR(IF(OR(J46="",C46=""),"",VLOOKUP(J46,'CUBAGEM PRODUTOS'!A:H,2,0)),"ERRO")</f>
        <v>MESA 1,60 X 0,80 IMBUIA</v>
      </c>
      <c r="F46" s="97"/>
      <c r="G46" s="97"/>
      <c r="H46" s="50">
        <f>IFERROR(IF(OR(J46="",C46=""),"",VLOOKUP(J46,'CUBAGEM PRODUTOS'!$A:$H,4,0)*C46),"ERRO")</f>
        <v>44</v>
      </c>
      <c r="I46" s="43"/>
      <c r="J46" s="35">
        <f t="shared" si="0"/>
        <v>307</v>
      </c>
      <c r="K46" s="43"/>
      <c r="L46" s="43"/>
      <c r="M46" s="36"/>
    </row>
    <row r="47" spans="1:13" x14ac:dyDescent="0.25">
      <c r="A47" s="32"/>
      <c r="B47" s="53">
        <v>299</v>
      </c>
      <c r="C47" s="51">
        <v>4</v>
      </c>
      <c r="D47" s="47">
        <f>IFERROR(IF(OR(J47="",C47=""),"",VLOOKUP(J47,'CUBAGEM PRODUTOS'!A:I,9,0)*C47),"ERRO")</f>
        <v>0.55079999999999996</v>
      </c>
      <c r="E47" s="105" t="str">
        <f>IFERROR(IF(OR(J47="",C47=""),"",VLOOKUP(J47,'CUBAGEM PRODUTOS'!A:H,2,0)),"ERRO")</f>
        <v>MESA 1,80 X 0,85 IMBUIA</v>
      </c>
      <c r="F47" s="105"/>
      <c r="G47" s="105"/>
      <c r="H47" s="72">
        <f>IFERROR(IF(OR(J47="",C47=""),"",VLOOKUP(J47,'CUBAGEM PRODUTOS'!$A:$H,4,0)*C47),"ERRO")</f>
        <v>100</v>
      </c>
      <c r="I47" s="43"/>
      <c r="J47" s="35">
        <f t="shared" si="0"/>
        <v>299</v>
      </c>
      <c r="K47" s="43"/>
      <c r="L47" s="43"/>
      <c r="M47" s="36"/>
    </row>
    <row r="48" spans="1:13" x14ac:dyDescent="0.25">
      <c r="A48" s="32"/>
      <c r="B48" s="48">
        <v>56</v>
      </c>
      <c r="C48" s="49">
        <v>1</v>
      </c>
      <c r="D48" s="50">
        <f>IFERROR(IF(OR(J48="",C48=""),"",VLOOKUP(J48,'CUBAGEM PRODUTOS'!A:I,9,0)*C48),"ERRO")</f>
        <v>0.15840000000000001</v>
      </c>
      <c r="E48" s="97" t="str">
        <f>IFERROR(IF(OR(J48="",C48=""),"",VLOOKUP(J48,'CUBAGEM PRODUTOS'!A:H,2,0)),"ERRO")</f>
        <v>MESA 2,00 X 0,88 CEREJEIRA</v>
      </c>
      <c r="F48" s="97"/>
      <c r="G48" s="97"/>
      <c r="H48" s="50">
        <f>IFERROR(IF(OR(J48="",C48=""),"",VLOOKUP(J48,'CUBAGEM PRODUTOS'!$A:$H,4,0)*C48),"ERRO")</f>
        <v>26</v>
      </c>
      <c r="I48" s="43"/>
      <c r="J48" s="35">
        <f t="shared" si="0"/>
        <v>56</v>
      </c>
      <c r="K48" s="43"/>
      <c r="L48" s="43"/>
      <c r="M48" s="36"/>
    </row>
    <row r="49" spans="1:13" x14ac:dyDescent="0.25">
      <c r="A49" s="32"/>
      <c r="B49" s="53">
        <v>300</v>
      </c>
      <c r="C49" s="51">
        <v>5</v>
      </c>
      <c r="D49" s="47">
        <f>IFERROR(IF(OR(J49="",C49=""),"",VLOOKUP(J49,'CUBAGEM PRODUTOS'!A:I,9,0)*C49),"ERRO")</f>
        <v>0.79200000000000004</v>
      </c>
      <c r="E49" s="105" t="str">
        <f>IFERROR(IF(OR(J49="",C49=""),"",VLOOKUP(J49,'CUBAGEM PRODUTOS'!A:H,2,0)),"ERRO")</f>
        <v>MESA 2,00 X 0,88 IMBUIA</v>
      </c>
      <c r="F49" s="105"/>
      <c r="G49" s="105"/>
      <c r="H49" s="72">
        <f>IFERROR(IF(OR(J49="",C49=""),"",VLOOKUP(J49,'CUBAGEM PRODUTOS'!$A:$H,4,0)*C49),"ERRO")</f>
        <v>130</v>
      </c>
      <c r="I49" s="43"/>
      <c r="J49" s="35">
        <f t="shared" si="0"/>
        <v>300</v>
      </c>
      <c r="K49" s="43"/>
      <c r="L49" s="43"/>
      <c r="M49" s="36"/>
    </row>
    <row r="50" spans="1:13" x14ac:dyDescent="0.25">
      <c r="A50" s="32"/>
      <c r="B50" s="48">
        <v>25711</v>
      </c>
      <c r="C50" s="49">
        <v>6</v>
      </c>
      <c r="D50" s="50">
        <f>IFERROR(IF(OR(J50="",C50=""),"",VLOOKUP(J50,'CUBAGEM PRODUTOS'!A:I,9,0)*C50),"ERRO")</f>
        <v>0</v>
      </c>
      <c r="E50" s="97" t="str">
        <f>IFERROR(IF(OR(J50="",C50=""),"",VLOOKUP(J50,'CUBAGEM PRODUTOS'!A:H,2,0)),"ERRO")</f>
        <v>RIPAS DE CAMA</v>
      </c>
      <c r="F50" s="97"/>
      <c r="G50" s="97"/>
      <c r="H50" s="50">
        <f>IFERROR(IF(OR(J50="",C50=""),"",VLOOKUP(J50,'CUBAGEM PRODUTOS'!$A:$H,4,0)*C50),"ERRO")</f>
        <v>0</v>
      </c>
      <c r="I50" s="43"/>
      <c r="J50" s="35">
        <f t="shared" si="0"/>
        <v>25711</v>
      </c>
      <c r="K50" s="43"/>
      <c r="L50" s="43"/>
      <c r="M50" s="36"/>
    </row>
    <row r="51" spans="1:13" x14ac:dyDescent="0.25">
      <c r="A51" s="32"/>
      <c r="B51" s="53">
        <v>25713</v>
      </c>
      <c r="C51" s="51">
        <v>5</v>
      </c>
      <c r="D51" s="47">
        <f>IFERROR(IF(OR(J51="",C51=""),"",VLOOKUP(J51,'CUBAGEM PRODUTOS'!A:I,9,0)*C51),"ERRO")</f>
        <v>0</v>
      </c>
      <c r="E51" s="105" t="str">
        <f>IFERROR(IF(OR(J51="",C51=""),"",VLOOKUP(J51,'CUBAGEM PRODUTOS'!A:H,2,0)),"ERRO")</f>
        <v>SARRAFO SOLTEIRO</v>
      </c>
      <c r="F51" s="105"/>
      <c r="G51" s="105"/>
      <c r="H51" s="72">
        <f>IFERROR(IF(OR(J51="",C51=""),"",VLOOKUP(J51,'CUBAGEM PRODUTOS'!$A:$H,4,0)*C51),"ERRO")</f>
        <v>0</v>
      </c>
      <c r="I51" s="43"/>
      <c r="J51" s="35">
        <f t="shared" si="0"/>
        <v>25713</v>
      </c>
      <c r="K51" s="43"/>
      <c r="L51" s="43"/>
      <c r="M51" s="36"/>
    </row>
    <row r="52" spans="1:13" x14ac:dyDescent="0.25">
      <c r="A52" s="32"/>
      <c r="B52" s="48"/>
      <c r="C52" s="49"/>
      <c r="D52" s="50" t="str">
        <f>IFERROR(IF(OR(J52="",C52=""),"",VLOOKUP(J52,'CUBAGEM PRODUTOS'!A:I,9,0)*C52),"ERRO")</f>
        <v/>
      </c>
      <c r="E52" s="97" t="str">
        <f>IFERROR(IF(OR(J52="",C52=""),"",VLOOKUP(J52,'CUBAGEM PRODUTOS'!A:H,2,0)),"ERRO")</f>
        <v/>
      </c>
      <c r="F52" s="97"/>
      <c r="G52" s="97"/>
      <c r="H52" s="50" t="str">
        <f>IFERROR(IF(OR(J52="",C52=""),"",VLOOKUP(J52,'CUBAGEM PRODUTOS'!$A:$H,4,0)*C52),"ERRO")</f>
        <v/>
      </c>
      <c r="I52" s="43"/>
      <c r="J52" s="35" t="str">
        <f t="shared" si="0"/>
        <v/>
      </c>
      <c r="K52" s="43"/>
      <c r="L52" s="43"/>
      <c r="M52" s="36"/>
    </row>
    <row r="53" spans="1:13" x14ac:dyDescent="0.25">
      <c r="A53" s="32"/>
      <c r="B53" s="53"/>
      <c r="C53" s="51"/>
      <c r="D53" s="47" t="str">
        <f>IFERROR(IF(OR(J53="",C53=""),"",VLOOKUP(J53,'CUBAGEM PRODUTOS'!A:I,9,0)*C53),"ERRO")</f>
        <v/>
      </c>
      <c r="E53" s="105" t="str">
        <f>IFERROR(IF(OR(J53="",C53=""),"",VLOOKUP(J53,'CUBAGEM PRODUTOS'!A:H,2,0)),"ERRO")</f>
        <v/>
      </c>
      <c r="F53" s="105"/>
      <c r="G53" s="105"/>
      <c r="H53" s="72" t="str">
        <f>IFERROR(IF(OR(J53="",C53=""),"",VLOOKUP(J53,'CUBAGEM PRODUTOS'!$A:$H,4,0)*C53),"ERRO")</f>
        <v/>
      </c>
      <c r="I53" s="43"/>
      <c r="J53" s="35" t="str">
        <f t="shared" si="0"/>
        <v/>
      </c>
      <c r="K53" s="43"/>
      <c r="L53" s="43"/>
      <c r="M53" s="36"/>
    </row>
    <row r="54" spans="1:13" x14ac:dyDescent="0.25">
      <c r="A54" s="32"/>
      <c r="B54" s="48"/>
      <c r="C54" s="49"/>
      <c r="D54" s="50" t="str">
        <f>IFERROR(IF(OR(J54="",C54=""),"",VLOOKUP(J54,'CUBAGEM PRODUTOS'!A:I,9,0)*C54),"ERRO")</f>
        <v/>
      </c>
      <c r="E54" s="97" t="str">
        <f>IFERROR(IF(OR(J54="",C54=""),"",VLOOKUP(J54,'CUBAGEM PRODUTOS'!A:H,2,0)),"ERRO")</f>
        <v/>
      </c>
      <c r="F54" s="97"/>
      <c r="G54" s="97"/>
      <c r="H54" s="50" t="str">
        <f>IFERROR(IF(OR(J54="",C54=""),"",VLOOKUP(J54,'CUBAGEM PRODUTOS'!$A:$H,4,0)*C54),"ERRO")</f>
        <v/>
      </c>
      <c r="I54" s="43"/>
      <c r="J54" s="35" t="str">
        <f t="shared" si="0"/>
        <v/>
      </c>
      <c r="K54" s="43"/>
      <c r="L54" s="43"/>
      <c r="M54" s="36"/>
    </row>
    <row r="55" spans="1:13" x14ac:dyDescent="0.25">
      <c r="A55" s="32"/>
      <c r="B55" s="53"/>
      <c r="C55" s="51"/>
      <c r="D55" s="47" t="str">
        <f>IFERROR(IF(OR(J55="",C55=""),"",VLOOKUP(J55,'CUBAGEM PRODUTOS'!A:I,9,0)*C55),"ERRO")</f>
        <v/>
      </c>
      <c r="E55" s="105" t="str">
        <f>IFERROR(IF(OR(J55="",C55=""),"",VLOOKUP(J55,'CUBAGEM PRODUTOS'!A:H,2,0)),"ERRO")</f>
        <v/>
      </c>
      <c r="F55" s="105"/>
      <c r="G55" s="105"/>
      <c r="H55" s="72" t="str">
        <f>IFERROR(IF(OR(J55="",C55=""),"",VLOOKUP(J55,'CUBAGEM PRODUTOS'!$A:$H,4,0)*C55),"ERRO")</f>
        <v/>
      </c>
      <c r="I55" s="43"/>
      <c r="J55" s="35" t="str">
        <f t="shared" si="0"/>
        <v/>
      </c>
      <c r="K55" s="43"/>
      <c r="L55" s="43"/>
      <c r="M55" s="36"/>
    </row>
    <row r="56" spans="1:13" x14ac:dyDescent="0.25">
      <c r="A56" s="32"/>
      <c r="B56" s="48"/>
      <c r="C56" s="49"/>
      <c r="D56" s="50" t="str">
        <f>IFERROR(IF(OR(J56="",C56=""),"",VLOOKUP(J56,'CUBAGEM PRODUTOS'!A:I,9,0)*C56),"ERRO")</f>
        <v/>
      </c>
      <c r="E56" s="97" t="str">
        <f>IFERROR(IF(OR(J56="",C56=""),"",VLOOKUP(J56,'CUBAGEM PRODUTOS'!A:H,2,0)),"ERRO")</f>
        <v/>
      </c>
      <c r="F56" s="97"/>
      <c r="G56" s="97"/>
      <c r="H56" s="50" t="str">
        <f>IFERROR(IF(OR(J56="",C56=""),"",VLOOKUP(J56,'CUBAGEM PRODUTOS'!$A:$H,4,0)*C56),"ERRO")</f>
        <v/>
      </c>
      <c r="I56" s="43"/>
      <c r="J56" s="35" t="str">
        <f t="shared" si="0"/>
        <v/>
      </c>
      <c r="K56" s="43"/>
      <c r="L56" s="43"/>
      <c r="M56" s="36"/>
    </row>
    <row r="57" spans="1:13" x14ac:dyDescent="0.25">
      <c r="A57" s="32"/>
      <c r="B57" s="53"/>
      <c r="C57" s="51"/>
      <c r="D57" s="47" t="str">
        <f>IFERROR(IF(OR(J57="",C57=""),"",VLOOKUP(J57,'CUBAGEM PRODUTOS'!A:I,9,0)*C57),"ERRO")</f>
        <v/>
      </c>
      <c r="E57" s="105" t="str">
        <f>IFERROR(IF(OR(J57="",C57=""),"",VLOOKUP(J57,'CUBAGEM PRODUTOS'!A:H,2,0)),"ERRO")</f>
        <v/>
      </c>
      <c r="F57" s="105"/>
      <c r="G57" s="105"/>
      <c r="H57" s="72" t="str">
        <f>IFERROR(IF(OR(J57="",C57=""),"",VLOOKUP(J57,'CUBAGEM PRODUTOS'!$A:$H,4,0)*C57),"ERRO")</f>
        <v/>
      </c>
      <c r="I57" s="43"/>
      <c r="J57" s="35" t="str">
        <f t="shared" si="0"/>
        <v/>
      </c>
      <c r="K57" s="43"/>
      <c r="L57" s="43"/>
      <c r="M57" s="36"/>
    </row>
    <row r="58" spans="1:13" x14ac:dyDescent="0.25">
      <c r="A58" s="32"/>
      <c r="B58" s="48"/>
      <c r="C58" s="49"/>
      <c r="D58" s="50" t="str">
        <f>IFERROR(IF(OR(J58="",C58=""),"",VLOOKUP(J58,'CUBAGEM PRODUTOS'!A:I,9,0)*C58),"ERRO")</f>
        <v/>
      </c>
      <c r="E58" s="97" t="str">
        <f>IFERROR(IF(OR(J58="",C58=""),"",VLOOKUP(J58,'CUBAGEM PRODUTOS'!A:H,2,0)),"ERRO")</f>
        <v/>
      </c>
      <c r="F58" s="97"/>
      <c r="G58" s="97"/>
      <c r="H58" s="50" t="str">
        <f>IFERROR(IF(OR(J58="",C58=""),"",VLOOKUP(J58,'CUBAGEM PRODUTOS'!$A:$H,4,0)*C58),"ERRO")</f>
        <v/>
      </c>
      <c r="I58" s="43"/>
      <c r="J58" s="35" t="str">
        <f t="shared" si="0"/>
        <v/>
      </c>
      <c r="K58" s="43"/>
      <c r="L58" s="43"/>
      <c r="M58" s="36"/>
    </row>
    <row r="59" spans="1:13" x14ac:dyDescent="0.25">
      <c r="A59" s="32"/>
      <c r="B59" s="53"/>
      <c r="C59" s="51"/>
      <c r="D59" s="47" t="str">
        <f>IFERROR(IF(OR(J59="",C59=""),"",VLOOKUP(J59,'CUBAGEM PRODUTOS'!A:I,9,0)*C59),"ERRO")</f>
        <v/>
      </c>
      <c r="E59" s="105" t="str">
        <f>IFERROR(IF(OR(J59="",C59=""),"",VLOOKUP(J59,'CUBAGEM PRODUTOS'!A:H,2,0)),"ERRO")</f>
        <v/>
      </c>
      <c r="F59" s="105"/>
      <c r="G59" s="105"/>
      <c r="H59" s="72" t="str">
        <f>IFERROR(IF(OR(J59="",C59=""),"",VLOOKUP(J59,'CUBAGEM PRODUTOS'!$A:$H,4,0)*C59),"ERRO")</f>
        <v/>
      </c>
      <c r="I59" s="43"/>
      <c r="J59" s="35" t="str">
        <f t="shared" si="0"/>
        <v/>
      </c>
      <c r="K59" s="43"/>
      <c r="L59" s="43"/>
      <c r="M59" s="36"/>
    </row>
    <row r="60" spans="1:13" x14ac:dyDescent="0.25">
      <c r="A60" s="32"/>
      <c r="B60" s="48"/>
      <c r="C60" s="49"/>
      <c r="D60" s="50" t="str">
        <f>IFERROR(IF(OR(J60="",C60=""),"",VLOOKUP(J60,'CUBAGEM PRODUTOS'!A:I,9,0)*C60),"ERRO")</f>
        <v/>
      </c>
      <c r="E60" s="97" t="str">
        <f>IFERROR(IF(OR(J60="",C60=""),"",VLOOKUP(J60,'CUBAGEM PRODUTOS'!A:H,2,0)),"ERRO")</f>
        <v/>
      </c>
      <c r="F60" s="97"/>
      <c r="G60" s="97"/>
      <c r="H60" s="50" t="str">
        <f>IFERROR(IF(OR(J60="",C60=""),"",VLOOKUP(J60,'CUBAGEM PRODUTOS'!$A:$H,4,0)*C60),"ERRO")</f>
        <v/>
      </c>
      <c r="I60" s="43"/>
      <c r="J60" s="35" t="str">
        <f t="shared" si="0"/>
        <v/>
      </c>
      <c r="K60" s="43"/>
      <c r="L60" s="43"/>
      <c r="M60" s="36"/>
    </row>
    <row r="61" spans="1:13" x14ac:dyDescent="0.25">
      <c r="A61" s="32"/>
      <c r="B61" s="53"/>
      <c r="C61" s="51"/>
      <c r="D61" s="47" t="str">
        <f>IFERROR(IF(OR(J61="",C61=""),"",VLOOKUP(J61,'CUBAGEM PRODUTOS'!A:I,9,0)*C61),"ERRO")</f>
        <v/>
      </c>
      <c r="E61" s="105" t="str">
        <f>IFERROR(IF(OR(J61="",C61=""),"",VLOOKUP(J61,'CUBAGEM PRODUTOS'!A:H,2,0)),"ERRO")</f>
        <v/>
      </c>
      <c r="F61" s="105"/>
      <c r="G61" s="105"/>
      <c r="H61" s="72" t="str">
        <f>IFERROR(IF(OR(J61="",C61=""),"",VLOOKUP(J61,'CUBAGEM PRODUTOS'!$A:$H,4,0)*C61),"ERRO")</f>
        <v/>
      </c>
      <c r="I61" s="43"/>
      <c r="J61" s="35" t="str">
        <f t="shared" si="0"/>
        <v/>
      </c>
      <c r="K61" s="43"/>
      <c r="L61" s="43"/>
      <c r="M61" s="36"/>
    </row>
    <row r="62" spans="1:13" x14ac:dyDescent="0.25">
      <c r="A62" s="32"/>
      <c r="B62" s="48"/>
      <c r="C62" s="49"/>
      <c r="D62" s="50" t="str">
        <f>IFERROR(IF(OR(J62="",C62=""),"",VLOOKUP(J62,'CUBAGEM PRODUTOS'!A:I,9,0)*C62),"ERRO")</f>
        <v/>
      </c>
      <c r="E62" s="97" t="str">
        <f>IFERROR(IF(OR(J62="",C62=""),"",VLOOKUP(J62,'CUBAGEM PRODUTOS'!A:H,2,0)),"ERRO")</f>
        <v/>
      </c>
      <c r="F62" s="97"/>
      <c r="G62" s="97"/>
      <c r="H62" s="50" t="str">
        <f>IFERROR(IF(OR(J62="",C62=""),"",VLOOKUP(J62,'CUBAGEM PRODUTOS'!$A:$H,4,0)*C62),"ERRO")</f>
        <v/>
      </c>
      <c r="I62" s="43"/>
      <c r="J62" s="35" t="str">
        <f t="shared" si="0"/>
        <v/>
      </c>
      <c r="K62" s="43"/>
      <c r="L62" s="43"/>
      <c r="M62" s="36"/>
    </row>
    <row r="63" spans="1:13" x14ac:dyDescent="0.25">
      <c r="A63" s="32"/>
      <c r="B63" s="53"/>
      <c r="C63" s="51"/>
      <c r="D63" s="47" t="str">
        <f>IFERROR(IF(OR(J63="",C63=""),"",VLOOKUP(J63,'CUBAGEM PRODUTOS'!A:I,9,0)*C63),"ERRO")</f>
        <v/>
      </c>
      <c r="E63" s="105" t="str">
        <f>IFERROR(IF(OR(J63="",C63=""),"",VLOOKUP(J63,'CUBAGEM PRODUTOS'!A:H,2,0)),"ERRO")</f>
        <v/>
      </c>
      <c r="F63" s="105"/>
      <c r="G63" s="105"/>
      <c r="H63" s="72" t="str">
        <f>IFERROR(IF(OR(J63="",C63=""),"",VLOOKUP(J63,'CUBAGEM PRODUTOS'!$A:$H,4,0)*C63),"ERRO")</f>
        <v/>
      </c>
      <c r="I63" s="43"/>
      <c r="J63" s="35" t="str">
        <f t="shared" si="0"/>
        <v/>
      </c>
      <c r="K63" s="43"/>
      <c r="L63" s="43"/>
      <c r="M63" s="36"/>
    </row>
    <row r="64" spans="1:13" x14ac:dyDescent="0.25">
      <c r="A64" s="32"/>
      <c r="B64" s="48"/>
      <c r="C64" s="49"/>
      <c r="D64" s="50" t="str">
        <f>IFERROR(IF(OR(J64="",C64=""),"",VLOOKUP(J64,'CUBAGEM PRODUTOS'!A:I,9,0)*C64),"ERRO")</f>
        <v/>
      </c>
      <c r="E64" s="97" t="str">
        <f>IFERROR(IF(OR(J64="",C64=""),"",VLOOKUP(J64,'CUBAGEM PRODUTOS'!A:H,2,0)),"ERRO")</f>
        <v/>
      </c>
      <c r="F64" s="97"/>
      <c r="G64" s="97"/>
      <c r="H64" s="50" t="str">
        <f>IFERROR(IF(OR(J64="",C64=""),"",VLOOKUP(J64,'CUBAGEM PRODUTOS'!$A:$H,4,0)*C64),"ERRO")</f>
        <v/>
      </c>
      <c r="I64" s="43"/>
      <c r="J64" s="35" t="str">
        <f t="shared" si="0"/>
        <v/>
      </c>
      <c r="K64" s="43"/>
      <c r="L64" s="43"/>
      <c r="M64" s="36"/>
    </row>
    <row r="65" spans="1:13" x14ac:dyDescent="0.25">
      <c r="A65" s="32"/>
      <c r="B65" s="53"/>
      <c r="C65" s="51"/>
      <c r="D65" s="47" t="str">
        <f>IFERROR(IF(OR(J65="",C65=""),"",VLOOKUP(J65,'CUBAGEM PRODUTOS'!A:I,9,0)*C65),"ERRO")</f>
        <v/>
      </c>
      <c r="E65" s="105" t="str">
        <f>IFERROR(IF(OR(J65="",C65=""),"",VLOOKUP(J65,'CUBAGEM PRODUTOS'!A:H,2,0)),"ERRO")</f>
        <v/>
      </c>
      <c r="F65" s="105"/>
      <c r="G65" s="105"/>
      <c r="H65" s="72" t="str">
        <f>IFERROR(IF(OR(J65="",C65=""),"",VLOOKUP(J65,'CUBAGEM PRODUTOS'!$A:$H,4,0)*C65),"ERRO")</f>
        <v/>
      </c>
      <c r="I65" s="43"/>
      <c r="J65" s="35" t="str">
        <f t="shared" si="0"/>
        <v/>
      </c>
      <c r="K65" s="43"/>
      <c r="L65" s="43"/>
      <c r="M65" s="36"/>
    </row>
    <row r="66" spans="1:13" x14ac:dyDescent="0.25">
      <c r="A66" s="32"/>
      <c r="B66" s="48"/>
      <c r="C66" s="49"/>
      <c r="D66" s="50" t="str">
        <f>IFERROR(IF(OR(J66="",C66=""),"",VLOOKUP(J66,'CUBAGEM PRODUTOS'!A:I,9,0)*C66),"ERRO")</f>
        <v/>
      </c>
      <c r="E66" s="97" t="str">
        <f>IFERROR(IF(OR(J66="",C66=""),"",VLOOKUP(J66,'CUBAGEM PRODUTOS'!A:H,2,0)),"ERRO")</f>
        <v/>
      </c>
      <c r="F66" s="97"/>
      <c r="G66" s="97"/>
      <c r="H66" s="50" t="str">
        <f>IFERROR(IF(OR(J66="",C66=""),"",VLOOKUP(J66,'CUBAGEM PRODUTOS'!$A:$H,4,0)*C66),"ERRO")</f>
        <v/>
      </c>
      <c r="I66" s="43"/>
      <c r="J66" s="35" t="str">
        <f t="shared" si="0"/>
        <v/>
      </c>
      <c r="K66" s="43"/>
      <c r="L66" s="43"/>
      <c r="M66" s="36"/>
    </row>
    <row r="67" spans="1:13" x14ac:dyDescent="0.25">
      <c r="A67" s="32"/>
      <c r="B67" s="53"/>
      <c r="C67" s="51"/>
      <c r="D67" s="47" t="str">
        <f>IFERROR(IF(OR(J67="",C67=""),"",VLOOKUP(J67,'CUBAGEM PRODUTOS'!A:I,9,0)*C67),"ERRO")</f>
        <v/>
      </c>
      <c r="E67" s="105" t="str">
        <f>IFERROR(IF(OR(J67="",C67=""),"",VLOOKUP(J67,'CUBAGEM PRODUTOS'!A:H,2,0)),"ERRO")</f>
        <v/>
      </c>
      <c r="F67" s="105"/>
      <c r="G67" s="105"/>
      <c r="H67" s="72" t="str">
        <f>IFERROR(IF(OR(J67="",C67=""),"",VLOOKUP(J67,'CUBAGEM PRODUTOS'!$A:$H,4,0)*C67),"ERRO")</f>
        <v/>
      </c>
      <c r="I67" s="43"/>
      <c r="J67" s="35" t="str">
        <f t="shared" si="0"/>
        <v/>
      </c>
      <c r="K67" s="43"/>
      <c r="L67" s="43"/>
      <c r="M67" s="36"/>
    </row>
    <row r="68" spans="1:13" x14ac:dyDescent="0.25">
      <c r="A68" s="32"/>
      <c r="B68" s="48"/>
      <c r="C68" s="49"/>
      <c r="D68" s="50" t="str">
        <f>IFERROR(IF(OR(J68="",C68=""),"",VLOOKUP(J68,'CUBAGEM PRODUTOS'!A:I,9,0)*C68),"ERRO")</f>
        <v/>
      </c>
      <c r="E68" s="97" t="str">
        <f>IFERROR(IF(OR(J68="",C68=""),"",VLOOKUP(J68,'CUBAGEM PRODUTOS'!A:H,2,0)),"ERRO")</f>
        <v/>
      </c>
      <c r="F68" s="97"/>
      <c r="G68" s="97"/>
      <c r="H68" s="50" t="str">
        <f>IFERROR(IF(OR(J68="",C68=""),"",VLOOKUP(J68,'CUBAGEM PRODUTOS'!$A:$H,4,0)*C68),"ERRO")</f>
        <v/>
      </c>
      <c r="I68" s="43"/>
      <c r="J68" s="35" t="str">
        <f t="shared" si="0"/>
        <v/>
      </c>
      <c r="K68" s="43"/>
      <c r="L68" s="43"/>
      <c r="M68" s="36"/>
    </row>
    <row r="69" spans="1:13" x14ac:dyDescent="0.25">
      <c r="A69" s="32"/>
      <c r="B69" s="53"/>
      <c r="C69" s="51"/>
      <c r="D69" s="47" t="str">
        <f>IFERROR(IF(OR(J69="",C69=""),"",VLOOKUP(J69,'CUBAGEM PRODUTOS'!A:I,9,0)*C69),"ERRO")</f>
        <v/>
      </c>
      <c r="E69" s="105" t="str">
        <f>IFERROR(IF(OR(J69="",C69=""),"",VLOOKUP(J69,'CUBAGEM PRODUTOS'!A:H,2,0)),"ERRO")</f>
        <v/>
      </c>
      <c r="F69" s="105"/>
      <c r="G69" s="105"/>
      <c r="H69" s="72" t="str">
        <f>IFERROR(IF(OR(J69="",C69=""),"",VLOOKUP(J69,'CUBAGEM PRODUTOS'!$A:$H,4,0)*C69),"ERRO")</f>
        <v/>
      </c>
      <c r="I69" s="43"/>
      <c r="J69" s="35" t="str">
        <f t="shared" si="0"/>
        <v/>
      </c>
      <c r="K69" s="43"/>
      <c r="L69" s="43"/>
      <c r="M69" s="36"/>
    </row>
    <row r="70" spans="1:13" x14ac:dyDescent="0.25">
      <c r="A70" s="32"/>
      <c r="B70" s="48"/>
      <c r="C70" s="49"/>
      <c r="D70" s="50" t="str">
        <f>IFERROR(IF(OR(J70="",C70=""),"",VLOOKUP(J70,'CUBAGEM PRODUTOS'!A:I,9,0)*C70),"ERRO")</f>
        <v/>
      </c>
      <c r="E70" s="97" t="str">
        <f>IFERROR(IF(OR(J70="",C70=""),"",VLOOKUP(J70,'CUBAGEM PRODUTOS'!A:H,2,0)),"ERRO")</f>
        <v/>
      </c>
      <c r="F70" s="97"/>
      <c r="G70" s="97"/>
      <c r="H70" s="50" t="str">
        <f>IFERROR(IF(OR(J70="",C70=""),"",VLOOKUP(J70,'CUBAGEM PRODUTOS'!$A:$H,4,0)*C70),"ERRO")</f>
        <v/>
      </c>
      <c r="I70" s="43"/>
      <c r="J70" s="35" t="str">
        <f t="shared" si="0"/>
        <v/>
      </c>
      <c r="K70" s="43"/>
      <c r="L70" s="43"/>
      <c r="M70" s="36"/>
    </row>
    <row r="71" spans="1:13" x14ac:dyDescent="0.25">
      <c r="A71" s="32"/>
      <c r="B71" s="53"/>
      <c r="C71" s="51"/>
      <c r="D71" s="47" t="str">
        <f>IFERROR(IF(OR(J71="",C71=""),"",VLOOKUP(J71,'CUBAGEM PRODUTOS'!A:I,9,0)*C71),"ERRO")</f>
        <v/>
      </c>
      <c r="E71" s="105" t="str">
        <f>IFERROR(IF(OR(J71="",C71=""),"",VLOOKUP(J71,'CUBAGEM PRODUTOS'!A:H,2,0)),"ERRO")</f>
        <v/>
      </c>
      <c r="F71" s="105"/>
      <c r="G71" s="105"/>
      <c r="H71" s="72" t="str">
        <f>IFERROR(IF(OR(J71="",C71=""),"",VLOOKUP(J71,'CUBAGEM PRODUTOS'!$A:$H,4,0)*C71),"ERRO")</f>
        <v/>
      </c>
      <c r="I71" s="43"/>
      <c r="J71" s="35" t="str">
        <f t="shared" si="0"/>
        <v/>
      </c>
      <c r="K71" s="43"/>
      <c r="L71" s="43"/>
      <c r="M71" s="36"/>
    </row>
    <row r="72" spans="1:13" x14ac:dyDescent="0.25">
      <c r="A72" s="32"/>
      <c r="B72" s="48"/>
      <c r="C72" s="49"/>
      <c r="D72" s="50" t="str">
        <f>IFERROR(IF(OR(J72="",C72=""),"",VLOOKUP(J72,'CUBAGEM PRODUTOS'!A:I,9,0)*C72),"ERRO")</f>
        <v/>
      </c>
      <c r="E72" s="97" t="str">
        <f>IFERROR(IF(OR(J72="",C72=""),"",VLOOKUP(J72,'CUBAGEM PRODUTOS'!A:H,2,0)),"ERRO")</f>
        <v/>
      </c>
      <c r="F72" s="97"/>
      <c r="G72" s="97"/>
      <c r="H72" s="50" t="str">
        <f>IFERROR(IF(OR(J72="",C72=""),"",VLOOKUP(J72,'CUBAGEM PRODUTOS'!$A:$H,4,0)*C72),"ERRO")</f>
        <v/>
      </c>
      <c r="I72" s="43"/>
      <c r="J72" s="35" t="str">
        <f t="shared" si="0"/>
        <v/>
      </c>
      <c r="K72" s="43"/>
      <c r="L72" s="43"/>
      <c r="M72" s="36"/>
    </row>
    <row r="73" spans="1:13" x14ac:dyDescent="0.25">
      <c r="A73" s="32"/>
      <c r="B73" s="53"/>
      <c r="C73" s="51"/>
      <c r="D73" s="47" t="str">
        <f>IFERROR(IF(OR(J73="",C73=""),"",VLOOKUP(J73,'CUBAGEM PRODUTOS'!A:I,9,0)*C73),"ERRO")</f>
        <v/>
      </c>
      <c r="E73" s="105" t="str">
        <f>IFERROR(IF(OR(J73="",C73=""),"",VLOOKUP(J73,'CUBAGEM PRODUTOS'!A:H,2,0)),"ERRO")</f>
        <v/>
      </c>
      <c r="F73" s="105"/>
      <c r="G73" s="105"/>
      <c r="H73" s="72" t="str">
        <f>IFERROR(IF(OR(J73="",C73=""),"",VLOOKUP(J73,'CUBAGEM PRODUTOS'!$A:$H,4,0)*C73),"ERRO")</f>
        <v/>
      </c>
      <c r="I73" s="43"/>
      <c r="J73" s="35" t="str">
        <f t="shared" si="0"/>
        <v/>
      </c>
      <c r="K73" s="43"/>
      <c r="L73" s="43"/>
      <c r="M73" s="36"/>
    </row>
    <row r="74" spans="1:13" x14ac:dyDescent="0.25">
      <c r="A74" s="32"/>
      <c r="B74" s="48"/>
      <c r="C74" s="49"/>
      <c r="D74" s="50" t="str">
        <f>IFERROR(IF(OR(J74="",C74=""),"",VLOOKUP(J74,'CUBAGEM PRODUTOS'!A:I,9,0)*C74),"ERRO")</f>
        <v/>
      </c>
      <c r="E74" s="97" t="str">
        <f>IFERROR(IF(OR(J74="",C74=""),"",VLOOKUP(J74,'CUBAGEM PRODUTOS'!A:H,2,0)),"ERRO")</f>
        <v/>
      </c>
      <c r="F74" s="97"/>
      <c r="G74" s="97"/>
      <c r="H74" s="50" t="str">
        <f>IFERROR(IF(OR(J74="",C74=""),"",VLOOKUP(J74,'CUBAGEM PRODUTOS'!$A:$H,4,0)*C74),"ERRO")</f>
        <v/>
      </c>
      <c r="I74" s="43"/>
      <c r="J74" s="35" t="str">
        <f t="shared" si="0"/>
        <v/>
      </c>
      <c r="K74" s="43"/>
      <c r="L74" s="43"/>
      <c r="M74" s="36"/>
    </row>
    <row r="75" spans="1:13" x14ac:dyDescent="0.25">
      <c r="A75" s="32"/>
      <c r="B75" s="53"/>
      <c r="C75" s="51"/>
      <c r="D75" s="47" t="str">
        <f>IFERROR(IF(OR(J75="",C75=""),"",VLOOKUP(J75,'CUBAGEM PRODUTOS'!A:I,9,0)*C75),"ERRO")</f>
        <v/>
      </c>
      <c r="E75" s="105" t="str">
        <f>IFERROR(IF(OR(J75="",C75=""),"",VLOOKUP(J75,'CUBAGEM PRODUTOS'!A:H,2,0)),"ERRO")</f>
        <v/>
      </c>
      <c r="F75" s="105"/>
      <c r="G75" s="105"/>
      <c r="H75" s="72" t="str">
        <f>IFERROR(IF(OR(J75="",C75=""),"",VLOOKUP(J75,'CUBAGEM PRODUTOS'!$A:$H,4,0)*C75),"ERRO")</f>
        <v/>
      </c>
      <c r="I75" s="43"/>
      <c r="J75" s="35" t="str">
        <f t="shared" si="0"/>
        <v/>
      </c>
      <c r="K75" s="43"/>
      <c r="L75" s="43"/>
      <c r="M75" s="36"/>
    </row>
    <row r="76" spans="1:13" x14ac:dyDescent="0.25">
      <c r="A76" s="32"/>
      <c r="B76" s="48"/>
      <c r="C76" s="49"/>
      <c r="D76" s="50" t="str">
        <f>IFERROR(IF(OR(J76="",C76=""),"",VLOOKUP(J76,'CUBAGEM PRODUTOS'!A:I,9,0)*C76),"ERRO")</f>
        <v/>
      </c>
      <c r="E76" s="97" t="str">
        <f>IFERROR(IF(OR(J76="",C76=""),"",VLOOKUP(J76,'CUBAGEM PRODUTOS'!A:H,2,0)),"ERRO")</f>
        <v/>
      </c>
      <c r="F76" s="97"/>
      <c r="G76" s="97"/>
      <c r="H76" s="50" t="str">
        <f>IFERROR(IF(OR(J76="",C76=""),"",VLOOKUP(J76,'CUBAGEM PRODUTOS'!$A:$H,4,0)*C76),"ERRO")</f>
        <v/>
      </c>
      <c r="I76" s="43"/>
      <c r="J76" s="35" t="str">
        <f t="shared" si="0"/>
        <v/>
      </c>
      <c r="K76" s="43"/>
      <c r="L76" s="43"/>
      <c r="M76" s="36"/>
    </row>
    <row r="77" spans="1:13" x14ac:dyDescent="0.25">
      <c r="A77" s="32"/>
      <c r="B77" s="53"/>
      <c r="C77" s="51"/>
      <c r="D77" s="47" t="str">
        <f>IFERROR(IF(OR(J77="",C77=""),"",VLOOKUP(J77,'CUBAGEM PRODUTOS'!A:I,9,0)*C77),"ERRO")</f>
        <v/>
      </c>
      <c r="E77" s="105" t="str">
        <f>IFERROR(IF(OR(J77="",C77=""),"",VLOOKUP(J77,'CUBAGEM PRODUTOS'!A:H,2,0)),"ERRO")</f>
        <v/>
      </c>
      <c r="F77" s="105"/>
      <c r="G77" s="105"/>
      <c r="H77" s="72" t="str">
        <f>IFERROR(IF(OR(J77="",C77=""),"",VLOOKUP(J77,'CUBAGEM PRODUTOS'!$A:$H,4,0)*C77),"ERRO")</f>
        <v/>
      </c>
      <c r="I77" s="43"/>
      <c r="J77" s="35" t="str">
        <f t="shared" si="0"/>
        <v/>
      </c>
      <c r="K77" s="43"/>
      <c r="L77" s="43"/>
      <c r="M77" s="36"/>
    </row>
    <row r="78" spans="1:13" x14ac:dyDescent="0.25">
      <c r="A78" s="32"/>
      <c r="B78" s="48"/>
      <c r="C78" s="49"/>
      <c r="D78" s="50" t="str">
        <f>IFERROR(IF(OR(J78="",C78=""),"",VLOOKUP(J78,'CUBAGEM PRODUTOS'!A:I,9,0)*C78),"ERRO")</f>
        <v/>
      </c>
      <c r="E78" s="97" t="str">
        <f>IFERROR(IF(OR(J78="",C78=""),"",VLOOKUP(J78,'CUBAGEM PRODUTOS'!A:H,2,0)),"ERRO")</f>
        <v/>
      </c>
      <c r="F78" s="97"/>
      <c r="G78" s="97"/>
      <c r="H78" s="50" t="str">
        <f>IFERROR(IF(OR(J78="",C78=""),"",VLOOKUP(J78,'CUBAGEM PRODUTOS'!$A:$H,4,0)*C78),"ERRO")</f>
        <v/>
      </c>
      <c r="I78" s="43"/>
      <c r="J78" s="35" t="str">
        <f t="shared" si="0"/>
        <v/>
      </c>
      <c r="K78" s="43"/>
      <c r="L78" s="43"/>
      <c r="M78" s="36"/>
    </row>
    <row r="79" spans="1:13" x14ac:dyDescent="0.25">
      <c r="A79" s="32"/>
      <c r="B79" s="53"/>
      <c r="C79" s="51"/>
      <c r="D79" s="47" t="str">
        <f>IFERROR(IF(OR(J79="",C79=""),"",VLOOKUP(J79,'CUBAGEM PRODUTOS'!A:I,9,0)*C79),"ERRO")</f>
        <v/>
      </c>
      <c r="E79" s="105" t="str">
        <f>IFERROR(IF(OR(J79="",C79=""),"",VLOOKUP(J79,'CUBAGEM PRODUTOS'!A:H,2,0)),"ERRO")</f>
        <v/>
      </c>
      <c r="F79" s="105"/>
      <c r="G79" s="105"/>
      <c r="H79" s="72" t="str">
        <f>IFERROR(IF(OR(J79="",C79=""),"",VLOOKUP(J79,'CUBAGEM PRODUTOS'!$A:$H,4,0)*C79),"ERRO")</f>
        <v/>
      </c>
      <c r="I79" s="43"/>
      <c r="J79" s="35" t="str">
        <f t="shared" si="0"/>
        <v/>
      </c>
      <c r="K79" s="43"/>
      <c r="L79" s="43"/>
      <c r="M79" s="36"/>
    </row>
    <row r="80" spans="1:13" x14ac:dyDescent="0.25">
      <c r="A80" s="32"/>
      <c r="B80" s="48"/>
      <c r="C80" s="49"/>
      <c r="D80" s="50" t="str">
        <f>IFERROR(IF(OR(J80="",C80=""),"",VLOOKUP(J80,'CUBAGEM PRODUTOS'!A:I,9,0)*C80),"ERRO")</f>
        <v/>
      </c>
      <c r="E80" s="97" t="str">
        <f>IFERROR(IF(OR(J80="",C80=""),"",VLOOKUP(J80,'CUBAGEM PRODUTOS'!A:H,2,0)),"ERRO")</f>
        <v/>
      </c>
      <c r="F80" s="97"/>
      <c r="G80" s="97"/>
      <c r="H80" s="50" t="str">
        <f>IFERROR(IF(OR(J80="",C80=""),"",VLOOKUP(J80,'CUBAGEM PRODUTOS'!$A:$H,4,0)*C80),"ERRO")</f>
        <v/>
      </c>
      <c r="I80" s="43"/>
      <c r="J80" s="35" t="str">
        <f t="shared" si="0"/>
        <v/>
      </c>
      <c r="K80" s="43"/>
      <c r="L80" s="43"/>
      <c r="M80" s="36"/>
    </row>
    <row r="81" spans="1:13" x14ac:dyDescent="0.25">
      <c r="A81" s="32"/>
      <c r="B81" s="53"/>
      <c r="C81" s="51"/>
      <c r="D81" s="47" t="str">
        <f>IFERROR(IF(OR(J81="",C81=""),"",VLOOKUP(J81,'CUBAGEM PRODUTOS'!A:I,9,0)*C81),"ERRO")</f>
        <v/>
      </c>
      <c r="E81" s="105" t="str">
        <f>IFERROR(IF(OR(J81="",C81=""),"",VLOOKUP(J81,'CUBAGEM PRODUTOS'!A:H,2,0)),"ERRO")</f>
        <v/>
      </c>
      <c r="F81" s="105"/>
      <c r="G81" s="105"/>
      <c r="H81" s="72" t="str">
        <f>IFERROR(IF(OR(J81="",C81=""),"",VLOOKUP(J81,'CUBAGEM PRODUTOS'!$A:$H,4,0)*C81),"ERRO")</f>
        <v/>
      </c>
      <c r="I81" s="43"/>
      <c r="J81" s="35" t="str">
        <f t="shared" si="0"/>
        <v/>
      </c>
      <c r="K81" s="43"/>
      <c r="L81" s="43"/>
      <c r="M81" s="36"/>
    </row>
    <row r="82" spans="1:13" x14ac:dyDescent="0.25">
      <c r="A82" s="32"/>
      <c r="B82" s="48"/>
      <c r="C82" s="49"/>
      <c r="D82" s="50" t="str">
        <f>IFERROR(IF(OR(J82="",C82=""),"",VLOOKUP(J82,'CUBAGEM PRODUTOS'!A:I,9,0)*C82),"ERRO")</f>
        <v/>
      </c>
      <c r="E82" s="97" t="str">
        <f>IFERROR(IF(OR(J82="",C82=""),"",VLOOKUP(J82,'CUBAGEM PRODUTOS'!A:H,2,0)),"ERRO")</f>
        <v/>
      </c>
      <c r="F82" s="97"/>
      <c r="G82" s="97"/>
      <c r="H82" s="50" t="str">
        <f>IFERROR(IF(OR(J82="",C82=""),"",VLOOKUP(J82,'CUBAGEM PRODUTOS'!$A:$H,4,0)*C82),"ERRO")</f>
        <v/>
      </c>
      <c r="I82" s="43"/>
      <c r="J82" s="35" t="str">
        <f t="shared" ref="J82:J145" si="1">IF(B82="","",VALUE(B82))</f>
        <v/>
      </c>
      <c r="K82" s="43"/>
      <c r="L82" s="43"/>
      <c r="M82" s="36"/>
    </row>
    <row r="83" spans="1:13" x14ac:dyDescent="0.25">
      <c r="A83" s="32"/>
      <c r="B83" s="53"/>
      <c r="C83" s="51"/>
      <c r="D83" s="47" t="str">
        <f>IFERROR(IF(OR(J83="",C83=""),"",VLOOKUP(J83,'CUBAGEM PRODUTOS'!A:I,9,0)*C83),"ERRO")</f>
        <v/>
      </c>
      <c r="E83" s="105" t="str">
        <f>IFERROR(IF(OR(J83="",C83=""),"",VLOOKUP(J83,'CUBAGEM PRODUTOS'!A:H,2,0)),"ERRO")</f>
        <v/>
      </c>
      <c r="F83" s="105"/>
      <c r="G83" s="105"/>
      <c r="H83" s="72" t="str">
        <f>IFERROR(IF(OR(J83="",C83=""),"",VLOOKUP(J83,'CUBAGEM PRODUTOS'!$A:$H,4,0)*C83),"ERRO")</f>
        <v/>
      </c>
      <c r="I83" s="43"/>
      <c r="J83" s="35" t="str">
        <f t="shared" si="1"/>
        <v/>
      </c>
      <c r="K83" s="43"/>
      <c r="L83" s="43"/>
      <c r="M83" s="36"/>
    </row>
    <row r="84" spans="1:13" x14ac:dyDescent="0.25">
      <c r="A84" s="32"/>
      <c r="B84" s="48"/>
      <c r="C84" s="49"/>
      <c r="D84" s="50" t="str">
        <f>IFERROR(IF(OR(J84="",C84=""),"",VLOOKUP(J84,'CUBAGEM PRODUTOS'!A:I,9,0)*C84),"ERRO")</f>
        <v/>
      </c>
      <c r="E84" s="97" t="str">
        <f>IFERROR(IF(OR(J84="",C84=""),"",VLOOKUP(J84,'CUBAGEM PRODUTOS'!A:H,2,0)),"ERRO")</f>
        <v/>
      </c>
      <c r="F84" s="97"/>
      <c r="G84" s="97"/>
      <c r="H84" s="50" t="str">
        <f>IFERROR(IF(OR(J84="",C84=""),"",VLOOKUP(J84,'CUBAGEM PRODUTOS'!$A:$H,4,0)*C84),"ERRO")</f>
        <v/>
      </c>
      <c r="I84" s="43"/>
      <c r="J84" s="35" t="str">
        <f t="shared" si="1"/>
        <v/>
      </c>
      <c r="K84" s="43"/>
      <c r="L84" s="43"/>
      <c r="M84" s="36"/>
    </row>
    <row r="85" spans="1:13" x14ac:dyDescent="0.25">
      <c r="A85" s="32"/>
      <c r="B85" s="53"/>
      <c r="C85" s="51"/>
      <c r="D85" s="47" t="str">
        <f>IFERROR(IF(OR(J85="",C85=""),"",VLOOKUP(J85,'CUBAGEM PRODUTOS'!A:I,9,0)*C85),"ERRO")</f>
        <v/>
      </c>
      <c r="E85" s="105" t="str">
        <f>IFERROR(IF(OR(J85="",C85=""),"",VLOOKUP(J85,'CUBAGEM PRODUTOS'!A:H,2,0)),"ERRO")</f>
        <v/>
      </c>
      <c r="F85" s="105"/>
      <c r="G85" s="105"/>
      <c r="H85" s="72" t="str">
        <f>IFERROR(IF(OR(J85="",C85=""),"",VLOOKUP(J85,'CUBAGEM PRODUTOS'!$A:$H,4,0)*C85),"ERRO")</f>
        <v/>
      </c>
      <c r="I85" s="43"/>
      <c r="J85" s="35" t="str">
        <f t="shared" si="1"/>
        <v/>
      </c>
      <c r="K85" s="43"/>
      <c r="L85" s="43"/>
      <c r="M85" s="36"/>
    </row>
    <row r="86" spans="1:13" x14ac:dyDescent="0.25">
      <c r="A86" s="32"/>
      <c r="B86" s="48"/>
      <c r="C86" s="49"/>
      <c r="D86" s="50" t="str">
        <f>IFERROR(IF(OR(J86="",C86=""),"",VLOOKUP(J86,'CUBAGEM PRODUTOS'!A:I,9,0)*C86),"ERRO")</f>
        <v/>
      </c>
      <c r="E86" s="97" t="str">
        <f>IFERROR(IF(OR(J86="",C86=""),"",VLOOKUP(J86,'CUBAGEM PRODUTOS'!A:H,2,0)),"ERRO")</f>
        <v/>
      </c>
      <c r="F86" s="97"/>
      <c r="G86" s="97"/>
      <c r="H86" s="50" t="str">
        <f>IFERROR(IF(OR(J86="",C86=""),"",VLOOKUP(J86,'CUBAGEM PRODUTOS'!$A:$H,4,0)*C86),"ERRO")</f>
        <v/>
      </c>
      <c r="I86" s="43"/>
      <c r="J86" s="35" t="str">
        <f t="shared" si="1"/>
        <v/>
      </c>
      <c r="K86" s="43"/>
      <c r="L86" s="43"/>
      <c r="M86" s="36"/>
    </row>
    <row r="87" spans="1:13" x14ac:dyDescent="0.25">
      <c r="A87" s="32"/>
      <c r="B87" s="53"/>
      <c r="C87" s="51"/>
      <c r="D87" s="47" t="str">
        <f>IFERROR(IF(OR(J87="",C87=""),"",VLOOKUP(J87,'CUBAGEM PRODUTOS'!A:I,9,0)*C87),"ERRO")</f>
        <v/>
      </c>
      <c r="E87" s="105" t="str">
        <f>IFERROR(IF(OR(J87="",C87=""),"",VLOOKUP(J87,'CUBAGEM PRODUTOS'!A:H,2,0)),"ERRO")</f>
        <v/>
      </c>
      <c r="F87" s="105"/>
      <c r="G87" s="105"/>
      <c r="H87" s="72" t="str">
        <f>IFERROR(IF(OR(J87="",C87=""),"",VLOOKUP(J87,'CUBAGEM PRODUTOS'!$A:$H,4,0)*C87),"ERRO")</f>
        <v/>
      </c>
      <c r="I87" s="43"/>
      <c r="J87" s="35" t="str">
        <f t="shared" si="1"/>
        <v/>
      </c>
      <c r="K87" s="43"/>
      <c r="L87" s="43"/>
      <c r="M87" s="36"/>
    </row>
    <row r="88" spans="1:13" x14ac:dyDescent="0.25">
      <c r="A88" s="32"/>
      <c r="B88" s="48"/>
      <c r="C88" s="49"/>
      <c r="D88" s="50" t="str">
        <f>IFERROR(IF(OR(J88="",C88=""),"",VLOOKUP(J88,'CUBAGEM PRODUTOS'!A:I,9,0)*C88),"ERRO")</f>
        <v/>
      </c>
      <c r="E88" s="97" t="str">
        <f>IFERROR(IF(OR(J88="",C88=""),"",VLOOKUP(J88,'CUBAGEM PRODUTOS'!A:H,2,0)),"ERRO")</f>
        <v/>
      </c>
      <c r="F88" s="97"/>
      <c r="G88" s="97"/>
      <c r="H88" s="50" t="str">
        <f>IFERROR(IF(OR(J88="",C88=""),"",VLOOKUP(J88,'CUBAGEM PRODUTOS'!$A:$H,4,0)*C88),"ERRO")</f>
        <v/>
      </c>
      <c r="I88" s="43"/>
      <c r="J88" s="35" t="str">
        <f t="shared" si="1"/>
        <v/>
      </c>
      <c r="K88" s="43"/>
      <c r="L88" s="43"/>
      <c r="M88" s="36"/>
    </row>
    <row r="89" spans="1:13" x14ac:dyDescent="0.25">
      <c r="A89" s="32"/>
      <c r="B89" s="53"/>
      <c r="C89" s="51"/>
      <c r="D89" s="47" t="str">
        <f>IFERROR(IF(OR(J89="",C89=""),"",VLOOKUP(J89,'CUBAGEM PRODUTOS'!A:I,9,0)*C89),"ERRO")</f>
        <v/>
      </c>
      <c r="E89" s="105" t="str">
        <f>IFERROR(IF(OR(J89="",C89=""),"",VLOOKUP(J89,'CUBAGEM PRODUTOS'!A:H,2,0)),"ERRO")</f>
        <v/>
      </c>
      <c r="F89" s="105"/>
      <c r="G89" s="105"/>
      <c r="H89" s="72" t="str">
        <f>IFERROR(IF(OR(J89="",C89=""),"",VLOOKUP(J89,'CUBAGEM PRODUTOS'!$A:$H,4,0)*C89),"ERRO")</f>
        <v/>
      </c>
      <c r="I89" s="43"/>
      <c r="J89" s="35" t="str">
        <f t="shared" si="1"/>
        <v/>
      </c>
      <c r="K89" s="43"/>
      <c r="L89" s="43"/>
      <c r="M89" s="36"/>
    </row>
    <row r="90" spans="1:13" x14ac:dyDescent="0.25">
      <c r="A90" s="32"/>
      <c r="B90" s="48"/>
      <c r="C90" s="49"/>
      <c r="D90" s="50" t="str">
        <f>IFERROR(IF(OR(J90="",C90=""),"",VLOOKUP(J90,'CUBAGEM PRODUTOS'!A:I,9,0)*C90),"ERRO")</f>
        <v/>
      </c>
      <c r="E90" s="97" t="str">
        <f>IFERROR(IF(OR(J90="",C90=""),"",VLOOKUP(J90,'CUBAGEM PRODUTOS'!A:H,2,0)),"ERRO")</f>
        <v/>
      </c>
      <c r="F90" s="97"/>
      <c r="G90" s="97"/>
      <c r="H90" s="50" t="str">
        <f>IFERROR(IF(OR(J90="",C90=""),"",VLOOKUP(J90,'CUBAGEM PRODUTOS'!$A:$H,4,0)*C90),"ERRO")</f>
        <v/>
      </c>
      <c r="I90" s="43"/>
      <c r="J90" s="35" t="str">
        <f t="shared" si="1"/>
        <v/>
      </c>
      <c r="K90" s="43"/>
      <c r="L90" s="43"/>
      <c r="M90" s="36"/>
    </row>
    <row r="91" spans="1:13" x14ac:dyDescent="0.25">
      <c r="A91" s="32"/>
      <c r="B91" s="53"/>
      <c r="C91" s="51"/>
      <c r="D91" s="47" t="str">
        <f>IFERROR(IF(OR(J91="",C91=""),"",VLOOKUP(J91,'CUBAGEM PRODUTOS'!A:I,9,0)*C91),"ERRO")</f>
        <v/>
      </c>
      <c r="E91" s="105" t="str">
        <f>IFERROR(IF(OR(J91="",C91=""),"",VLOOKUP(J91,'CUBAGEM PRODUTOS'!A:H,2,0)),"ERRO")</f>
        <v/>
      </c>
      <c r="F91" s="105"/>
      <c r="G91" s="105"/>
      <c r="H91" s="72" t="str">
        <f>IFERROR(IF(OR(J91="",C91=""),"",VLOOKUP(J91,'CUBAGEM PRODUTOS'!$A:$H,4,0)*C91),"ERRO")</f>
        <v/>
      </c>
      <c r="I91" s="43"/>
      <c r="J91" s="35" t="str">
        <f t="shared" si="1"/>
        <v/>
      </c>
      <c r="K91" s="43"/>
      <c r="L91" s="43"/>
      <c r="M91" s="36"/>
    </row>
    <row r="92" spans="1:13" x14ac:dyDescent="0.25">
      <c r="A92" s="32"/>
      <c r="B92" s="48"/>
      <c r="C92" s="49"/>
      <c r="D92" s="50" t="str">
        <f>IFERROR(IF(OR(J92="",C92=""),"",VLOOKUP(J92,'CUBAGEM PRODUTOS'!A:I,9,0)*C92),"ERRO")</f>
        <v/>
      </c>
      <c r="E92" s="97" t="str">
        <f>IFERROR(IF(OR(J92="",C92=""),"",VLOOKUP(J92,'CUBAGEM PRODUTOS'!A:H,2,0)),"ERRO")</f>
        <v/>
      </c>
      <c r="F92" s="97"/>
      <c r="G92" s="97"/>
      <c r="H92" s="50" t="str">
        <f>IFERROR(IF(OR(J92="",C92=""),"",VLOOKUP(J92,'CUBAGEM PRODUTOS'!$A:$H,4,0)*C92),"ERRO")</f>
        <v/>
      </c>
      <c r="I92" s="43"/>
      <c r="J92" s="35" t="str">
        <f t="shared" si="1"/>
        <v/>
      </c>
      <c r="K92" s="43"/>
      <c r="L92" s="43"/>
      <c r="M92" s="36"/>
    </row>
    <row r="93" spans="1:13" x14ac:dyDescent="0.25">
      <c r="A93" s="32"/>
      <c r="B93" s="53"/>
      <c r="C93" s="51"/>
      <c r="D93" s="47" t="str">
        <f>IFERROR(IF(OR(J93="",C93=""),"",VLOOKUP(J93,'CUBAGEM PRODUTOS'!A:I,9,0)*C93),"ERRO")</f>
        <v/>
      </c>
      <c r="E93" s="105" t="str">
        <f>IFERROR(IF(OR(J93="",C93=""),"",VLOOKUP(J93,'CUBAGEM PRODUTOS'!A:H,2,0)),"ERRO")</f>
        <v/>
      </c>
      <c r="F93" s="105"/>
      <c r="G93" s="105"/>
      <c r="H93" s="72" t="str">
        <f>IFERROR(IF(OR(J93="",C93=""),"",VLOOKUP(J93,'CUBAGEM PRODUTOS'!$A:$H,4,0)*C93),"ERRO")</f>
        <v/>
      </c>
      <c r="I93" s="43"/>
      <c r="J93" s="35" t="str">
        <f t="shared" si="1"/>
        <v/>
      </c>
      <c r="K93" s="43"/>
      <c r="L93" s="43"/>
      <c r="M93" s="36"/>
    </row>
    <row r="94" spans="1:13" x14ac:dyDescent="0.25">
      <c r="A94" s="32"/>
      <c r="B94" s="48"/>
      <c r="C94" s="49"/>
      <c r="D94" s="50" t="str">
        <f>IFERROR(IF(OR(J94="",C94=""),"",VLOOKUP(J94,'CUBAGEM PRODUTOS'!A:I,9,0)*C94),"ERRO")</f>
        <v/>
      </c>
      <c r="E94" s="97" t="str">
        <f>IFERROR(IF(OR(J94="",C94=""),"",VLOOKUP(J94,'CUBAGEM PRODUTOS'!A:H,2,0)),"ERRO")</f>
        <v/>
      </c>
      <c r="F94" s="97"/>
      <c r="G94" s="97"/>
      <c r="H94" s="50" t="str">
        <f>IFERROR(IF(OR(J94="",C94=""),"",VLOOKUP(J94,'CUBAGEM PRODUTOS'!$A:$H,4,0)*C94),"ERRO")</f>
        <v/>
      </c>
      <c r="I94" s="43"/>
      <c r="J94" s="35" t="str">
        <f t="shared" si="1"/>
        <v/>
      </c>
      <c r="K94" s="43"/>
      <c r="L94" s="43"/>
      <c r="M94" s="36"/>
    </row>
    <row r="95" spans="1:13" x14ac:dyDescent="0.25">
      <c r="A95" s="32"/>
      <c r="B95" s="53"/>
      <c r="C95" s="51"/>
      <c r="D95" s="47" t="str">
        <f>IFERROR(IF(OR(J95="",C95=""),"",VLOOKUP(J95,'CUBAGEM PRODUTOS'!A:I,9,0)*C95),"ERRO")</f>
        <v/>
      </c>
      <c r="E95" s="105" t="str">
        <f>IFERROR(IF(OR(J95="",C95=""),"",VLOOKUP(J95,'CUBAGEM PRODUTOS'!A:H,2,0)),"ERRO")</f>
        <v/>
      </c>
      <c r="F95" s="105"/>
      <c r="G95" s="105"/>
      <c r="H95" s="72" t="str">
        <f>IFERROR(IF(OR(J95="",C95=""),"",VLOOKUP(J95,'CUBAGEM PRODUTOS'!$A:$H,4,0)*C95),"ERRO")</f>
        <v/>
      </c>
      <c r="I95" s="43"/>
      <c r="J95" s="35" t="str">
        <f t="shared" si="1"/>
        <v/>
      </c>
      <c r="K95" s="43"/>
      <c r="L95" s="43"/>
      <c r="M95" s="36"/>
    </row>
    <row r="96" spans="1:13" x14ac:dyDescent="0.25">
      <c r="A96" s="32"/>
      <c r="B96" s="48"/>
      <c r="C96" s="49"/>
      <c r="D96" s="50" t="str">
        <f>IFERROR(IF(OR(J96="",C96=""),"",VLOOKUP(J96,'CUBAGEM PRODUTOS'!A:I,9,0)*C96),"ERRO")</f>
        <v/>
      </c>
      <c r="E96" s="97" t="str">
        <f>IFERROR(IF(OR(J96="",C96=""),"",VLOOKUP(J96,'CUBAGEM PRODUTOS'!A:H,2,0)),"ERRO")</f>
        <v/>
      </c>
      <c r="F96" s="97"/>
      <c r="G96" s="97"/>
      <c r="H96" s="50" t="str">
        <f>IFERROR(IF(OR(J96="",C96=""),"",VLOOKUP(J96,'CUBAGEM PRODUTOS'!$A:$H,4,0)*C96),"ERRO")</f>
        <v/>
      </c>
      <c r="I96" s="43"/>
      <c r="J96" s="35" t="str">
        <f t="shared" si="1"/>
        <v/>
      </c>
      <c r="K96" s="43"/>
      <c r="L96" s="43"/>
      <c r="M96" s="36"/>
    </row>
    <row r="97" spans="1:13" x14ac:dyDescent="0.25">
      <c r="A97" s="32"/>
      <c r="B97" s="53"/>
      <c r="C97" s="51"/>
      <c r="D97" s="47" t="str">
        <f>IFERROR(IF(OR(J97="",C97=""),"",VLOOKUP(J97,'CUBAGEM PRODUTOS'!A:I,9,0)*C97),"ERRO")</f>
        <v/>
      </c>
      <c r="E97" s="105" t="str">
        <f>IFERROR(IF(OR(J97="",C97=""),"",VLOOKUP(J97,'CUBAGEM PRODUTOS'!A:H,2,0)),"ERRO")</f>
        <v/>
      </c>
      <c r="F97" s="105"/>
      <c r="G97" s="105"/>
      <c r="H97" s="72" t="str">
        <f>IFERROR(IF(OR(J97="",C97=""),"",VLOOKUP(J97,'CUBAGEM PRODUTOS'!$A:$H,4,0)*C97),"ERRO")</f>
        <v/>
      </c>
      <c r="I97" s="43"/>
      <c r="J97" s="35" t="str">
        <f t="shared" si="1"/>
        <v/>
      </c>
      <c r="K97" s="43"/>
      <c r="L97" s="43"/>
      <c r="M97" s="36"/>
    </row>
    <row r="98" spans="1:13" x14ac:dyDescent="0.25">
      <c r="A98" s="32"/>
      <c r="B98" s="48"/>
      <c r="C98" s="49"/>
      <c r="D98" s="50" t="str">
        <f>IFERROR(IF(OR(J98="",C98=""),"",VLOOKUP(J98,'CUBAGEM PRODUTOS'!A:I,9,0)*C98),"ERRO")</f>
        <v/>
      </c>
      <c r="E98" s="97" t="str">
        <f>IFERROR(IF(OR(J98="",C98=""),"",VLOOKUP(J98,'CUBAGEM PRODUTOS'!A:H,2,0)),"ERRO")</f>
        <v/>
      </c>
      <c r="F98" s="97"/>
      <c r="G98" s="97"/>
      <c r="H98" s="50" t="str">
        <f>IFERROR(IF(OR(J98="",C98=""),"",VLOOKUP(J98,'CUBAGEM PRODUTOS'!$A:$H,4,0)*C98),"ERRO")</f>
        <v/>
      </c>
      <c r="I98" s="43"/>
      <c r="J98" s="35" t="str">
        <f t="shared" si="1"/>
        <v/>
      </c>
      <c r="K98" s="43"/>
      <c r="L98" s="43"/>
      <c r="M98" s="36"/>
    </row>
    <row r="99" spans="1:13" x14ac:dyDescent="0.25">
      <c r="A99" s="32"/>
      <c r="B99" s="53"/>
      <c r="C99" s="51"/>
      <c r="D99" s="47" t="str">
        <f>IFERROR(IF(OR(J99="",C99=""),"",VLOOKUP(J99,'CUBAGEM PRODUTOS'!A:I,9,0)*C99),"ERRO")</f>
        <v/>
      </c>
      <c r="E99" s="105" t="str">
        <f>IFERROR(IF(OR(J99="",C99=""),"",VLOOKUP(J99,'CUBAGEM PRODUTOS'!A:H,2,0)),"ERRO")</f>
        <v/>
      </c>
      <c r="F99" s="105"/>
      <c r="G99" s="105"/>
      <c r="H99" s="72" t="str">
        <f>IFERROR(IF(OR(J99="",C99=""),"",VLOOKUP(J99,'CUBAGEM PRODUTOS'!$A:$H,4,0)*C99),"ERRO")</f>
        <v/>
      </c>
      <c r="I99" s="43"/>
      <c r="J99" s="35" t="str">
        <f t="shared" si="1"/>
        <v/>
      </c>
      <c r="K99" s="43"/>
      <c r="L99" s="43"/>
      <c r="M99" s="36"/>
    </row>
    <row r="100" spans="1:13" x14ac:dyDescent="0.25">
      <c r="A100" s="32"/>
      <c r="B100" s="48"/>
      <c r="C100" s="49"/>
      <c r="D100" s="50" t="str">
        <f>IFERROR(IF(OR(J100="",C100=""),"",VLOOKUP(J100,'CUBAGEM PRODUTOS'!A:I,9,0)*C100),"ERRO")</f>
        <v/>
      </c>
      <c r="E100" s="97" t="str">
        <f>IFERROR(IF(OR(J100="",C100=""),"",VLOOKUP(J100,'CUBAGEM PRODUTOS'!A:H,2,0)),"ERRO")</f>
        <v/>
      </c>
      <c r="F100" s="97"/>
      <c r="G100" s="97"/>
      <c r="H100" s="50" t="str">
        <f>IFERROR(IF(OR(J100="",C100=""),"",VLOOKUP(J100,'CUBAGEM PRODUTOS'!$A:$H,4,0)*C100),"ERRO")</f>
        <v/>
      </c>
      <c r="I100" s="43"/>
      <c r="J100" s="35" t="str">
        <f t="shared" si="1"/>
        <v/>
      </c>
      <c r="K100" s="43"/>
      <c r="L100" s="43"/>
      <c r="M100" s="36"/>
    </row>
    <row r="101" spans="1:13" x14ac:dyDescent="0.25">
      <c r="A101" s="32"/>
      <c r="B101" s="53"/>
      <c r="C101" s="51"/>
      <c r="D101" s="47" t="str">
        <f>IFERROR(IF(OR(J101="",C101=""),"",VLOOKUP(J101,'CUBAGEM PRODUTOS'!A:I,9,0)*C101),"ERRO")</f>
        <v/>
      </c>
      <c r="E101" s="105" t="str">
        <f>IFERROR(IF(OR(J101="",C101=""),"",VLOOKUP(J101,'CUBAGEM PRODUTOS'!A:H,2,0)),"ERRO")</f>
        <v/>
      </c>
      <c r="F101" s="105"/>
      <c r="G101" s="105"/>
      <c r="H101" s="72" t="str">
        <f>IFERROR(IF(OR(J101="",C101=""),"",VLOOKUP(J101,'CUBAGEM PRODUTOS'!$A:$H,4,0)*C101),"ERRO")</f>
        <v/>
      </c>
      <c r="I101" s="43"/>
      <c r="J101" s="35" t="str">
        <f t="shared" si="1"/>
        <v/>
      </c>
      <c r="K101" s="43"/>
      <c r="L101" s="43"/>
      <c r="M101" s="36"/>
    </row>
    <row r="102" spans="1:13" x14ac:dyDescent="0.25">
      <c r="A102" s="32"/>
      <c r="B102" s="48"/>
      <c r="C102" s="49"/>
      <c r="D102" s="50" t="str">
        <f>IFERROR(IF(OR(J102="",C102=""),"",VLOOKUP(J102,'CUBAGEM PRODUTOS'!A:I,9,0)*C102),"ERRO")</f>
        <v/>
      </c>
      <c r="E102" s="97" t="str">
        <f>IFERROR(IF(OR(J102="",C102=""),"",VLOOKUP(J102,'CUBAGEM PRODUTOS'!A:H,2,0)),"ERRO")</f>
        <v/>
      </c>
      <c r="F102" s="97"/>
      <c r="G102" s="97"/>
      <c r="H102" s="50" t="str">
        <f>IFERROR(IF(OR(J102="",C102=""),"",VLOOKUP(J102,'CUBAGEM PRODUTOS'!$A:$H,4,0)*C102),"ERRO")</f>
        <v/>
      </c>
      <c r="I102" s="43"/>
      <c r="J102" s="35" t="str">
        <f t="shared" si="1"/>
        <v/>
      </c>
      <c r="K102" s="43"/>
      <c r="L102" s="43"/>
      <c r="M102" s="36"/>
    </row>
    <row r="103" spans="1:13" x14ac:dyDescent="0.25">
      <c r="A103" s="32"/>
      <c r="B103" s="53"/>
      <c r="C103" s="51"/>
      <c r="D103" s="47" t="str">
        <f>IFERROR(IF(OR(J103="",C103=""),"",VLOOKUP(J103,'CUBAGEM PRODUTOS'!A:I,9,0)*C103),"ERRO")</f>
        <v/>
      </c>
      <c r="E103" s="105" t="str">
        <f>IFERROR(IF(OR(J103="",C103=""),"",VLOOKUP(J103,'CUBAGEM PRODUTOS'!A:H,2,0)),"ERRO")</f>
        <v/>
      </c>
      <c r="F103" s="105"/>
      <c r="G103" s="105"/>
      <c r="H103" s="72" t="str">
        <f>IFERROR(IF(OR(J103="",C103=""),"",VLOOKUP(J103,'CUBAGEM PRODUTOS'!$A:$H,4,0)*C103),"ERRO")</f>
        <v/>
      </c>
      <c r="I103" s="43"/>
      <c r="J103" s="35" t="str">
        <f t="shared" si="1"/>
        <v/>
      </c>
      <c r="K103" s="43"/>
      <c r="L103" s="43"/>
      <c r="M103" s="36"/>
    </row>
    <row r="104" spans="1:13" x14ac:dyDescent="0.25">
      <c r="A104" s="32"/>
      <c r="B104" s="48"/>
      <c r="C104" s="49"/>
      <c r="D104" s="50" t="str">
        <f>IFERROR(IF(OR(J104="",C104=""),"",VLOOKUP(J104,'CUBAGEM PRODUTOS'!A:I,9,0)*C104),"ERRO")</f>
        <v/>
      </c>
      <c r="E104" s="97" t="str">
        <f>IFERROR(IF(OR(J104="",C104=""),"",VLOOKUP(J104,'CUBAGEM PRODUTOS'!A:H,2,0)),"ERRO")</f>
        <v/>
      </c>
      <c r="F104" s="97"/>
      <c r="G104" s="97"/>
      <c r="H104" s="50" t="str">
        <f>IFERROR(IF(OR(J104="",C104=""),"",VLOOKUP(J104,'CUBAGEM PRODUTOS'!$A:$H,4,0)*C104),"ERRO")</f>
        <v/>
      </c>
      <c r="I104" s="43"/>
      <c r="J104" s="35" t="str">
        <f t="shared" si="1"/>
        <v/>
      </c>
      <c r="K104" s="43"/>
      <c r="L104" s="43"/>
      <c r="M104" s="36"/>
    </row>
    <row r="105" spans="1:13" x14ac:dyDescent="0.25">
      <c r="A105" s="32"/>
      <c r="B105" s="53"/>
      <c r="C105" s="51"/>
      <c r="D105" s="47" t="str">
        <f>IFERROR(IF(OR(J105="",C105=""),"",VLOOKUP(J105,'CUBAGEM PRODUTOS'!A:I,9,0)*C105),"ERRO")</f>
        <v/>
      </c>
      <c r="E105" s="105" t="str">
        <f>IFERROR(IF(OR(J105="",C105=""),"",VLOOKUP(J105,'CUBAGEM PRODUTOS'!A:H,2,0)),"ERRO")</f>
        <v/>
      </c>
      <c r="F105" s="105"/>
      <c r="G105" s="105"/>
      <c r="H105" s="72" t="str">
        <f>IFERROR(IF(OR(J105="",C105=""),"",VLOOKUP(J105,'CUBAGEM PRODUTOS'!$A:$H,4,0)*C105),"ERRO")</f>
        <v/>
      </c>
      <c r="I105" s="43"/>
      <c r="J105" s="35" t="str">
        <f t="shared" si="1"/>
        <v/>
      </c>
      <c r="K105" s="43"/>
      <c r="L105" s="43"/>
      <c r="M105" s="36"/>
    </row>
    <row r="106" spans="1:13" x14ac:dyDescent="0.25">
      <c r="A106" s="32"/>
      <c r="B106" s="48"/>
      <c r="C106" s="49"/>
      <c r="D106" s="50" t="str">
        <f>IFERROR(IF(OR(J106="",C106=""),"",VLOOKUP(J106,'CUBAGEM PRODUTOS'!A:I,9,0)*C106),"ERRO")</f>
        <v/>
      </c>
      <c r="E106" s="97" t="str">
        <f>IFERROR(IF(OR(J106="",C106=""),"",VLOOKUP(J106,'CUBAGEM PRODUTOS'!A:H,2,0)),"ERRO")</f>
        <v/>
      </c>
      <c r="F106" s="97"/>
      <c r="G106" s="97"/>
      <c r="H106" s="50" t="str">
        <f>IFERROR(IF(OR(J106="",C106=""),"",VLOOKUP(J106,'CUBAGEM PRODUTOS'!$A:$H,4,0)*C106),"ERRO")</f>
        <v/>
      </c>
      <c r="I106" s="43"/>
      <c r="J106" s="35" t="str">
        <f t="shared" si="1"/>
        <v/>
      </c>
      <c r="K106" s="43"/>
      <c r="L106" s="43"/>
      <c r="M106" s="36"/>
    </row>
    <row r="107" spans="1:13" x14ac:dyDescent="0.25">
      <c r="A107" s="32"/>
      <c r="B107" s="53"/>
      <c r="C107" s="51"/>
      <c r="D107" s="47" t="str">
        <f>IFERROR(IF(OR(J107="",C107=""),"",VLOOKUP(J107,'CUBAGEM PRODUTOS'!A:I,9,0)*C107),"ERRO")</f>
        <v/>
      </c>
      <c r="E107" s="105" t="str">
        <f>IFERROR(IF(OR(J107="",C107=""),"",VLOOKUP(J107,'CUBAGEM PRODUTOS'!A:H,2,0)),"ERRO")</f>
        <v/>
      </c>
      <c r="F107" s="105"/>
      <c r="G107" s="105"/>
      <c r="H107" s="72" t="str">
        <f>IFERROR(IF(OR(J107="",C107=""),"",VLOOKUP(J107,'CUBAGEM PRODUTOS'!$A:$H,4,0)*C107),"ERRO")</f>
        <v/>
      </c>
      <c r="I107" s="43"/>
      <c r="J107" s="35" t="str">
        <f t="shared" si="1"/>
        <v/>
      </c>
      <c r="K107" s="43"/>
      <c r="L107" s="43"/>
      <c r="M107" s="36"/>
    </row>
    <row r="108" spans="1:13" x14ac:dyDescent="0.25">
      <c r="A108" s="32"/>
      <c r="B108" s="48"/>
      <c r="C108" s="49"/>
      <c r="D108" s="50" t="str">
        <f>IFERROR(IF(OR(J108="",C108=""),"",VLOOKUP(J108,'CUBAGEM PRODUTOS'!A:I,9,0)*C108),"ERRO")</f>
        <v/>
      </c>
      <c r="E108" s="97" t="str">
        <f>IFERROR(IF(OR(J108="",C108=""),"",VLOOKUP(J108,'CUBAGEM PRODUTOS'!A:H,2,0)),"ERRO")</f>
        <v/>
      </c>
      <c r="F108" s="97"/>
      <c r="G108" s="97"/>
      <c r="H108" s="50" t="str">
        <f>IFERROR(IF(OR(J108="",C108=""),"",VLOOKUP(J108,'CUBAGEM PRODUTOS'!$A:$H,4,0)*C108),"ERRO")</f>
        <v/>
      </c>
      <c r="I108" s="43"/>
      <c r="J108" s="35" t="str">
        <f t="shared" si="1"/>
        <v/>
      </c>
      <c r="K108" s="43"/>
      <c r="L108" s="43"/>
      <c r="M108" s="36"/>
    </row>
    <row r="109" spans="1:13" x14ac:dyDescent="0.25">
      <c r="A109" s="32"/>
      <c r="B109" s="53"/>
      <c r="C109" s="51"/>
      <c r="D109" s="47" t="str">
        <f>IFERROR(IF(OR(J109="",C109=""),"",VLOOKUP(J109,'CUBAGEM PRODUTOS'!A:I,9,0)*C109),"ERRO")</f>
        <v/>
      </c>
      <c r="E109" s="105" t="str">
        <f>IFERROR(IF(OR(J109="",C109=""),"",VLOOKUP(J109,'CUBAGEM PRODUTOS'!A:H,2,0)),"ERRO")</f>
        <v/>
      </c>
      <c r="F109" s="105"/>
      <c r="G109" s="105"/>
      <c r="H109" s="72" t="str">
        <f>IFERROR(IF(OR(J109="",C109=""),"",VLOOKUP(J109,'CUBAGEM PRODUTOS'!$A:$H,4,0)*C109),"ERRO")</f>
        <v/>
      </c>
      <c r="I109" s="43"/>
      <c r="J109" s="35" t="str">
        <f t="shared" si="1"/>
        <v/>
      </c>
      <c r="K109" s="43"/>
      <c r="L109" s="43"/>
      <c r="M109" s="36"/>
    </row>
    <row r="110" spans="1:13" x14ac:dyDescent="0.25">
      <c r="A110" s="32"/>
      <c r="B110" s="48"/>
      <c r="C110" s="49"/>
      <c r="D110" s="50" t="str">
        <f>IFERROR(IF(OR(J110="",C110=""),"",VLOOKUP(J110,'CUBAGEM PRODUTOS'!A:I,9,0)*C110),"ERRO")</f>
        <v/>
      </c>
      <c r="E110" s="97" t="str">
        <f>IFERROR(IF(OR(J110="",C110=""),"",VLOOKUP(J110,'CUBAGEM PRODUTOS'!A:H,2,0)),"ERRO")</f>
        <v/>
      </c>
      <c r="F110" s="97"/>
      <c r="G110" s="97"/>
      <c r="H110" s="50" t="str">
        <f>IFERROR(IF(OR(J110="",C110=""),"",VLOOKUP(J110,'CUBAGEM PRODUTOS'!$A:$H,4,0)*C110),"ERRO")</f>
        <v/>
      </c>
      <c r="I110" s="43"/>
      <c r="J110" s="35" t="str">
        <f t="shared" si="1"/>
        <v/>
      </c>
      <c r="K110" s="43"/>
      <c r="L110" s="43"/>
      <c r="M110" s="36"/>
    </row>
    <row r="111" spans="1:13" x14ac:dyDescent="0.25">
      <c r="A111" s="32"/>
      <c r="B111" s="53"/>
      <c r="C111" s="51"/>
      <c r="D111" s="47" t="str">
        <f>IFERROR(IF(OR(J111="",C111=""),"",VLOOKUP(J111,'CUBAGEM PRODUTOS'!A:I,9,0)*C111),"ERRO")</f>
        <v/>
      </c>
      <c r="E111" s="105" t="str">
        <f>IFERROR(IF(OR(J111="",C111=""),"",VLOOKUP(J111,'CUBAGEM PRODUTOS'!A:H,2,0)),"ERRO")</f>
        <v/>
      </c>
      <c r="F111" s="105"/>
      <c r="G111" s="105"/>
      <c r="H111" s="72" t="str">
        <f>IFERROR(IF(OR(J111="",C111=""),"",VLOOKUP(J111,'CUBAGEM PRODUTOS'!$A:$H,4,0)*C111),"ERRO")</f>
        <v/>
      </c>
      <c r="I111" s="43"/>
      <c r="J111" s="35" t="str">
        <f t="shared" si="1"/>
        <v/>
      </c>
      <c r="K111" s="43"/>
      <c r="L111" s="43"/>
      <c r="M111" s="36"/>
    </row>
    <row r="112" spans="1:13" x14ac:dyDescent="0.25">
      <c r="A112" s="32"/>
      <c r="B112" s="48"/>
      <c r="C112" s="49"/>
      <c r="D112" s="50" t="str">
        <f>IFERROR(IF(OR(J112="",C112=""),"",VLOOKUP(J112,'CUBAGEM PRODUTOS'!A:I,9,0)*C112),"ERRO")</f>
        <v/>
      </c>
      <c r="E112" s="97" t="str">
        <f>IFERROR(IF(OR(J112="",C112=""),"",VLOOKUP(J112,'CUBAGEM PRODUTOS'!A:H,2,0)),"ERRO")</f>
        <v/>
      </c>
      <c r="F112" s="97"/>
      <c r="G112" s="97"/>
      <c r="H112" s="50" t="str">
        <f>IFERROR(IF(OR(J112="",C112=""),"",VLOOKUP(J112,'CUBAGEM PRODUTOS'!$A:$H,4,0)*C112),"ERRO")</f>
        <v/>
      </c>
      <c r="I112" s="43"/>
      <c r="J112" s="35" t="str">
        <f t="shared" si="1"/>
        <v/>
      </c>
      <c r="K112" s="43"/>
      <c r="L112" s="43"/>
      <c r="M112" s="36"/>
    </row>
    <row r="113" spans="1:13" x14ac:dyDescent="0.25">
      <c r="A113" s="32"/>
      <c r="B113" s="53"/>
      <c r="C113" s="51"/>
      <c r="D113" s="47" t="str">
        <f>IFERROR(IF(OR(J113="",C113=""),"",VLOOKUP(J113,'CUBAGEM PRODUTOS'!A:I,9,0)*C113),"ERRO")</f>
        <v/>
      </c>
      <c r="E113" s="105" t="str">
        <f>IFERROR(IF(OR(J113="",C113=""),"",VLOOKUP(J113,'CUBAGEM PRODUTOS'!A:H,2,0)),"ERRO")</f>
        <v/>
      </c>
      <c r="F113" s="105"/>
      <c r="G113" s="105"/>
      <c r="H113" s="72" t="str">
        <f>IFERROR(IF(OR(J113="",C113=""),"",VLOOKUP(J113,'CUBAGEM PRODUTOS'!$A:$H,4,0)*C113),"ERRO")</f>
        <v/>
      </c>
      <c r="I113" s="43"/>
      <c r="J113" s="35" t="str">
        <f t="shared" si="1"/>
        <v/>
      </c>
      <c r="K113" s="43"/>
      <c r="L113" s="43"/>
      <c r="M113" s="36"/>
    </row>
    <row r="114" spans="1:13" x14ac:dyDescent="0.25">
      <c r="A114" s="32"/>
      <c r="B114" s="48"/>
      <c r="C114" s="49"/>
      <c r="D114" s="50" t="str">
        <f>IFERROR(IF(OR(J114="",C114=""),"",VLOOKUP(J114,'CUBAGEM PRODUTOS'!A:I,9,0)*C114),"ERRO")</f>
        <v/>
      </c>
      <c r="E114" s="97" t="str">
        <f>IFERROR(IF(OR(J114="",C114=""),"",VLOOKUP(J114,'CUBAGEM PRODUTOS'!A:H,2,0)),"ERRO")</f>
        <v/>
      </c>
      <c r="F114" s="97"/>
      <c r="G114" s="97"/>
      <c r="H114" s="50" t="str">
        <f>IFERROR(IF(OR(J114="",C114=""),"",VLOOKUP(J114,'CUBAGEM PRODUTOS'!$A:$H,4,0)*C114),"ERRO")</f>
        <v/>
      </c>
      <c r="I114" s="43"/>
      <c r="J114" s="35" t="str">
        <f t="shared" si="1"/>
        <v/>
      </c>
      <c r="K114" s="43"/>
      <c r="L114" s="43"/>
      <c r="M114" s="36"/>
    </row>
    <row r="115" spans="1:13" x14ac:dyDescent="0.25">
      <c r="A115" s="32"/>
      <c r="B115" s="53"/>
      <c r="C115" s="51"/>
      <c r="D115" s="47" t="str">
        <f>IFERROR(IF(OR(J115="",C115=""),"",VLOOKUP(J115,'CUBAGEM PRODUTOS'!A:I,9,0)*C115),"ERRO")</f>
        <v/>
      </c>
      <c r="E115" s="105" t="str">
        <f>IFERROR(IF(OR(J115="",C115=""),"",VLOOKUP(J115,'CUBAGEM PRODUTOS'!A:H,2,0)),"ERRO")</f>
        <v/>
      </c>
      <c r="F115" s="105"/>
      <c r="G115" s="105"/>
      <c r="H115" s="72" t="str">
        <f>IFERROR(IF(OR(J115="",C115=""),"",VLOOKUP(J115,'CUBAGEM PRODUTOS'!$A:$H,4,0)*C115),"ERRO")</f>
        <v/>
      </c>
      <c r="I115" s="43"/>
      <c r="J115" s="35" t="str">
        <f t="shared" si="1"/>
        <v/>
      </c>
      <c r="K115" s="43"/>
      <c r="L115" s="43"/>
      <c r="M115" s="36"/>
    </row>
    <row r="116" spans="1:13" x14ac:dyDescent="0.25">
      <c r="A116" s="32"/>
      <c r="B116" s="48"/>
      <c r="C116" s="49"/>
      <c r="D116" s="50" t="str">
        <f>IFERROR(IF(OR(J116="",C116=""),"",VLOOKUP(J116,'CUBAGEM PRODUTOS'!A:I,9,0)*C116),"ERRO")</f>
        <v/>
      </c>
      <c r="E116" s="97" t="str">
        <f>IFERROR(IF(OR(J116="",C116=""),"",VLOOKUP(J116,'CUBAGEM PRODUTOS'!A:H,2,0)),"ERRO")</f>
        <v/>
      </c>
      <c r="F116" s="97"/>
      <c r="G116" s="97"/>
      <c r="H116" s="50" t="str">
        <f>IFERROR(IF(OR(J116="",C116=""),"",VLOOKUP(J116,'CUBAGEM PRODUTOS'!$A:$H,4,0)*C116),"ERRO")</f>
        <v/>
      </c>
      <c r="I116" s="43"/>
      <c r="J116" s="35" t="str">
        <f t="shared" si="1"/>
        <v/>
      </c>
      <c r="K116" s="43"/>
      <c r="L116" s="43"/>
      <c r="M116" s="36"/>
    </row>
    <row r="117" spans="1:13" x14ac:dyDescent="0.25">
      <c r="A117" s="32"/>
      <c r="B117" s="53"/>
      <c r="C117" s="51"/>
      <c r="D117" s="47" t="str">
        <f>IFERROR(IF(OR(J117="",C117=""),"",VLOOKUP(J117,'CUBAGEM PRODUTOS'!A:I,9,0)*C117),"ERRO")</f>
        <v/>
      </c>
      <c r="E117" s="105" t="str">
        <f>IFERROR(IF(OR(J117="",C117=""),"",VLOOKUP(J117,'CUBAGEM PRODUTOS'!A:H,2,0)),"ERRO")</f>
        <v/>
      </c>
      <c r="F117" s="105"/>
      <c r="G117" s="105"/>
      <c r="H117" s="72" t="str">
        <f>IFERROR(IF(OR(J117="",C117=""),"",VLOOKUP(J117,'CUBAGEM PRODUTOS'!$A:$H,4,0)*C117),"ERRO")</f>
        <v/>
      </c>
      <c r="I117" s="43"/>
      <c r="J117" s="35" t="str">
        <f t="shared" si="1"/>
        <v/>
      </c>
      <c r="K117" s="43"/>
      <c r="L117" s="43"/>
      <c r="M117" s="36"/>
    </row>
    <row r="118" spans="1:13" x14ac:dyDescent="0.25">
      <c r="A118" s="32"/>
      <c r="B118" s="48"/>
      <c r="C118" s="49"/>
      <c r="D118" s="50" t="str">
        <f>IFERROR(IF(OR(J118="",C118=""),"",VLOOKUP(J118,'CUBAGEM PRODUTOS'!A:I,9,0)*C118),"ERRO")</f>
        <v/>
      </c>
      <c r="E118" s="97" t="str">
        <f>IFERROR(IF(OR(J118="",C118=""),"",VLOOKUP(J118,'CUBAGEM PRODUTOS'!A:H,2,0)),"ERRO")</f>
        <v/>
      </c>
      <c r="F118" s="97"/>
      <c r="G118" s="97"/>
      <c r="H118" s="50" t="str">
        <f>IFERROR(IF(OR(J118="",C118=""),"",VLOOKUP(J118,'CUBAGEM PRODUTOS'!$A:$H,4,0)*C118),"ERRO")</f>
        <v/>
      </c>
      <c r="I118" s="43"/>
      <c r="J118" s="35" t="str">
        <f t="shared" si="1"/>
        <v/>
      </c>
      <c r="K118" s="43"/>
      <c r="L118" s="43"/>
      <c r="M118" s="36"/>
    </row>
    <row r="119" spans="1:13" x14ac:dyDescent="0.25">
      <c r="A119" s="32"/>
      <c r="B119" s="53"/>
      <c r="C119" s="51"/>
      <c r="D119" s="47" t="str">
        <f>IFERROR(IF(OR(J119="",C119=""),"",VLOOKUP(J119,'CUBAGEM PRODUTOS'!A:I,9,0)*C119),"ERRO")</f>
        <v/>
      </c>
      <c r="E119" s="105" t="str">
        <f>IFERROR(IF(OR(J119="",C119=""),"",VLOOKUP(J119,'CUBAGEM PRODUTOS'!A:H,2,0)),"ERRO")</f>
        <v/>
      </c>
      <c r="F119" s="105"/>
      <c r="G119" s="105"/>
      <c r="H119" s="72" t="str">
        <f>IFERROR(IF(OR(J119="",C119=""),"",VLOOKUP(J119,'CUBAGEM PRODUTOS'!$A:$H,4,0)*C119),"ERRO")</f>
        <v/>
      </c>
      <c r="I119" s="43"/>
      <c r="J119" s="35" t="str">
        <f t="shared" si="1"/>
        <v/>
      </c>
      <c r="K119" s="43"/>
      <c r="L119" s="43"/>
      <c r="M119" s="36"/>
    </row>
    <row r="120" spans="1:13" x14ac:dyDescent="0.25">
      <c r="A120" s="32"/>
      <c r="B120" s="48"/>
      <c r="C120" s="49"/>
      <c r="D120" s="50" t="str">
        <f>IFERROR(IF(OR(J120="",C120=""),"",VLOOKUP(J120,'CUBAGEM PRODUTOS'!A:I,9,0)*C120),"ERRO")</f>
        <v/>
      </c>
      <c r="E120" s="97" t="str">
        <f>IFERROR(IF(OR(J120="",C120=""),"",VLOOKUP(J120,'CUBAGEM PRODUTOS'!A:H,2,0)),"ERRO")</f>
        <v/>
      </c>
      <c r="F120" s="97"/>
      <c r="G120" s="97"/>
      <c r="H120" s="50" t="str">
        <f>IFERROR(IF(OR(J120="",C120=""),"",VLOOKUP(J120,'CUBAGEM PRODUTOS'!$A:$H,4,0)*C120),"ERRO")</f>
        <v/>
      </c>
      <c r="I120" s="43"/>
      <c r="J120" s="35" t="str">
        <f t="shared" si="1"/>
        <v/>
      </c>
      <c r="K120" s="43"/>
      <c r="L120" s="43"/>
      <c r="M120" s="36"/>
    </row>
    <row r="121" spans="1:13" x14ac:dyDescent="0.25">
      <c r="A121" s="32"/>
      <c r="B121" s="53"/>
      <c r="C121" s="51"/>
      <c r="D121" s="47" t="str">
        <f>IFERROR(IF(OR(J121="",C121=""),"",VLOOKUP(J121,'CUBAGEM PRODUTOS'!A:I,9,0)*C121),"ERRO")</f>
        <v/>
      </c>
      <c r="E121" s="105" t="str">
        <f>IFERROR(IF(OR(J121="",C121=""),"",VLOOKUP(J121,'CUBAGEM PRODUTOS'!A:H,2,0)),"ERRO")</f>
        <v/>
      </c>
      <c r="F121" s="105"/>
      <c r="G121" s="105"/>
      <c r="H121" s="72" t="str">
        <f>IFERROR(IF(OR(J121="",C121=""),"",VLOOKUP(J121,'CUBAGEM PRODUTOS'!$A:$H,4,0)*C121),"ERRO")</f>
        <v/>
      </c>
      <c r="I121" s="43"/>
      <c r="J121" s="35" t="str">
        <f t="shared" si="1"/>
        <v/>
      </c>
      <c r="K121" s="43"/>
      <c r="L121" s="43"/>
      <c r="M121" s="36"/>
    </row>
    <row r="122" spans="1:13" x14ac:dyDescent="0.25">
      <c r="A122" s="32"/>
      <c r="B122" s="48"/>
      <c r="C122" s="49"/>
      <c r="D122" s="50" t="str">
        <f>IFERROR(IF(OR(J122="",C122=""),"",VLOOKUP(J122,'CUBAGEM PRODUTOS'!A:I,9,0)*C122),"ERRO")</f>
        <v/>
      </c>
      <c r="E122" s="97" t="str">
        <f>IFERROR(IF(OR(J122="",C122=""),"",VLOOKUP(J122,'CUBAGEM PRODUTOS'!A:H,2,0)),"ERRO")</f>
        <v/>
      </c>
      <c r="F122" s="97"/>
      <c r="G122" s="97"/>
      <c r="H122" s="50" t="str">
        <f>IFERROR(IF(OR(J122="",C122=""),"",VLOOKUP(J122,'CUBAGEM PRODUTOS'!$A:$H,4,0)*C122),"ERRO")</f>
        <v/>
      </c>
      <c r="I122" s="43"/>
      <c r="J122" s="35" t="str">
        <f t="shared" si="1"/>
        <v/>
      </c>
      <c r="K122" s="43"/>
      <c r="L122" s="43"/>
      <c r="M122" s="36"/>
    </row>
    <row r="123" spans="1:13" x14ac:dyDescent="0.25">
      <c r="A123" s="32"/>
      <c r="B123" s="53"/>
      <c r="C123" s="51"/>
      <c r="D123" s="47" t="str">
        <f>IFERROR(IF(OR(J123="",C123=""),"",VLOOKUP(J123,'CUBAGEM PRODUTOS'!A:I,9,0)*C123),"ERRO")</f>
        <v/>
      </c>
      <c r="E123" s="105" t="str">
        <f>IFERROR(IF(OR(J123="",C123=""),"",VLOOKUP(J123,'CUBAGEM PRODUTOS'!A:H,2,0)),"ERRO")</f>
        <v/>
      </c>
      <c r="F123" s="105"/>
      <c r="G123" s="105"/>
      <c r="H123" s="72" t="str">
        <f>IFERROR(IF(OR(J123="",C123=""),"",VLOOKUP(J123,'CUBAGEM PRODUTOS'!$A:$H,4,0)*C123),"ERRO")</f>
        <v/>
      </c>
      <c r="I123" s="43"/>
      <c r="J123" s="35" t="str">
        <f t="shared" si="1"/>
        <v/>
      </c>
      <c r="K123" s="43"/>
      <c r="L123" s="43"/>
      <c r="M123" s="36"/>
    </row>
    <row r="124" spans="1:13" x14ac:dyDescent="0.25">
      <c r="A124" s="32"/>
      <c r="B124" s="48"/>
      <c r="C124" s="49"/>
      <c r="D124" s="50" t="str">
        <f>IFERROR(IF(OR(J124="",C124=""),"",VLOOKUP(J124,'CUBAGEM PRODUTOS'!A:I,9,0)*C124),"ERRO")</f>
        <v/>
      </c>
      <c r="E124" s="97" t="str">
        <f>IFERROR(IF(OR(J124="",C124=""),"",VLOOKUP(J124,'CUBAGEM PRODUTOS'!A:H,2,0)),"ERRO")</f>
        <v/>
      </c>
      <c r="F124" s="97"/>
      <c r="G124" s="97"/>
      <c r="H124" s="50" t="str">
        <f>IFERROR(IF(OR(J124="",C124=""),"",VLOOKUP(J124,'CUBAGEM PRODUTOS'!$A:$H,4,0)*C124),"ERRO")</f>
        <v/>
      </c>
      <c r="I124" s="43"/>
      <c r="J124" s="35" t="str">
        <f t="shared" si="1"/>
        <v/>
      </c>
      <c r="K124" s="43"/>
      <c r="L124" s="43"/>
      <c r="M124" s="36"/>
    </row>
    <row r="125" spans="1:13" x14ac:dyDescent="0.25">
      <c r="A125" s="32"/>
      <c r="B125" s="53"/>
      <c r="C125" s="51"/>
      <c r="D125" s="47" t="str">
        <f>IFERROR(IF(OR(J125="",C125=""),"",VLOOKUP(J125,'CUBAGEM PRODUTOS'!A:I,9,0)*C125),"ERRO")</f>
        <v/>
      </c>
      <c r="E125" s="105" t="str">
        <f>IFERROR(IF(OR(J125="",C125=""),"",VLOOKUP(J125,'CUBAGEM PRODUTOS'!A:H,2,0)),"ERRO")</f>
        <v/>
      </c>
      <c r="F125" s="105"/>
      <c r="G125" s="105"/>
      <c r="H125" s="72" t="str">
        <f>IFERROR(IF(OR(J125="",C125=""),"",VLOOKUP(J125,'CUBAGEM PRODUTOS'!$A:$H,4,0)*C125),"ERRO")</f>
        <v/>
      </c>
      <c r="I125" s="43"/>
      <c r="J125" s="35" t="str">
        <f t="shared" si="1"/>
        <v/>
      </c>
      <c r="K125" s="43"/>
      <c r="L125" s="43"/>
      <c r="M125" s="36"/>
    </row>
    <row r="126" spans="1:13" x14ac:dyDescent="0.25">
      <c r="A126" s="32"/>
      <c r="B126" s="48"/>
      <c r="C126" s="49"/>
      <c r="D126" s="50" t="str">
        <f>IFERROR(IF(OR(J126="",C126=""),"",VLOOKUP(J126,'CUBAGEM PRODUTOS'!A:I,9,0)*C126),"ERRO")</f>
        <v/>
      </c>
      <c r="E126" s="97" t="str">
        <f>IFERROR(IF(OR(J126="",C126=""),"",VLOOKUP(J126,'CUBAGEM PRODUTOS'!A:H,2,0)),"ERRO")</f>
        <v/>
      </c>
      <c r="F126" s="97"/>
      <c r="G126" s="97"/>
      <c r="H126" s="50" t="str">
        <f>IFERROR(IF(OR(J126="",C126=""),"",VLOOKUP(J126,'CUBAGEM PRODUTOS'!$A:$H,4,0)*C126),"ERRO")</f>
        <v/>
      </c>
      <c r="I126" s="43"/>
      <c r="J126" s="35" t="str">
        <f t="shared" si="1"/>
        <v/>
      </c>
      <c r="K126" s="43"/>
      <c r="L126" s="43"/>
      <c r="M126" s="36"/>
    </row>
    <row r="127" spans="1:13" x14ac:dyDescent="0.25">
      <c r="A127" s="32"/>
      <c r="B127" s="53"/>
      <c r="C127" s="51"/>
      <c r="D127" s="47" t="str">
        <f>IFERROR(IF(OR(J127="",C127=""),"",VLOOKUP(J127,'CUBAGEM PRODUTOS'!A:I,9,0)*C127),"ERRO")</f>
        <v/>
      </c>
      <c r="E127" s="105" t="str">
        <f>IFERROR(IF(OR(J127="",C127=""),"",VLOOKUP(J127,'CUBAGEM PRODUTOS'!A:H,2,0)),"ERRO")</f>
        <v/>
      </c>
      <c r="F127" s="105"/>
      <c r="G127" s="105"/>
      <c r="H127" s="72" t="str">
        <f>IFERROR(IF(OR(J127="",C127=""),"",VLOOKUP(J127,'CUBAGEM PRODUTOS'!$A:$H,4,0)*C127),"ERRO")</f>
        <v/>
      </c>
      <c r="I127" s="43"/>
      <c r="J127" s="35" t="str">
        <f t="shared" si="1"/>
        <v/>
      </c>
      <c r="K127" s="43"/>
      <c r="L127" s="43"/>
      <c r="M127" s="36"/>
    </row>
    <row r="128" spans="1:13" x14ac:dyDescent="0.25">
      <c r="A128" s="32"/>
      <c r="B128" s="48"/>
      <c r="C128" s="49"/>
      <c r="D128" s="50" t="str">
        <f>IFERROR(IF(OR(J128="",C128=""),"",VLOOKUP(J128,'CUBAGEM PRODUTOS'!A:I,9,0)*C128),"ERRO")</f>
        <v/>
      </c>
      <c r="E128" s="97" t="str">
        <f>IFERROR(IF(OR(J128="",C128=""),"",VLOOKUP(J128,'CUBAGEM PRODUTOS'!A:H,2,0)),"ERRO")</f>
        <v/>
      </c>
      <c r="F128" s="97"/>
      <c r="G128" s="97"/>
      <c r="H128" s="50" t="str">
        <f>IFERROR(IF(OR(J128="",C128=""),"",VLOOKUP(J128,'CUBAGEM PRODUTOS'!$A:$H,4,0)*C128),"ERRO")</f>
        <v/>
      </c>
      <c r="I128" s="43"/>
      <c r="J128" s="35" t="str">
        <f t="shared" si="1"/>
        <v/>
      </c>
      <c r="K128" s="43"/>
      <c r="L128" s="43"/>
      <c r="M128" s="36"/>
    </row>
    <row r="129" spans="1:13" x14ac:dyDescent="0.25">
      <c r="A129" s="32"/>
      <c r="B129" s="53"/>
      <c r="C129" s="51"/>
      <c r="D129" s="47" t="str">
        <f>IFERROR(IF(OR(J129="",C129=""),"",VLOOKUP(J129,'CUBAGEM PRODUTOS'!A:I,9,0)*C129),"ERRO")</f>
        <v/>
      </c>
      <c r="E129" s="105" t="str">
        <f>IFERROR(IF(OR(J129="",C129=""),"",VLOOKUP(J129,'CUBAGEM PRODUTOS'!A:H,2,0)),"ERRO")</f>
        <v/>
      </c>
      <c r="F129" s="105"/>
      <c r="G129" s="105"/>
      <c r="H129" s="72" t="str">
        <f>IFERROR(IF(OR(J129="",C129=""),"",VLOOKUP(J129,'CUBAGEM PRODUTOS'!$A:$H,4,0)*C129),"ERRO")</f>
        <v/>
      </c>
      <c r="I129" s="43"/>
      <c r="J129" s="35" t="str">
        <f t="shared" si="1"/>
        <v/>
      </c>
      <c r="K129" s="43"/>
      <c r="L129" s="43"/>
      <c r="M129" s="36"/>
    </row>
    <row r="130" spans="1:13" x14ac:dyDescent="0.25">
      <c r="A130" s="32"/>
      <c r="B130" s="48"/>
      <c r="C130" s="49"/>
      <c r="D130" s="50" t="str">
        <f>IFERROR(IF(OR(J130="",C130=""),"",VLOOKUP(J130,'CUBAGEM PRODUTOS'!A:I,9,0)*C130),"ERRO")</f>
        <v/>
      </c>
      <c r="E130" s="97" t="str">
        <f>IFERROR(IF(OR(J130="",C130=""),"",VLOOKUP(J130,'CUBAGEM PRODUTOS'!A:H,2,0)),"ERRO")</f>
        <v/>
      </c>
      <c r="F130" s="97"/>
      <c r="G130" s="97"/>
      <c r="H130" s="50" t="str">
        <f>IFERROR(IF(OR(J130="",C130=""),"",VLOOKUP(J130,'CUBAGEM PRODUTOS'!$A:$H,4,0)*C130),"ERRO")</f>
        <v/>
      </c>
      <c r="I130" s="43"/>
      <c r="J130" s="35" t="str">
        <f t="shared" si="1"/>
        <v/>
      </c>
      <c r="K130" s="43"/>
      <c r="L130" s="43"/>
      <c r="M130" s="36"/>
    </row>
    <row r="131" spans="1:13" x14ac:dyDescent="0.25">
      <c r="A131" s="32"/>
      <c r="B131" s="53"/>
      <c r="C131" s="51"/>
      <c r="D131" s="47" t="str">
        <f>IFERROR(IF(OR(J131="",C131=""),"",VLOOKUP(J131,'CUBAGEM PRODUTOS'!A:I,9,0)*C131),"ERRO")</f>
        <v/>
      </c>
      <c r="E131" s="105" t="str">
        <f>IFERROR(IF(OR(J131="",C131=""),"",VLOOKUP(J131,'CUBAGEM PRODUTOS'!A:H,2,0)),"ERRO")</f>
        <v/>
      </c>
      <c r="F131" s="105"/>
      <c r="G131" s="105"/>
      <c r="H131" s="72" t="str">
        <f>IFERROR(IF(OR(J131="",C131=""),"",VLOOKUP(J131,'CUBAGEM PRODUTOS'!$A:$H,4,0)*C131),"ERRO")</f>
        <v/>
      </c>
      <c r="I131" s="43"/>
      <c r="J131" s="35" t="str">
        <f t="shared" si="1"/>
        <v/>
      </c>
      <c r="K131" s="43"/>
      <c r="L131" s="43"/>
      <c r="M131" s="36"/>
    </row>
    <row r="132" spans="1:13" x14ac:dyDescent="0.25">
      <c r="A132" s="32"/>
      <c r="B132" s="48"/>
      <c r="C132" s="49"/>
      <c r="D132" s="50" t="str">
        <f>IFERROR(IF(OR(J132="",C132=""),"",VLOOKUP(J132,'CUBAGEM PRODUTOS'!A:I,9,0)*C132),"ERRO")</f>
        <v/>
      </c>
      <c r="E132" s="97" t="str">
        <f>IFERROR(IF(OR(J132="",C132=""),"",VLOOKUP(J132,'CUBAGEM PRODUTOS'!A:H,2,0)),"ERRO")</f>
        <v/>
      </c>
      <c r="F132" s="97"/>
      <c r="G132" s="97"/>
      <c r="H132" s="50" t="str">
        <f>IFERROR(IF(OR(J132="",C132=""),"",VLOOKUP(J132,'CUBAGEM PRODUTOS'!$A:$H,4,0)*C132),"ERRO")</f>
        <v/>
      </c>
      <c r="I132" s="43"/>
      <c r="J132" s="35" t="str">
        <f t="shared" si="1"/>
        <v/>
      </c>
      <c r="K132" s="43"/>
      <c r="L132" s="43"/>
      <c r="M132" s="36"/>
    </row>
    <row r="133" spans="1:13" x14ac:dyDescent="0.25">
      <c r="A133" s="32"/>
      <c r="B133" s="53"/>
      <c r="C133" s="51"/>
      <c r="D133" s="47" t="str">
        <f>IFERROR(IF(OR(J133="",C133=""),"",VLOOKUP(J133,'CUBAGEM PRODUTOS'!A:I,9,0)*C133),"ERRO")</f>
        <v/>
      </c>
      <c r="E133" s="105" t="str">
        <f>IFERROR(IF(OR(J133="",C133=""),"",VLOOKUP(J133,'CUBAGEM PRODUTOS'!A:H,2,0)),"ERRO")</f>
        <v/>
      </c>
      <c r="F133" s="105"/>
      <c r="G133" s="105"/>
      <c r="H133" s="72" t="str">
        <f>IFERROR(IF(OR(J133="",C133=""),"",VLOOKUP(J133,'CUBAGEM PRODUTOS'!$A:$H,4,0)*C133),"ERRO")</f>
        <v/>
      </c>
      <c r="I133" s="43"/>
      <c r="J133" s="35" t="str">
        <f t="shared" si="1"/>
        <v/>
      </c>
      <c r="K133" s="43"/>
      <c r="L133" s="43"/>
      <c r="M133" s="36"/>
    </row>
    <row r="134" spans="1:13" x14ac:dyDescent="0.25">
      <c r="A134" s="32"/>
      <c r="B134" s="48"/>
      <c r="C134" s="49"/>
      <c r="D134" s="50" t="str">
        <f>IFERROR(IF(OR(J134="",C134=""),"",VLOOKUP(J134,'CUBAGEM PRODUTOS'!A:I,9,0)*C134),"ERRO")</f>
        <v/>
      </c>
      <c r="E134" s="97" t="str">
        <f>IFERROR(IF(OR(J134="",C134=""),"",VLOOKUP(J134,'CUBAGEM PRODUTOS'!A:H,2,0)),"ERRO")</f>
        <v/>
      </c>
      <c r="F134" s="97"/>
      <c r="G134" s="97"/>
      <c r="H134" s="50" t="str">
        <f>IFERROR(IF(OR(J134="",C134=""),"",VLOOKUP(J134,'CUBAGEM PRODUTOS'!$A:$H,4,0)*C134),"ERRO")</f>
        <v/>
      </c>
      <c r="I134" s="43"/>
      <c r="J134" s="35" t="str">
        <f t="shared" si="1"/>
        <v/>
      </c>
      <c r="K134" s="43"/>
      <c r="L134" s="43"/>
      <c r="M134" s="36"/>
    </row>
    <row r="135" spans="1:13" x14ac:dyDescent="0.25">
      <c r="A135" s="32"/>
      <c r="B135" s="53"/>
      <c r="C135" s="51"/>
      <c r="D135" s="47" t="str">
        <f>IFERROR(IF(OR(J135="",C135=""),"",VLOOKUP(J135,'CUBAGEM PRODUTOS'!A:I,9,0)*C135),"ERRO")</f>
        <v/>
      </c>
      <c r="E135" s="105" t="str">
        <f>IFERROR(IF(OR(J135="",C135=""),"",VLOOKUP(J135,'CUBAGEM PRODUTOS'!A:H,2,0)),"ERRO")</f>
        <v/>
      </c>
      <c r="F135" s="105"/>
      <c r="G135" s="105"/>
      <c r="H135" s="72" t="str">
        <f>IFERROR(IF(OR(J135="",C135=""),"",VLOOKUP(J135,'CUBAGEM PRODUTOS'!$A:$H,4,0)*C135),"ERRO")</f>
        <v/>
      </c>
      <c r="I135" s="43"/>
      <c r="J135" s="35" t="str">
        <f t="shared" si="1"/>
        <v/>
      </c>
      <c r="K135" s="43"/>
      <c r="L135" s="43"/>
      <c r="M135" s="36"/>
    </row>
    <row r="136" spans="1:13" x14ac:dyDescent="0.25">
      <c r="A136" s="32"/>
      <c r="B136" s="48"/>
      <c r="C136" s="49"/>
      <c r="D136" s="50" t="str">
        <f>IFERROR(IF(OR(J136="",C136=""),"",VLOOKUP(J136,'CUBAGEM PRODUTOS'!A:I,9,0)*C136),"ERRO")</f>
        <v/>
      </c>
      <c r="E136" s="97" t="str">
        <f>IFERROR(IF(OR(J136="",C136=""),"",VLOOKUP(J136,'CUBAGEM PRODUTOS'!A:H,2,0)),"ERRO")</f>
        <v/>
      </c>
      <c r="F136" s="97"/>
      <c r="G136" s="97"/>
      <c r="H136" s="50" t="str">
        <f>IFERROR(IF(OR(J136="",C136=""),"",VLOOKUP(J136,'CUBAGEM PRODUTOS'!$A:$H,4,0)*C136),"ERRO")</f>
        <v/>
      </c>
      <c r="I136" s="43"/>
      <c r="J136" s="35" t="str">
        <f t="shared" si="1"/>
        <v/>
      </c>
      <c r="K136" s="43"/>
      <c r="L136" s="43"/>
      <c r="M136" s="36"/>
    </row>
    <row r="137" spans="1:13" x14ac:dyDescent="0.25">
      <c r="A137" s="32"/>
      <c r="B137" s="53"/>
      <c r="C137" s="51"/>
      <c r="D137" s="47" t="str">
        <f>IFERROR(IF(OR(J137="",C137=""),"",VLOOKUP(J137,'CUBAGEM PRODUTOS'!A:I,9,0)*C137),"ERRO")</f>
        <v/>
      </c>
      <c r="E137" s="105" t="str">
        <f>IFERROR(IF(OR(J137="",C137=""),"",VLOOKUP(J137,'CUBAGEM PRODUTOS'!A:H,2,0)),"ERRO")</f>
        <v/>
      </c>
      <c r="F137" s="105"/>
      <c r="G137" s="105"/>
      <c r="H137" s="72" t="str">
        <f>IFERROR(IF(OR(J137="",C137=""),"",VLOOKUP(J137,'CUBAGEM PRODUTOS'!$A:$H,4,0)*C137),"ERRO")</f>
        <v/>
      </c>
      <c r="I137" s="43"/>
      <c r="J137" s="35" t="str">
        <f t="shared" si="1"/>
        <v/>
      </c>
      <c r="K137" s="43"/>
      <c r="L137" s="43"/>
      <c r="M137" s="36"/>
    </row>
    <row r="138" spans="1:13" x14ac:dyDescent="0.25">
      <c r="A138" s="32"/>
      <c r="B138" s="48"/>
      <c r="C138" s="49"/>
      <c r="D138" s="50" t="str">
        <f>IFERROR(IF(OR(J138="",C138=""),"",VLOOKUP(J138,'CUBAGEM PRODUTOS'!A:I,9,0)*C138),"ERRO")</f>
        <v/>
      </c>
      <c r="E138" s="97" t="str">
        <f>IFERROR(IF(OR(J138="",C138=""),"",VLOOKUP(J138,'CUBAGEM PRODUTOS'!A:H,2,0)),"ERRO")</f>
        <v/>
      </c>
      <c r="F138" s="97"/>
      <c r="G138" s="97"/>
      <c r="H138" s="50" t="str">
        <f>IFERROR(IF(OR(J138="",C138=""),"",VLOOKUP(J138,'CUBAGEM PRODUTOS'!$A:$H,4,0)*C138),"ERRO")</f>
        <v/>
      </c>
      <c r="I138" s="43"/>
      <c r="J138" s="35" t="str">
        <f t="shared" si="1"/>
        <v/>
      </c>
      <c r="K138" s="43"/>
      <c r="L138" s="43"/>
      <c r="M138" s="36"/>
    </row>
    <row r="139" spans="1:13" x14ac:dyDescent="0.25">
      <c r="A139" s="32"/>
      <c r="B139" s="53"/>
      <c r="C139" s="51"/>
      <c r="D139" s="47" t="str">
        <f>IFERROR(IF(OR(J139="",C139=""),"",VLOOKUP(J139,'CUBAGEM PRODUTOS'!A:I,9,0)*C139),"ERRO")</f>
        <v/>
      </c>
      <c r="E139" s="105" t="str">
        <f>IFERROR(IF(OR(J139="",C139=""),"",VLOOKUP(J139,'CUBAGEM PRODUTOS'!A:H,2,0)),"ERRO")</f>
        <v/>
      </c>
      <c r="F139" s="105"/>
      <c r="G139" s="105"/>
      <c r="H139" s="72" t="str">
        <f>IFERROR(IF(OR(J139="",C139=""),"",VLOOKUP(J139,'CUBAGEM PRODUTOS'!$A:$H,4,0)*C139),"ERRO")</f>
        <v/>
      </c>
      <c r="I139" s="43"/>
      <c r="J139" s="35" t="str">
        <f t="shared" si="1"/>
        <v/>
      </c>
      <c r="K139" s="43"/>
      <c r="L139" s="43"/>
      <c r="M139" s="36"/>
    </row>
    <row r="140" spans="1:13" x14ac:dyDescent="0.25">
      <c r="A140" s="32"/>
      <c r="B140" s="48"/>
      <c r="C140" s="49"/>
      <c r="D140" s="50" t="str">
        <f>IFERROR(IF(OR(J140="",C140=""),"",VLOOKUP(J140,'CUBAGEM PRODUTOS'!A:I,9,0)*C140),"ERRO")</f>
        <v/>
      </c>
      <c r="E140" s="97" t="str">
        <f>IFERROR(IF(OR(J140="",C140=""),"",VLOOKUP(J140,'CUBAGEM PRODUTOS'!A:H,2,0)),"ERRO")</f>
        <v/>
      </c>
      <c r="F140" s="97"/>
      <c r="G140" s="97"/>
      <c r="H140" s="50" t="str">
        <f>IFERROR(IF(OR(J140="",C140=""),"",VLOOKUP(J140,'CUBAGEM PRODUTOS'!$A:$H,4,0)*C140),"ERRO")</f>
        <v/>
      </c>
      <c r="I140" s="43"/>
      <c r="J140" s="35" t="str">
        <f t="shared" si="1"/>
        <v/>
      </c>
      <c r="K140" s="43"/>
      <c r="L140" s="43"/>
      <c r="M140" s="36"/>
    </row>
    <row r="141" spans="1:13" x14ac:dyDescent="0.25">
      <c r="A141" s="32"/>
      <c r="B141" s="53"/>
      <c r="C141" s="51"/>
      <c r="D141" s="47" t="str">
        <f>IFERROR(IF(OR(J141="",C141=""),"",VLOOKUP(J141,'CUBAGEM PRODUTOS'!A:I,9,0)*C141),"ERRO")</f>
        <v/>
      </c>
      <c r="E141" s="105" t="str">
        <f>IFERROR(IF(OR(J141="",C141=""),"",VLOOKUP(J141,'CUBAGEM PRODUTOS'!A:H,2,0)),"ERRO")</f>
        <v/>
      </c>
      <c r="F141" s="105"/>
      <c r="G141" s="105"/>
      <c r="H141" s="72" t="str">
        <f>IFERROR(IF(OR(J141="",C141=""),"",VLOOKUP(J141,'CUBAGEM PRODUTOS'!$A:$H,4,0)*C141),"ERRO")</f>
        <v/>
      </c>
      <c r="I141" s="43"/>
      <c r="J141" s="35" t="str">
        <f t="shared" si="1"/>
        <v/>
      </c>
      <c r="K141" s="43"/>
      <c r="L141" s="43"/>
      <c r="M141" s="36"/>
    </row>
    <row r="142" spans="1:13" x14ac:dyDescent="0.25">
      <c r="A142" s="32"/>
      <c r="B142" s="48"/>
      <c r="C142" s="49"/>
      <c r="D142" s="50" t="str">
        <f>IFERROR(IF(OR(J142="",C142=""),"",VLOOKUP(J142,'CUBAGEM PRODUTOS'!A:I,9,0)*C142),"ERRO")</f>
        <v/>
      </c>
      <c r="E142" s="97" t="str">
        <f>IFERROR(IF(OR(J142="",C142=""),"",VLOOKUP(J142,'CUBAGEM PRODUTOS'!A:H,2,0)),"ERRO")</f>
        <v/>
      </c>
      <c r="F142" s="97"/>
      <c r="G142" s="97"/>
      <c r="H142" s="50" t="str">
        <f>IFERROR(IF(OR(J142="",C142=""),"",VLOOKUP(J142,'CUBAGEM PRODUTOS'!$A:$H,4,0)*C142),"ERRO")</f>
        <v/>
      </c>
      <c r="I142" s="43"/>
      <c r="J142" s="35" t="str">
        <f t="shared" si="1"/>
        <v/>
      </c>
      <c r="K142" s="43"/>
      <c r="L142" s="43"/>
      <c r="M142" s="36"/>
    </row>
    <row r="143" spans="1:13" x14ac:dyDescent="0.25">
      <c r="A143" s="32"/>
      <c r="B143" s="53"/>
      <c r="C143" s="51"/>
      <c r="D143" s="47" t="str">
        <f>IFERROR(IF(OR(J143="",C143=""),"",VLOOKUP(J143,'CUBAGEM PRODUTOS'!A:I,9,0)*C143),"ERRO")</f>
        <v/>
      </c>
      <c r="E143" s="105" t="str">
        <f>IFERROR(IF(OR(J143="",C143=""),"",VLOOKUP(J143,'CUBAGEM PRODUTOS'!A:H,2,0)),"ERRO")</f>
        <v/>
      </c>
      <c r="F143" s="105"/>
      <c r="G143" s="105"/>
      <c r="H143" s="72" t="str">
        <f>IFERROR(IF(OR(J143="",C143=""),"",VLOOKUP(J143,'CUBAGEM PRODUTOS'!$A:$H,4,0)*C143),"ERRO")</f>
        <v/>
      </c>
      <c r="I143" s="43"/>
      <c r="J143" s="35" t="str">
        <f t="shared" si="1"/>
        <v/>
      </c>
      <c r="K143" s="43"/>
      <c r="L143" s="43"/>
      <c r="M143" s="36"/>
    </row>
    <row r="144" spans="1:13" x14ac:dyDescent="0.25">
      <c r="A144" s="32"/>
      <c r="B144" s="48"/>
      <c r="C144" s="49"/>
      <c r="D144" s="50" t="str">
        <f>IFERROR(IF(OR(J144="",C144=""),"",VLOOKUP(J144,'CUBAGEM PRODUTOS'!A:I,9,0)*C144),"ERRO")</f>
        <v/>
      </c>
      <c r="E144" s="97" t="str">
        <f>IFERROR(IF(OR(J144="",C144=""),"",VLOOKUP(J144,'CUBAGEM PRODUTOS'!A:H,2,0)),"ERRO")</f>
        <v/>
      </c>
      <c r="F144" s="97"/>
      <c r="G144" s="97"/>
      <c r="H144" s="50" t="str">
        <f>IFERROR(IF(OR(J144="",C144=""),"",VLOOKUP(J144,'CUBAGEM PRODUTOS'!$A:$H,4,0)*C144),"ERRO")</f>
        <v/>
      </c>
      <c r="I144" s="43"/>
      <c r="J144" s="35" t="str">
        <f t="shared" si="1"/>
        <v/>
      </c>
      <c r="K144" s="43"/>
      <c r="L144" s="43"/>
      <c r="M144" s="36"/>
    </row>
    <row r="145" spans="1:13" x14ac:dyDescent="0.25">
      <c r="A145" s="32"/>
      <c r="B145" s="53"/>
      <c r="C145" s="51"/>
      <c r="D145" s="47" t="str">
        <f>IFERROR(IF(OR(J145="",C145=""),"",VLOOKUP(J145,'CUBAGEM PRODUTOS'!A:I,9,0)*C145),"ERRO")</f>
        <v/>
      </c>
      <c r="E145" s="105" t="str">
        <f>IFERROR(IF(OR(J145="",C145=""),"",VLOOKUP(J145,'CUBAGEM PRODUTOS'!A:H,2,0)),"ERRO")</f>
        <v/>
      </c>
      <c r="F145" s="105"/>
      <c r="G145" s="105"/>
      <c r="H145" s="72" t="str">
        <f>IFERROR(IF(OR(J145="",C145=""),"",VLOOKUP(J145,'CUBAGEM PRODUTOS'!$A:$H,4,0)*C145),"ERRO")</f>
        <v/>
      </c>
      <c r="I145" s="43"/>
      <c r="J145" s="35" t="str">
        <f t="shared" si="1"/>
        <v/>
      </c>
      <c r="K145" s="43"/>
      <c r="L145" s="43"/>
      <c r="M145" s="36"/>
    </row>
    <row r="146" spans="1:13" x14ac:dyDescent="0.25">
      <c r="A146" s="32"/>
      <c r="B146" s="48"/>
      <c r="C146" s="49"/>
      <c r="D146" s="50" t="str">
        <f>IFERROR(IF(OR(J146="",C146=""),"",VLOOKUP(J146,'CUBAGEM PRODUTOS'!A:I,9,0)*C146),"ERRO")</f>
        <v/>
      </c>
      <c r="E146" s="97" t="str">
        <f>IFERROR(IF(OR(J146="",C146=""),"",VLOOKUP(J146,'CUBAGEM PRODUTOS'!A:H,2,0)),"ERRO")</f>
        <v/>
      </c>
      <c r="F146" s="97"/>
      <c r="G146" s="97"/>
      <c r="H146" s="50" t="str">
        <f>IFERROR(IF(OR(J146="",C146=""),"",VLOOKUP(J146,'CUBAGEM PRODUTOS'!$A:$H,4,0)*C146),"ERRO")</f>
        <v/>
      </c>
      <c r="I146" s="43"/>
      <c r="J146" s="35" t="str">
        <f t="shared" ref="J146:J200" si="2">IF(B146="","",VALUE(B146))</f>
        <v/>
      </c>
      <c r="K146" s="43"/>
      <c r="L146" s="43"/>
      <c r="M146" s="36"/>
    </row>
    <row r="147" spans="1:13" x14ac:dyDescent="0.25">
      <c r="A147" s="32"/>
      <c r="B147" s="53"/>
      <c r="C147" s="51"/>
      <c r="D147" s="47" t="str">
        <f>IFERROR(IF(OR(J147="",C147=""),"",VLOOKUP(J147,'CUBAGEM PRODUTOS'!A:I,9,0)*C147),"ERRO")</f>
        <v/>
      </c>
      <c r="E147" s="105" t="str">
        <f>IFERROR(IF(OR(J147="",C147=""),"",VLOOKUP(J147,'CUBAGEM PRODUTOS'!A:H,2,0)),"ERRO")</f>
        <v/>
      </c>
      <c r="F147" s="105"/>
      <c r="G147" s="105"/>
      <c r="H147" s="72" t="str">
        <f>IFERROR(IF(OR(J147="",C147=""),"",VLOOKUP(J147,'CUBAGEM PRODUTOS'!$A:$H,4,0)*C147),"ERRO")</f>
        <v/>
      </c>
      <c r="I147" s="43"/>
      <c r="J147" s="35" t="str">
        <f t="shared" si="2"/>
        <v/>
      </c>
      <c r="K147" s="43"/>
      <c r="L147" s="43"/>
      <c r="M147" s="36"/>
    </row>
    <row r="148" spans="1:13" x14ac:dyDescent="0.25">
      <c r="A148" s="32"/>
      <c r="B148" s="48"/>
      <c r="C148" s="49"/>
      <c r="D148" s="50" t="str">
        <f>IFERROR(IF(OR(J148="",C148=""),"",VLOOKUP(J148,'CUBAGEM PRODUTOS'!A:I,9,0)*C148),"ERRO")</f>
        <v/>
      </c>
      <c r="E148" s="97" t="str">
        <f>IFERROR(IF(OR(J148="",C148=""),"",VLOOKUP(J148,'CUBAGEM PRODUTOS'!A:H,2,0)),"ERRO")</f>
        <v/>
      </c>
      <c r="F148" s="97"/>
      <c r="G148" s="97"/>
      <c r="H148" s="50" t="str">
        <f>IFERROR(IF(OR(J148="",C148=""),"",VLOOKUP(J148,'CUBAGEM PRODUTOS'!$A:$H,4,0)*C148),"ERRO")</f>
        <v/>
      </c>
      <c r="I148" s="43"/>
      <c r="J148" s="35" t="str">
        <f t="shared" si="2"/>
        <v/>
      </c>
      <c r="K148" s="43"/>
      <c r="L148" s="43"/>
      <c r="M148" s="36"/>
    </row>
    <row r="149" spans="1:13" x14ac:dyDescent="0.25">
      <c r="A149" s="32"/>
      <c r="B149" s="53"/>
      <c r="C149" s="51"/>
      <c r="D149" s="47" t="str">
        <f>IFERROR(IF(OR(J149="",C149=""),"",VLOOKUP(J149,'CUBAGEM PRODUTOS'!A:I,9,0)*C149),"ERRO")</f>
        <v/>
      </c>
      <c r="E149" s="105" t="str">
        <f>IFERROR(IF(OR(J149="",C149=""),"",VLOOKUP(J149,'CUBAGEM PRODUTOS'!A:H,2,0)),"ERRO")</f>
        <v/>
      </c>
      <c r="F149" s="105"/>
      <c r="G149" s="105"/>
      <c r="H149" s="72" t="str">
        <f>IFERROR(IF(OR(J149="",C149=""),"",VLOOKUP(J149,'CUBAGEM PRODUTOS'!$A:$H,4,0)*C149),"ERRO")</f>
        <v/>
      </c>
      <c r="I149" s="43"/>
      <c r="J149" s="35" t="str">
        <f t="shared" si="2"/>
        <v/>
      </c>
      <c r="K149" s="43"/>
      <c r="L149" s="43"/>
      <c r="M149" s="36"/>
    </row>
    <row r="150" spans="1:13" x14ac:dyDescent="0.25">
      <c r="A150" s="32"/>
      <c r="B150" s="48"/>
      <c r="C150" s="49"/>
      <c r="D150" s="50" t="str">
        <f>IFERROR(IF(OR(J150="",C150=""),"",VLOOKUP(J150,'CUBAGEM PRODUTOS'!A:I,9,0)*C150),"ERRO")</f>
        <v/>
      </c>
      <c r="E150" s="97" t="str">
        <f>IFERROR(IF(OR(J150="",C150=""),"",VLOOKUP(J150,'CUBAGEM PRODUTOS'!A:H,2,0)),"ERRO")</f>
        <v/>
      </c>
      <c r="F150" s="97"/>
      <c r="G150" s="97"/>
      <c r="H150" s="50" t="str">
        <f>IFERROR(IF(OR(J150="",C150=""),"",VLOOKUP(J150,'CUBAGEM PRODUTOS'!$A:$H,4,0)*C150),"ERRO")</f>
        <v/>
      </c>
      <c r="I150" s="43"/>
      <c r="J150" s="35" t="str">
        <f t="shared" si="2"/>
        <v/>
      </c>
      <c r="K150" s="43"/>
      <c r="L150" s="43"/>
      <c r="M150" s="36"/>
    </row>
    <row r="151" spans="1:13" x14ac:dyDescent="0.25">
      <c r="A151" s="32"/>
      <c r="B151" s="53"/>
      <c r="C151" s="51"/>
      <c r="D151" s="47" t="str">
        <f>IFERROR(IF(OR(J151="",C151=""),"",VLOOKUP(J151,'CUBAGEM PRODUTOS'!A:I,9,0)*C151),"ERRO")</f>
        <v/>
      </c>
      <c r="E151" s="105" t="str">
        <f>IFERROR(IF(OR(J151="",C151=""),"",VLOOKUP(J151,'CUBAGEM PRODUTOS'!A:H,2,0)),"ERRO")</f>
        <v/>
      </c>
      <c r="F151" s="105"/>
      <c r="G151" s="105"/>
      <c r="H151" s="72" t="str">
        <f>IFERROR(IF(OR(J151="",C151=""),"",VLOOKUP(J151,'CUBAGEM PRODUTOS'!$A:$H,4,0)*C151),"ERRO")</f>
        <v/>
      </c>
      <c r="I151" s="43"/>
      <c r="J151" s="35" t="str">
        <f t="shared" si="2"/>
        <v/>
      </c>
      <c r="K151" s="43"/>
      <c r="L151" s="43"/>
      <c r="M151" s="36"/>
    </row>
    <row r="152" spans="1:13" x14ac:dyDescent="0.25">
      <c r="A152" s="32"/>
      <c r="B152" s="48"/>
      <c r="C152" s="49"/>
      <c r="D152" s="50" t="str">
        <f>IFERROR(IF(OR(J152="",C152=""),"",VLOOKUP(J152,'CUBAGEM PRODUTOS'!A:I,9,0)*C152),"ERRO")</f>
        <v/>
      </c>
      <c r="E152" s="97" t="str">
        <f>IFERROR(IF(OR(J152="",C152=""),"",VLOOKUP(J152,'CUBAGEM PRODUTOS'!A:H,2,0)),"ERRO")</f>
        <v/>
      </c>
      <c r="F152" s="97"/>
      <c r="G152" s="97"/>
      <c r="H152" s="50" t="str">
        <f>IFERROR(IF(OR(J152="",C152=""),"",VLOOKUP(J152,'CUBAGEM PRODUTOS'!$A:$H,4,0)*C152),"ERRO")</f>
        <v/>
      </c>
      <c r="I152" s="43"/>
      <c r="J152" s="35" t="str">
        <f t="shared" si="2"/>
        <v/>
      </c>
      <c r="K152" s="43"/>
      <c r="L152" s="43"/>
      <c r="M152" s="36"/>
    </row>
    <row r="153" spans="1:13" x14ac:dyDescent="0.25">
      <c r="A153" s="32"/>
      <c r="B153" s="53"/>
      <c r="C153" s="51"/>
      <c r="D153" s="47" t="str">
        <f>IFERROR(IF(OR(J153="",C153=""),"",VLOOKUP(J153,'CUBAGEM PRODUTOS'!A:I,9,0)*C153),"ERRO")</f>
        <v/>
      </c>
      <c r="E153" s="105" t="str">
        <f>IFERROR(IF(OR(J153="",C153=""),"",VLOOKUP(J153,'CUBAGEM PRODUTOS'!A:H,2,0)),"ERRO")</f>
        <v/>
      </c>
      <c r="F153" s="105"/>
      <c r="G153" s="105"/>
      <c r="H153" s="72" t="str">
        <f>IFERROR(IF(OR(J153="",C153=""),"",VLOOKUP(J153,'CUBAGEM PRODUTOS'!$A:$H,4,0)*C153),"ERRO")</f>
        <v/>
      </c>
      <c r="I153" s="43"/>
      <c r="J153" s="35" t="str">
        <f t="shared" si="2"/>
        <v/>
      </c>
      <c r="K153" s="43"/>
      <c r="L153" s="43"/>
      <c r="M153" s="36"/>
    </row>
    <row r="154" spans="1:13" x14ac:dyDescent="0.25">
      <c r="A154" s="32"/>
      <c r="B154" s="48"/>
      <c r="C154" s="49"/>
      <c r="D154" s="50" t="str">
        <f>IFERROR(IF(OR(J154="",C154=""),"",VLOOKUP(J154,'CUBAGEM PRODUTOS'!A:I,9,0)*C154),"ERRO")</f>
        <v/>
      </c>
      <c r="E154" s="97" t="str">
        <f>IFERROR(IF(OR(J154="",C154=""),"",VLOOKUP(J154,'CUBAGEM PRODUTOS'!A:H,2,0)),"ERRO")</f>
        <v/>
      </c>
      <c r="F154" s="97"/>
      <c r="G154" s="97"/>
      <c r="H154" s="50" t="str">
        <f>IFERROR(IF(OR(J154="",C154=""),"",VLOOKUP(J154,'CUBAGEM PRODUTOS'!$A:$H,4,0)*C154),"ERRO")</f>
        <v/>
      </c>
      <c r="I154" s="43"/>
      <c r="J154" s="35" t="str">
        <f t="shared" si="2"/>
        <v/>
      </c>
      <c r="K154" s="43"/>
      <c r="L154" s="43"/>
      <c r="M154" s="36"/>
    </row>
    <row r="155" spans="1:13" x14ac:dyDescent="0.25">
      <c r="A155" s="32"/>
      <c r="B155" s="53"/>
      <c r="C155" s="51"/>
      <c r="D155" s="47" t="str">
        <f>IFERROR(IF(OR(J155="",C155=""),"",VLOOKUP(J155,'CUBAGEM PRODUTOS'!A:I,9,0)*C155),"ERRO")</f>
        <v/>
      </c>
      <c r="E155" s="105" t="str">
        <f>IFERROR(IF(OR(J155="",C155=""),"",VLOOKUP(J155,'CUBAGEM PRODUTOS'!A:H,2,0)),"ERRO")</f>
        <v/>
      </c>
      <c r="F155" s="105"/>
      <c r="G155" s="105"/>
      <c r="H155" s="72" t="str">
        <f>IFERROR(IF(OR(J155="",C155=""),"",VLOOKUP(J155,'CUBAGEM PRODUTOS'!$A:$H,4,0)*C155),"ERRO")</f>
        <v/>
      </c>
      <c r="I155" s="43"/>
      <c r="J155" s="35" t="str">
        <f t="shared" si="2"/>
        <v/>
      </c>
      <c r="K155" s="43"/>
      <c r="L155" s="43"/>
      <c r="M155" s="36"/>
    </row>
    <row r="156" spans="1:13" x14ac:dyDescent="0.25">
      <c r="A156" s="32"/>
      <c r="B156" s="48"/>
      <c r="C156" s="49"/>
      <c r="D156" s="50" t="str">
        <f>IFERROR(IF(OR(J156="",C156=""),"",VLOOKUP(J156,'CUBAGEM PRODUTOS'!A:I,9,0)*C156),"ERRO")</f>
        <v/>
      </c>
      <c r="E156" s="97" t="str">
        <f>IFERROR(IF(OR(J156="",C156=""),"",VLOOKUP(J156,'CUBAGEM PRODUTOS'!A:H,2,0)),"ERRO")</f>
        <v/>
      </c>
      <c r="F156" s="97"/>
      <c r="G156" s="97"/>
      <c r="H156" s="50" t="str">
        <f>IFERROR(IF(OR(J156="",C156=""),"",VLOOKUP(J156,'CUBAGEM PRODUTOS'!$A:$H,4,0)*C156),"ERRO")</f>
        <v/>
      </c>
      <c r="I156" s="43"/>
      <c r="J156" s="35" t="str">
        <f t="shared" si="2"/>
        <v/>
      </c>
      <c r="K156" s="43"/>
      <c r="L156" s="43"/>
      <c r="M156" s="36"/>
    </row>
    <row r="157" spans="1:13" x14ac:dyDescent="0.25">
      <c r="A157" s="32"/>
      <c r="B157" s="53"/>
      <c r="C157" s="51"/>
      <c r="D157" s="47" t="str">
        <f>IFERROR(IF(OR(J157="",C157=""),"",VLOOKUP(J157,'CUBAGEM PRODUTOS'!A:I,9,0)*C157),"ERRO")</f>
        <v/>
      </c>
      <c r="E157" s="105" t="str">
        <f>IFERROR(IF(OR(J157="",C157=""),"",VLOOKUP(J157,'CUBAGEM PRODUTOS'!A:H,2,0)),"ERRO")</f>
        <v/>
      </c>
      <c r="F157" s="105"/>
      <c r="G157" s="105"/>
      <c r="H157" s="72" t="str">
        <f>IFERROR(IF(OR(J157="",C157=""),"",VLOOKUP(J157,'CUBAGEM PRODUTOS'!$A:$H,4,0)*C157),"ERRO")</f>
        <v/>
      </c>
      <c r="I157" s="43"/>
      <c r="J157" s="35" t="str">
        <f t="shared" si="2"/>
        <v/>
      </c>
      <c r="K157" s="43"/>
      <c r="L157" s="43"/>
      <c r="M157" s="36"/>
    </row>
    <row r="158" spans="1:13" x14ac:dyDescent="0.25">
      <c r="A158" s="32"/>
      <c r="B158" s="48"/>
      <c r="C158" s="49"/>
      <c r="D158" s="50" t="str">
        <f>IFERROR(IF(OR(J158="",C158=""),"",VLOOKUP(J158,'CUBAGEM PRODUTOS'!A:I,9,0)*C158),"ERRO")</f>
        <v/>
      </c>
      <c r="E158" s="97" t="str">
        <f>IFERROR(IF(OR(J158="",C158=""),"",VLOOKUP(J158,'CUBAGEM PRODUTOS'!A:H,2,0)),"ERRO")</f>
        <v/>
      </c>
      <c r="F158" s="97"/>
      <c r="G158" s="97"/>
      <c r="H158" s="50" t="str">
        <f>IFERROR(IF(OR(J158="",C158=""),"",VLOOKUP(J158,'CUBAGEM PRODUTOS'!$A:$H,4,0)*C158),"ERRO")</f>
        <v/>
      </c>
      <c r="I158" s="43"/>
      <c r="J158" s="35" t="str">
        <f t="shared" si="2"/>
        <v/>
      </c>
      <c r="K158" s="43"/>
      <c r="L158" s="43"/>
      <c r="M158" s="36"/>
    </row>
    <row r="159" spans="1:13" x14ac:dyDescent="0.25">
      <c r="A159" s="32"/>
      <c r="B159" s="53"/>
      <c r="C159" s="51"/>
      <c r="D159" s="47" t="str">
        <f>IFERROR(IF(OR(J159="",C159=""),"",VLOOKUP(J159,'CUBAGEM PRODUTOS'!A:I,9,0)*C159),"ERRO")</f>
        <v/>
      </c>
      <c r="E159" s="105" t="str">
        <f>IFERROR(IF(OR(J159="",C159=""),"",VLOOKUP(J159,'CUBAGEM PRODUTOS'!A:H,2,0)),"ERRO")</f>
        <v/>
      </c>
      <c r="F159" s="105"/>
      <c r="G159" s="105"/>
      <c r="H159" s="72" t="str">
        <f>IFERROR(IF(OR(J159="",C159=""),"",VLOOKUP(J159,'CUBAGEM PRODUTOS'!$A:$H,4,0)*C159),"ERRO")</f>
        <v/>
      </c>
      <c r="I159" s="43"/>
      <c r="J159" s="35" t="str">
        <f t="shared" si="2"/>
        <v/>
      </c>
      <c r="K159" s="43"/>
      <c r="L159" s="43"/>
      <c r="M159" s="36"/>
    </row>
    <row r="160" spans="1:13" x14ac:dyDescent="0.25">
      <c r="A160" s="32"/>
      <c r="B160" s="48"/>
      <c r="C160" s="49"/>
      <c r="D160" s="50" t="str">
        <f>IFERROR(IF(OR(J160="",C160=""),"",VLOOKUP(J160,'CUBAGEM PRODUTOS'!A:I,9,0)*C160),"ERRO")</f>
        <v/>
      </c>
      <c r="E160" s="97" t="str">
        <f>IFERROR(IF(OR(J160="",C160=""),"",VLOOKUP(J160,'CUBAGEM PRODUTOS'!A:H,2,0)),"ERRO")</f>
        <v/>
      </c>
      <c r="F160" s="97"/>
      <c r="G160" s="97"/>
      <c r="H160" s="50" t="str">
        <f>IFERROR(IF(OR(J160="",C160=""),"",VLOOKUP(J160,'CUBAGEM PRODUTOS'!$A:$H,4,0)*C160),"ERRO")</f>
        <v/>
      </c>
      <c r="I160" s="43"/>
      <c r="J160" s="35" t="str">
        <f t="shared" si="2"/>
        <v/>
      </c>
      <c r="K160" s="43"/>
      <c r="L160" s="43"/>
      <c r="M160" s="36"/>
    </row>
    <row r="161" spans="1:13" x14ac:dyDescent="0.25">
      <c r="A161" s="32"/>
      <c r="B161" s="53"/>
      <c r="C161" s="51"/>
      <c r="D161" s="47" t="str">
        <f>IFERROR(IF(OR(J161="",C161=""),"",VLOOKUP(J161,'CUBAGEM PRODUTOS'!A:I,9,0)*C161),"ERRO")</f>
        <v/>
      </c>
      <c r="E161" s="105" t="str">
        <f>IFERROR(IF(OR(J161="",C161=""),"",VLOOKUP(J161,'CUBAGEM PRODUTOS'!A:H,2,0)),"ERRO")</f>
        <v/>
      </c>
      <c r="F161" s="105"/>
      <c r="G161" s="105"/>
      <c r="H161" s="72" t="str">
        <f>IFERROR(IF(OR(J161="",C161=""),"",VLOOKUP(J161,'CUBAGEM PRODUTOS'!$A:$H,4,0)*C161),"ERRO")</f>
        <v/>
      </c>
      <c r="I161" s="43"/>
      <c r="J161" s="35" t="str">
        <f t="shared" si="2"/>
        <v/>
      </c>
      <c r="K161" s="43"/>
      <c r="L161" s="43"/>
      <c r="M161" s="36"/>
    </row>
    <row r="162" spans="1:13" x14ac:dyDescent="0.25">
      <c r="A162" s="32"/>
      <c r="B162" s="48"/>
      <c r="C162" s="49"/>
      <c r="D162" s="50" t="str">
        <f>IFERROR(IF(OR(J162="",C162=""),"",VLOOKUP(J162,'CUBAGEM PRODUTOS'!A:I,9,0)*C162),"ERRO")</f>
        <v/>
      </c>
      <c r="E162" s="97" t="str">
        <f>IFERROR(IF(OR(J162="",C162=""),"",VLOOKUP(J162,'CUBAGEM PRODUTOS'!A:H,2,0)),"ERRO")</f>
        <v/>
      </c>
      <c r="F162" s="97"/>
      <c r="G162" s="97"/>
      <c r="H162" s="50" t="str">
        <f>IFERROR(IF(OR(J162="",C162=""),"",VLOOKUP(J162,'CUBAGEM PRODUTOS'!$A:$H,4,0)*C162),"ERRO")</f>
        <v/>
      </c>
      <c r="I162" s="43"/>
      <c r="J162" s="35" t="str">
        <f t="shared" si="2"/>
        <v/>
      </c>
      <c r="K162" s="43"/>
      <c r="L162" s="43"/>
      <c r="M162" s="36"/>
    </row>
    <row r="163" spans="1:13" x14ac:dyDescent="0.25">
      <c r="A163" s="32"/>
      <c r="B163" s="53"/>
      <c r="C163" s="51"/>
      <c r="D163" s="47" t="str">
        <f>IFERROR(IF(OR(J163="",C163=""),"",VLOOKUP(J163,'CUBAGEM PRODUTOS'!A:I,9,0)*C163),"ERRO")</f>
        <v/>
      </c>
      <c r="E163" s="105" t="str">
        <f>IFERROR(IF(OR(J163="",C163=""),"",VLOOKUP(J163,'CUBAGEM PRODUTOS'!A:H,2,0)),"ERRO")</f>
        <v/>
      </c>
      <c r="F163" s="105"/>
      <c r="G163" s="105"/>
      <c r="H163" s="72" t="str">
        <f>IFERROR(IF(OR(J163="",C163=""),"",VLOOKUP(J163,'CUBAGEM PRODUTOS'!$A:$H,4,0)*C163),"ERRO")</f>
        <v/>
      </c>
      <c r="I163" s="43"/>
      <c r="J163" s="35" t="str">
        <f t="shared" si="2"/>
        <v/>
      </c>
      <c r="K163" s="43"/>
      <c r="L163" s="43"/>
      <c r="M163" s="36"/>
    </row>
    <row r="164" spans="1:13" x14ac:dyDescent="0.25">
      <c r="A164" s="32"/>
      <c r="B164" s="48"/>
      <c r="C164" s="49"/>
      <c r="D164" s="50" t="str">
        <f>IFERROR(IF(OR(J164="",C164=""),"",VLOOKUP(J164,'CUBAGEM PRODUTOS'!A:I,9,0)*C164),"ERRO")</f>
        <v/>
      </c>
      <c r="E164" s="97" t="str">
        <f>IFERROR(IF(OR(J164="",C164=""),"",VLOOKUP(J164,'CUBAGEM PRODUTOS'!A:H,2,0)),"ERRO")</f>
        <v/>
      </c>
      <c r="F164" s="97"/>
      <c r="G164" s="97"/>
      <c r="H164" s="50" t="str">
        <f>IFERROR(IF(OR(J164="",C164=""),"",VLOOKUP(J164,'CUBAGEM PRODUTOS'!$A:$H,4,0)*C164),"ERRO")</f>
        <v/>
      </c>
      <c r="I164" s="43"/>
      <c r="J164" s="35" t="str">
        <f t="shared" si="2"/>
        <v/>
      </c>
      <c r="K164" s="43"/>
      <c r="L164" s="43"/>
      <c r="M164" s="36"/>
    </row>
    <row r="165" spans="1:13" x14ac:dyDescent="0.25">
      <c r="A165" s="32"/>
      <c r="B165" s="53"/>
      <c r="C165" s="51"/>
      <c r="D165" s="47" t="str">
        <f>IFERROR(IF(OR(J165="",C165=""),"",VLOOKUP(J165,'CUBAGEM PRODUTOS'!A:I,9,0)*C165),"ERRO")</f>
        <v/>
      </c>
      <c r="E165" s="105" t="str">
        <f>IFERROR(IF(OR(J165="",C165=""),"",VLOOKUP(J165,'CUBAGEM PRODUTOS'!A:H,2,0)),"ERRO")</f>
        <v/>
      </c>
      <c r="F165" s="105"/>
      <c r="G165" s="105"/>
      <c r="H165" s="72" t="str">
        <f>IFERROR(IF(OR(J165="",C165=""),"",VLOOKUP(J165,'CUBAGEM PRODUTOS'!$A:$H,4,0)*C165),"ERRO")</f>
        <v/>
      </c>
      <c r="I165" s="43"/>
      <c r="J165" s="35" t="str">
        <f t="shared" si="2"/>
        <v/>
      </c>
      <c r="K165" s="43"/>
      <c r="L165" s="43"/>
      <c r="M165" s="36"/>
    </row>
    <row r="166" spans="1:13" x14ac:dyDescent="0.25">
      <c r="A166" s="32"/>
      <c r="B166" s="48"/>
      <c r="C166" s="49"/>
      <c r="D166" s="50" t="str">
        <f>IFERROR(IF(OR(J166="",C166=""),"",VLOOKUP(J166,'CUBAGEM PRODUTOS'!A:I,9,0)*C166),"ERRO")</f>
        <v/>
      </c>
      <c r="E166" s="97" t="str">
        <f>IFERROR(IF(OR(J166="",C166=""),"",VLOOKUP(J166,'CUBAGEM PRODUTOS'!A:H,2,0)),"ERRO")</f>
        <v/>
      </c>
      <c r="F166" s="97"/>
      <c r="G166" s="97"/>
      <c r="H166" s="50" t="str">
        <f>IFERROR(IF(OR(J166="",C166=""),"",VLOOKUP(J166,'CUBAGEM PRODUTOS'!$A:$H,4,0)*C166),"ERRO")</f>
        <v/>
      </c>
      <c r="I166" s="43"/>
      <c r="J166" s="35" t="str">
        <f t="shared" si="2"/>
        <v/>
      </c>
      <c r="K166" s="43"/>
      <c r="L166" s="43"/>
      <c r="M166" s="36"/>
    </row>
    <row r="167" spans="1:13" x14ac:dyDescent="0.25">
      <c r="A167" s="32"/>
      <c r="B167" s="53"/>
      <c r="C167" s="51"/>
      <c r="D167" s="47" t="str">
        <f>IFERROR(IF(OR(J167="",C167=""),"",VLOOKUP(J167,'CUBAGEM PRODUTOS'!A:I,9,0)*C167),"ERRO")</f>
        <v/>
      </c>
      <c r="E167" s="105" t="str">
        <f>IFERROR(IF(OR(J167="",C167=""),"",VLOOKUP(J167,'CUBAGEM PRODUTOS'!A:H,2,0)),"ERRO")</f>
        <v/>
      </c>
      <c r="F167" s="105"/>
      <c r="G167" s="105"/>
      <c r="H167" s="72" t="str">
        <f>IFERROR(IF(OR(J167="",C167=""),"",VLOOKUP(J167,'CUBAGEM PRODUTOS'!$A:$H,4,0)*C167),"ERRO")</f>
        <v/>
      </c>
      <c r="I167" s="43"/>
      <c r="J167" s="35" t="str">
        <f t="shared" si="2"/>
        <v/>
      </c>
      <c r="K167" s="43"/>
      <c r="L167" s="43"/>
      <c r="M167" s="36"/>
    </row>
    <row r="168" spans="1:13" x14ac:dyDescent="0.25">
      <c r="A168" s="32"/>
      <c r="B168" s="48"/>
      <c r="C168" s="49"/>
      <c r="D168" s="50" t="str">
        <f>IFERROR(IF(OR(J168="",C168=""),"",VLOOKUP(J168,'CUBAGEM PRODUTOS'!A:I,9,0)*C168),"ERRO")</f>
        <v/>
      </c>
      <c r="E168" s="97" t="str">
        <f>IFERROR(IF(OR(J168="",C168=""),"",VLOOKUP(J168,'CUBAGEM PRODUTOS'!A:H,2,0)),"ERRO")</f>
        <v/>
      </c>
      <c r="F168" s="97"/>
      <c r="G168" s="97"/>
      <c r="H168" s="50" t="str">
        <f>IFERROR(IF(OR(J168="",C168=""),"",VLOOKUP(J168,'CUBAGEM PRODUTOS'!$A:$H,4,0)*C168),"ERRO")</f>
        <v/>
      </c>
      <c r="I168" s="43"/>
      <c r="J168" s="35" t="str">
        <f t="shared" si="2"/>
        <v/>
      </c>
      <c r="K168" s="43"/>
      <c r="L168" s="43"/>
      <c r="M168" s="36"/>
    </row>
    <row r="169" spans="1:13" x14ac:dyDescent="0.25">
      <c r="A169" s="32"/>
      <c r="B169" s="53"/>
      <c r="C169" s="51"/>
      <c r="D169" s="47" t="str">
        <f>IFERROR(IF(OR(J169="",C169=""),"",VLOOKUP(J169,'CUBAGEM PRODUTOS'!A:I,9,0)*C169),"ERRO")</f>
        <v/>
      </c>
      <c r="E169" s="105" t="str">
        <f>IFERROR(IF(OR(J169="",C169=""),"",VLOOKUP(J169,'CUBAGEM PRODUTOS'!A:H,2,0)),"ERRO")</f>
        <v/>
      </c>
      <c r="F169" s="105"/>
      <c r="G169" s="105"/>
      <c r="H169" s="72" t="str">
        <f>IFERROR(IF(OR(J169="",C169=""),"",VLOOKUP(J169,'CUBAGEM PRODUTOS'!$A:$H,4,0)*C169),"ERRO")</f>
        <v/>
      </c>
      <c r="I169" s="43"/>
      <c r="J169" s="35" t="str">
        <f t="shared" si="2"/>
        <v/>
      </c>
      <c r="K169" s="43"/>
      <c r="L169" s="43"/>
      <c r="M169" s="36"/>
    </row>
    <row r="170" spans="1:13" x14ac:dyDescent="0.25">
      <c r="A170" s="32"/>
      <c r="B170" s="48"/>
      <c r="C170" s="49"/>
      <c r="D170" s="50" t="str">
        <f>IFERROR(IF(OR(J170="",C170=""),"",VLOOKUP(J170,'CUBAGEM PRODUTOS'!A:I,9,0)*C170),"ERRO")</f>
        <v/>
      </c>
      <c r="E170" s="97" t="str">
        <f>IFERROR(IF(OR(J170="",C170=""),"",VLOOKUP(J170,'CUBAGEM PRODUTOS'!A:H,2,0)),"ERRO")</f>
        <v/>
      </c>
      <c r="F170" s="97"/>
      <c r="G170" s="97"/>
      <c r="H170" s="50" t="str">
        <f>IFERROR(IF(OR(J170="",C170=""),"",VLOOKUP(J170,'CUBAGEM PRODUTOS'!$A:$H,4,0)*C170),"ERRO")</f>
        <v/>
      </c>
      <c r="I170" s="43"/>
      <c r="J170" s="35" t="str">
        <f t="shared" si="2"/>
        <v/>
      </c>
      <c r="K170" s="43"/>
      <c r="L170" s="43"/>
      <c r="M170" s="36"/>
    </row>
    <row r="171" spans="1:13" x14ac:dyDescent="0.25">
      <c r="A171" s="32"/>
      <c r="B171" s="53"/>
      <c r="C171" s="51"/>
      <c r="D171" s="47" t="str">
        <f>IFERROR(IF(OR(J171="",C171=""),"",VLOOKUP(J171,'CUBAGEM PRODUTOS'!A:I,9,0)*C171),"ERRO")</f>
        <v/>
      </c>
      <c r="E171" s="105" t="str">
        <f>IFERROR(IF(OR(J171="",C171=""),"",VLOOKUP(J171,'CUBAGEM PRODUTOS'!A:H,2,0)),"ERRO")</f>
        <v/>
      </c>
      <c r="F171" s="105"/>
      <c r="G171" s="105"/>
      <c r="H171" s="72" t="str">
        <f>IFERROR(IF(OR(J171="",C171=""),"",VLOOKUP(J171,'CUBAGEM PRODUTOS'!$A:$H,4,0)*C171),"ERRO")</f>
        <v/>
      </c>
      <c r="I171" s="43"/>
      <c r="J171" s="35" t="str">
        <f t="shared" si="2"/>
        <v/>
      </c>
      <c r="K171" s="43"/>
      <c r="L171" s="43"/>
      <c r="M171" s="36"/>
    </row>
    <row r="172" spans="1:13" x14ac:dyDescent="0.25">
      <c r="A172" s="32"/>
      <c r="B172" s="48"/>
      <c r="C172" s="49"/>
      <c r="D172" s="50" t="str">
        <f>IFERROR(IF(OR(J172="",C172=""),"",VLOOKUP(J172,'CUBAGEM PRODUTOS'!A:I,9,0)*C172),"ERRO")</f>
        <v/>
      </c>
      <c r="E172" s="97" t="str">
        <f>IFERROR(IF(OR(J172="",C172=""),"",VLOOKUP(J172,'CUBAGEM PRODUTOS'!A:H,2,0)),"ERRO")</f>
        <v/>
      </c>
      <c r="F172" s="97"/>
      <c r="G172" s="97"/>
      <c r="H172" s="50" t="str">
        <f>IFERROR(IF(OR(J172="",C172=""),"",VLOOKUP(J172,'CUBAGEM PRODUTOS'!$A:$H,4,0)*C172),"ERRO")</f>
        <v/>
      </c>
      <c r="I172" s="43"/>
      <c r="J172" s="35" t="str">
        <f t="shared" si="2"/>
        <v/>
      </c>
      <c r="K172" s="43"/>
      <c r="L172" s="43"/>
      <c r="M172" s="36"/>
    </row>
    <row r="173" spans="1:13" x14ac:dyDescent="0.25">
      <c r="A173" s="32"/>
      <c r="B173" s="53"/>
      <c r="C173" s="51"/>
      <c r="D173" s="47" t="str">
        <f>IFERROR(IF(OR(J173="",C173=""),"",VLOOKUP(J173,'CUBAGEM PRODUTOS'!A:I,9,0)*C173),"ERRO")</f>
        <v/>
      </c>
      <c r="E173" s="105" t="str">
        <f>IFERROR(IF(OR(J173="",C173=""),"",VLOOKUP(J173,'CUBAGEM PRODUTOS'!A:H,2,0)),"ERRO")</f>
        <v/>
      </c>
      <c r="F173" s="105"/>
      <c r="G173" s="105"/>
      <c r="H173" s="72" t="str">
        <f>IFERROR(IF(OR(J173="",C173=""),"",VLOOKUP(J173,'CUBAGEM PRODUTOS'!$A:$H,4,0)*C173),"ERRO")</f>
        <v/>
      </c>
      <c r="I173" s="43"/>
      <c r="J173" s="35" t="str">
        <f t="shared" si="2"/>
        <v/>
      </c>
      <c r="K173" s="43"/>
      <c r="L173" s="43"/>
      <c r="M173" s="36"/>
    </row>
    <row r="174" spans="1:13" x14ac:dyDescent="0.25">
      <c r="A174" s="32"/>
      <c r="B174" s="48"/>
      <c r="C174" s="49"/>
      <c r="D174" s="50" t="str">
        <f>IFERROR(IF(OR(J174="",C174=""),"",VLOOKUP(J174,'CUBAGEM PRODUTOS'!A:I,9,0)*C174),"ERRO")</f>
        <v/>
      </c>
      <c r="E174" s="97" t="str">
        <f>IFERROR(IF(OR(J174="",C174=""),"",VLOOKUP(J174,'CUBAGEM PRODUTOS'!A:H,2,0)),"ERRO")</f>
        <v/>
      </c>
      <c r="F174" s="97"/>
      <c r="G174" s="97"/>
      <c r="H174" s="50" t="str">
        <f>IFERROR(IF(OR(J174="",C174=""),"",VLOOKUP(J174,'CUBAGEM PRODUTOS'!$A:$H,4,0)*C174),"ERRO")</f>
        <v/>
      </c>
      <c r="I174" s="43"/>
      <c r="J174" s="35" t="str">
        <f t="shared" si="2"/>
        <v/>
      </c>
      <c r="K174" s="43"/>
      <c r="L174" s="43"/>
      <c r="M174" s="36"/>
    </row>
    <row r="175" spans="1:13" x14ac:dyDescent="0.25">
      <c r="A175" s="32"/>
      <c r="B175" s="53"/>
      <c r="C175" s="51"/>
      <c r="D175" s="47" t="str">
        <f>IFERROR(IF(OR(J175="",C175=""),"",VLOOKUP(J175,'CUBAGEM PRODUTOS'!A:I,9,0)*C175),"ERRO")</f>
        <v/>
      </c>
      <c r="E175" s="105" t="str">
        <f>IFERROR(IF(OR(J175="",C175=""),"",VLOOKUP(J175,'CUBAGEM PRODUTOS'!A:H,2,0)),"ERRO")</f>
        <v/>
      </c>
      <c r="F175" s="105"/>
      <c r="G175" s="105"/>
      <c r="H175" s="72" t="str">
        <f>IFERROR(IF(OR(J175="",C175=""),"",VLOOKUP(J175,'CUBAGEM PRODUTOS'!$A:$H,4,0)*C175),"ERRO")</f>
        <v/>
      </c>
      <c r="I175" s="43"/>
      <c r="J175" s="35" t="str">
        <f t="shared" si="2"/>
        <v/>
      </c>
      <c r="K175" s="43"/>
      <c r="L175" s="43"/>
      <c r="M175" s="36"/>
    </row>
    <row r="176" spans="1:13" x14ac:dyDescent="0.25">
      <c r="A176" s="32"/>
      <c r="B176" s="48"/>
      <c r="C176" s="49"/>
      <c r="D176" s="50" t="str">
        <f>IFERROR(IF(OR(J176="",C176=""),"",VLOOKUP(J176,'CUBAGEM PRODUTOS'!A:I,9,0)*C176),"ERRO")</f>
        <v/>
      </c>
      <c r="E176" s="97" t="str">
        <f>IFERROR(IF(OR(J176="",C176=""),"",VLOOKUP(J176,'CUBAGEM PRODUTOS'!A:H,2,0)),"ERRO")</f>
        <v/>
      </c>
      <c r="F176" s="97"/>
      <c r="G176" s="97"/>
      <c r="H176" s="50" t="str">
        <f>IFERROR(IF(OR(J176="",C176=""),"",VLOOKUP(J176,'CUBAGEM PRODUTOS'!$A:$H,4,0)*C176),"ERRO")</f>
        <v/>
      </c>
      <c r="I176" s="43"/>
      <c r="J176" s="35" t="str">
        <f t="shared" si="2"/>
        <v/>
      </c>
      <c r="K176" s="43"/>
      <c r="L176" s="43"/>
      <c r="M176" s="36"/>
    </row>
    <row r="177" spans="1:13" x14ac:dyDescent="0.25">
      <c r="A177" s="32"/>
      <c r="B177" s="53"/>
      <c r="C177" s="51"/>
      <c r="D177" s="47" t="str">
        <f>IFERROR(IF(OR(J177="",C177=""),"",VLOOKUP(J177,'CUBAGEM PRODUTOS'!A:I,9,0)*C177),"ERRO")</f>
        <v/>
      </c>
      <c r="E177" s="105" t="str">
        <f>IFERROR(IF(OR(J177="",C177=""),"",VLOOKUP(J177,'CUBAGEM PRODUTOS'!A:H,2,0)),"ERRO")</f>
        <v/>
      </c>
      <c r="F177" s="105"/>
      <c r="G177" s="105"/>
      <c r="H177" s="72" t="str">
        <f>IFERROR(IF(OR(J177="",C177=""),"",VLOOKUP(J177,'CUBAGEM PRODUTOS'!$A:$H,4,0)*C177),"ERRO")</f>
        <v/>
      </c>
      <c r="I177" s="43"/>
      <c r="J177" s="35" t="str">
        <f t="shared" si="2"/>
        <v/>
      </c>
      <c r="K177" s="43"/>
      <c r="L177" s="43"/>
      <c r="M177" s="36"/>
    </row>
    <row r="178" spans="1:13" x14ac:dyDescent="0.25">
      <c r="A178" s="32"/>
      <c r="B178" s="48"/>
      <c r="C178" s="49"/>
      <c r="D178" s="50" t="str">
        <f>IFERROR(IF(OR(J178="",C178=""),"",VLOOKUP(J178,'CUBAGEM PRODUTOS'!A:I,9,0)*C178),"ERRO")</f>
        <v/>
      </c>
      <c r="E178" s="97" t="str">
        <f>IFERROR(IF(OR(J178="",C178=""),"",VLOOKUP(J178,'CUBAGEM PRODUTOS'!A:H,2,0)),"ERRO")</f>
        <v/>
      </c>
      <c r="F178" s="97"/>
      <c r="G178" s="97"/>
      <c r="H178" s="50" t="str">
        <f>IFERROR(IF(OR(J178="",C178=""),"",VLOOKUP(J178,'CUBAGEM PRODUTOS'!$A:$H,4,0)*C178),"ERRO")</f>
        <v/>
      </c>
      <c r="I178" s="43"/>
      <c r="J178" s="35" t="str">
        <f t="shared" si="2"/>
        <v/>
      </c>
      <c r="K178" s="43"/>
      <c r="L178" s="43"/>
      <c r="M178" s="36"/>
    </row>
    <row r="179" spans="1:13" x14ac:dyDescent="0.25">
      <c r="A179" s="32"/>
      <c r="B179" s="53"/>
      <c r="C179" s="51"/>
      <c r="D179" s="47" t="str">
        <f>IFERROR(IF(OR(J179="",C179=""),"",VLOOKUP(J179,'CUBAGEM PRODUTOS'!A:I,9,0)*C179),"ERRO")</f>
        <v/>
      </c>
      <c r="E179" s="105" t="str">
        <f>IFERROR(IF(OR(J179="",C179=""),"",VLOOKUP(J179,'CUBAGEM PRODUTOS'!A:H,2,0)),"ERRO")</f>
        <v/>
      </c>
      <c r="F179" s="105"/>
      <c r="G179" s="105"/>
      <c r="H179" s="72" t="str">
        <f>IFERROR(IF(OR(J179="",C179=""),"",VLOOKUP(J179,'CUBAGEM PRODUTOS'!$A:$H,4,0)*C179),"ERRO")</f>
        <v/>
      </c>
      <c r="I179" s="43"/>
      <c r="J179" s="35" t="str">
        <f t="shared" si="2"/>
        <v/>
      </c>
      <c r="K179" s="43"/>
      <c r="L179" s="43"/>
      <c r="M179" s="36"/>
    </row>
    <row r="180" spans="1:13" x14ac:dyDescent="0.25">
      <c r="A180" s="32"/>
      <c r="B180" s="48"/>
      <c r="C180" s="49"/>
      <c r="D180" s="50" t="str">
        <f>IFERROR(IF(OR(J180="",C180=""),"",VLOOKUP(J180,'CUBAGEM PRODUTOS'!A:I,9,0)*C180),"ERRO")</f>
        <v/>
      </c>
      <c r="E180" s="97" t="str">
        <f>IFERROR(IF(OR(J180="",C180=""),"",VLOOKUP(J180,'CUBAGEM PRODUTOS'!A:H,2,0)),"ERRO")</f>
        <v/>
      </c>
      <c r="F180" s="97"/>
      <c r="G180" s="97"/>
      <c r="H180" s="50" t="str">
        <f>IFERROR(IF(OR(J180="",C180=""),"",VLOOKUP(J180,'CUBAGEM PRODUTOS'!$A:$H,4,0)*C180),"ERRO")</f>
        <v/>
      </c>
      <c r="I180" s="43"/>
      <c r="J180" s="35" t="str">
        <f t="shared" si="2"/>
        <v/>
      </c>
      <c r="K180" s="43"/>
      <c r="L180" s="43"/>
      <c r="M180" s="36"/>
    </row>
    <row r="181" spans="1:13" x14ac:dyDescent="0.25">
      <c r="A181" s="32"/>
      <c r="B181" s="53"/>
      <c r="C181" s="51"/>
      <c r="D181" s="47" t="str">
        <f>IFERROR(IF(OR(J181="",C181=""),"",VLOOKUP(J181,'CUBAGEM PRODUTOS'!A:I,9,0)*C181),"ERRO")</f>
        <v/>
      </c>
      <c r="E181" s="105" t="str">
        <f>IFERROR(IF(OR(J181="",C181=""),"",VLOOKUP(J181,'CUBAGEM PRODUTOS'!A:H,2,0)),"ERRO")</f>
        <v/>
      </c>
      <c r="F181" s="105"/>
      <c r="G181" s="105"/>
      <c r="H181" s="72" t="str">
        <f>IFERROR(IF(OR(J181="",C181=""),"",VLOOKUP(J181,'CUBAGEM PRODUTOS'!$A:$H,4,0)*C181),"ERRO")</f>
        <v/>
      </c>
      <c r="I181" s="43"/>
      <c r="J181" s="35" t="str">
        <f t="shared" si="2"/>
        <v/>
      </c>
      <c r="K181" s="43"/>
      <c r="L181" s="43"/>
      <c r="M181" s="36"/>
    </row>
    <row r="182" spans="1:13" x14ac:dyDescent="0.25">
      <c r="A182" s="32"/>
      <c r="B182" s="48"/>
      <c r="C182" s="49"/>
      <c r="D182" s="50" t="str">
        <f>IFERROR(IF(OR(J182="",C182=""),"",VLOOKUP(J182,'CUBAGEM PRODUTOS'!A:I,9,0)*C182),"ERRO")</f>
        <v/>
      </c>
      <c r="E182" s="97" t="str">
        <f>IFERROR(IF(OR(J182="",C182=""),"",VLOOKUP(J182,'CUBAGEM PRODUTOS'!A:H,2,0)),"ERRO")</f>
        <v/>
      </c>
      <c r="F182" s="97"/>
      <c r="G182" s="97"/>
      <c r="H182" s="50" t="str">
        <f>IFERROR(IF(OR(J182="",C182=""),"",VLOOKUP(J182,'CUBAGEM PRODUTOS'!$A:$H,4,0)*C182),"ERRO")</f>
        <v/>
      </c>
      <c r="I182" s="43"/>
      <c r="J182" s="35" t="str">
        <f t="shared" si="2"/>
        <v/>
      </c>
      <c r="K182" s="43"/>
      <c r="L182" s="43"/>
      <c r="M182" s="36"/>
    </row>
    <row r="183" spans="1:13" x14ac:dyDescent="0.25">
      <c r="A183" s="32"/>
      <c r="B183" s="53"/>
      <c r="C183" s="51"/>
      <c r="D183" s="47" t="str">
        <f>IFERROR(IF(OR(J183="",C183=""),"",VLOOKUP(J183,'CUBAGEM PRODUTOS'!A:I,9,0)*C183),"ERRO")</f>
        <v/>
      </c>
      <c r="E183" s="105" t="str">
        <f>IFERROR(IF(OR(J183="",C183=""),"",VLOOKUP(J183,'CUBAGEM PRODUTOS'!A:H,2,0)),"ERRO")</f>
        <v/>
      </c>
      <c r="F183" s="105"/>
      <c r="G183" s="105"/>
      <c r="H183" s="72" t="str">
        <f>IFERROR(IF(OR(J183="",C183=""),"",VLOOKUP(J183,'CUBAGEM PRODUTOS'!$A:$H,4,0)*C183),"ERRO")</f>
        <v/>
      </c>
      <c r="I183" s="43"/>
      <c r="J183" s="35" t="str">
        <f t="shared" si="2"/>
        <v/>
      </c>
      <c r="K183" s="43"/>
      <c r="L183" s="43"/>
      <c r="M183" s="36"/>
    </row>
    <row r="184" spans="1:13" x14ac:dyDescent="0.25">
      <c r="A184" s="32"/>
      <c r="B184" s="48"/>
      <c r="C184" s="49"/>
      <c r="D184" s="50" t="str">
        <f>IFERROR(IF(OR(J184="",C184=""),"",VLOOKUP(J184,'CUBAGEM PRODUTOS'!A:I,9,0)*C184),"ERRO")</f>
        <v/>
      </c>
      <c r="E184" s="97" t="str">
        <f>IFERROR(IF(OR(J184="",C184=""),"",VLOOKUP(J184,'CUBAGEM PRODUTOS'!A:H,2,0)),"ERRO")</f>
        <v/>
      </c>
      <c r="F184" s="97"/>
      <c r="G184" s="97"/>
      <c r="H184" s="50" t="str">
        <f>IFERROR(IF(OR(J184="",C184=""),"",VLOOKUP(J184,'CUBAGEM PRODUTOS'!$A:$H,4,0)*C184),"ERRO")</f>
        <v/>
      </c>
      <c r="I184" s="43"/>
      <c r="J184" s="35" t="str">
        <f t="shared" si="2"/>
        <v/>
      </c>
      <c r="K184" s="43"/>
      <c r="L184" s="43"/>
      <c r="M184" s="36"/>
    </row>
    <row r="185" spans="1:13" x14ac:dyDescent="0.25">
      <c r="A185" s="32"/>
      <c r="B185" s="53"/>
      <c r="C185" s="51"/>
      <c r="D185" s="47" t="str">
        <f>IFERROR(IF(OR(J185="",C185=""),"",VLOOKUP(J185,'CUBAGEM PRODUTOS'!A:I,9,0)*C185),"ERRO")</f>
        <v/>
      </c>
      <c r="E185" s="105" t="str">
        <f>IFERROR(IF(OR(J185="",C185=""),"",VLOOKUP(J185,'CUBAGEM PRODUTOS'!A:H,2,0)),"ERRO")</f>
        <v/>
      </c>
      <c r="F185" s="105"/>
      <c r="G185" s="105"/>
      <c r="H185" s="72" t="str">
        <f>IFERROR(IF(OR(J185="",C185=""),"",VLOOKUP(J185,'CUBAGEM PRODUTOS'!$A:$H,4,0)*C185),"ERRO")</f>
        <v/>
      </c>
      <c r="I185" s="43"/>
      <c r="J185" s="35" t="str">
        <f t="shared" si="2"/>
        <v/>
      </c>
      <c r="K185" s="43"/>
      <c r="L185" s="43"/>
      <c r="M185" s="36"/>
    </row>
    <row r="186" spans="1:13" x14ac:dyDescent="0.25">
      <c r="A186" s="32"/>
      <c r="B186" s="48"/>
      <c r="C186" s="49"/>
      <c r="D186" s="50" t="str">
        <f>IFERROR(IF(OR(J186="",C186=""),"",VLOOKUP(J186,'CUBAGEM PRODUTOS'!A:I,9,0)*C186),"ERRO")</f>
        <v/>
      </c>
      <c r="E186" s="97" t="str">
        <f>IFERROR(IF(OR(J186="",C186=""),"",VLOOKUP(J186,'CUBAGEM PRODUTOS'!A:H,2,0)),"ERRO")</f>
        <v/>
      </c>
      <c r="F186" s="97"/>
      <c r="G186" s="97"/>
      <c r="H186" s="50" t="str">
        <f>IFERROR(IF(OR(J186="",C186=""),"",VLOOKUP(J186,'CUBAGEM PRODUTOS'!$A:$H,4,0)*C186),"ERRO")</f>
        <v/>
      </c>
      <c r="I186" s="43"/>
      <c r="J186" s="35" t="str">
        <f t="shared" si="2"/>
        <v/>
      </c>
      <c r="K186" s="43"/>
      <c r="L186" s="43"/>
      <c r="M186" s="36"/>
    </row>
    <row r="187" spans="1:13" x14ac:dyDescent="0.25">
      <c r="A187" s="32"/>
      <c r="B187" s="53"/>
      <c r="C187" s="51"/>
      <c r="D187" s="47" t="str">
        <f>IFERROR(IF(OR(J187="",C187=""),"",VLOOKUP(J187,'CUBAGEM PRODUTOS'!A:I,9,0)*C187),"ERRO")</f>
        <v/>
      </c>
      <c r="E187" s="105" t="str">
        <f>IFERROR(IF(OR(J187="",C187=""),"",VLOOKUP(J187,'CUBAGEM PRODUTOS'!A:H,2,0)),"ERRO")</f>
        <v/>
      </c>
      <c r="F187" s="105"/>
      <c r="G187" s="105"/>
      <c r="H187" s="72" t="str">
        <f>IFERROR(IF(OR(J187="",C187=""),"",VLOOKUP(J187,'CUBAGEM PRODUTOS'!$A:$H,4,0)*C187),"ERRO")</f>
        <v/>
      </c>
      <c r="I187" s="43"/>
      <c r="J187" s="35" t="str">
        <f t="shared" si="2"/>
        <v/>
      </c>
      <c r="K187" s="43"/>
      <c r="L187" s="43"/>
      <c r="M187" s="36"/>
    </row>
    <row r="188" spans="1:13" x14ac:dyDescent="0.25">
      <c r="A188" s="32"/>
      <c r="B188" s="48"/>
      <c r="C188" s="49"/>
      <c r="D188" s="50" t="str">
        <f>IFERROR(IF(OR(J188="",C188=""),"",VLOOKUP(J188,'CUBAGEM PRODUTOS'!A:I,9,0)*C188),"ERRO")</f>
        <v/>
      </c>
      <c r="E188" s="97" t="str">
        <f>IFERROR(IF(OR(J188="",C188=""),"",VLOOKUP(J188,'CUBAGEM PRODUTOS'!A:H,2,0)),"ERRO")</f>
        <v/>
      </c>
      <c r="F188" s="97"/>
      <c r="G188" s="97"/>
      <c r="H188" s="50" t="str">
        <f>IFERROR(IF(OR(J188="",C188=""),"",VLOOKUP(J188,'CUBAGEM PRODUTOS'!$A:$H,4,0)*C188),"ERRO")</f>
        <v/>
      </c>
      <c r="I188" s="43"/>
      <c r="J188" s="35" t="str">
        <f t="shared" si="2"/>
        <v/>
      </c>
      <c r="K188" s="43"/>
      <c r="L188" s="43"/>
      <c r="M188" s="36"/>
    </row>
    <row r="189" spans="1:13" x14ac:dyDescent="0.25">
      <c r="A189" s="32"/>
      <c r="B189" s="53"/>
      <c r="C189" s="51"/>
      <c r="D189" s="47" t="str">
        <f>IFERROR(IF(OR(J189="",C189=""),"",VLOOKUP(J189,'CUBAGEM PRODUTOS'!A:I,9,0)*C189),"ERRO")</f>
        <v/>
      </c>
      <c r="E189" s="105" t="str">
        <f>IFERROR(IF(OR(J189="",C189=""),"",VLOOKUP(J189,'CUBAGEM PRODUTOS'!A:H,2,0)),"ERRO")</f>
        <v/>
      </c>
      <c r="F189" s="105"/>
      <c r="G189" s="105"/>
      <c r="H189" s="72" t="str">
        <f>IFERROR(IF(OR(J189="",C189=""),"",VLOOKUP(J189,'CUBAGEM PRODUTOS'!$A:$H,4,0)*C189),"ERRO")</f>
        <v/>
      </c>
      <c r="I189" s="43"/>
      <c r="J189" s="35" t="str">
        <f t="shared" si="2"/>
        <v/>
      </c>
      <c r="K189" s="43"/>
      <c r="L189" s="43"/>
      <c r="M189" s="36"/>
    </row>
    <row r="190" spans="1:13" x14ac:dyDescent="0.25">
      <c r="A190" s="32"/>
      <c r="B190" s="48"/>
      <c r="C190" s="49"/>
      <c r="D190" s="50" t="str">
        <f>IFERROR(IF(OR(J190="",C190=""),"",VLOOKUP(J190,'CUBAGEM PRODUTOS'!A:I,9,0)*C190),"ERRO")</f>
        <v/>
      </c>
      <c r="E190" s="97" t="str">
        <f>IFERROR(IF(OR(J190="",C190=""),"",VLOOKUP(J190,'CUBAGEM PRODUTOS'!A:H,2,0)),"ERRO")</f>
        <v/>
      </c>
      <c r="F190" s="97"/>
      <c r="G190" s="97"/>
      <c r="H190" s="50" t="str">
        <f>IFERROR(IF(OR(J190="",C190=""),"",VLOOKUP(J190,'CUBAGEM PRODUTOS'!$A:$H,4,0)*C190),"ERRO")</f>
        <v/>
      </c>
      <c r="I190" s="43"/>
      <c r="J190" s="35" t="str">
        <f t="shared" si="2"/>
        <v/>
      </c>
      <c r="K190" s="43"/>
      <c r="L190" s="43"/>
      <c r="M190" s="36"/>
    </row>
    <row r="191" spans="1:13" x14ac:dyDescent="0.25">
      <c r="A191" s="32"/>
      <c r="B191" s="53"/>
      <c r="C191" s="51"/>
      <c r="D191" s="47" t="str">
        <f>IFERROR(IF(OR(J191="",C191=""),"",VLOOKUP(J191,'CUBAGEM PRODUTOS'!A:I,9,0)*C191),"ERRO")</f>
        <v/>
      </c>
      <c r="E191" s="105" t="str">
        <f>IFERROR(IF(OR(J191="",C191=""),"",VLOOKUP(J191,'CUBAGEM PRODUTOS'!A:H,2,0)),"ERRO")</f>
        <v/>
      </c>
      <c r="F191" s="105"/>
      <c r="G191" s="105"/>
      <c r="H191" s="72" t="str">
        <f>IFERROR(IF(OR(J191="",C191=""),"",VLOOKUP(J191,'CUBAGEM PRODUTOS'!$A:$H,4,0)*C191),"ERRO")</f>
        <v/>
      </c>
      <c r="I191" s="43"/>
      <c r="J191" s="35" t="str">
        <f t="shared" si="2"/>
        <v/>
      </c>
      <c r="K191" s="43"/>
      <c r="L191" s="43"/>
      <c r="M191" s="36"/>
    </row>
    <row r="192" spans="1:13" x14ac:dyDescent="0.25">
      <c r="A192" s="32"/>
      <c r="B192" s="48"/>
      <c r="C192" s="49"/>
      <c r="D192" s="50" t="str">
        <f>IFERROR(IF(OR(J192="",C192=""),"",VLOOKUP(J192,'CUBAGEM PRODUTOS'!A:I,9,0)*C192),"ERRO")</f>
        <v/>
      </c>
      <c r="E192" s="97" t="str">
        <f>IFERROR(IF(OR(J192="",C192=""),"",VLOOKUP(J192,'CUBAGEM PRODUTOS'!A:H,2,0)),"ERRO")</f>
        <v/>
      </c>
      <c r="F192" s="97"/>
      <c r="G192" s="97"/>
      <c r="H192" s="50" t="str">
        <f>IFERROR(IF(OR(J192="",C192=""),"",VLOOKUP(J192,'CUBAGEM PRODUTOS'!$A:$H,4,0)*C192),"ERRO")</f>
        <v/>
      </c>
      <c r="I192" s="43"/>
      <c r="J192" s="35" t="str">
        <f t="shared" si="2"/>
        <v/>
      </c>
      <c r="K192" s="43"/>
      <c r="L192" s="43"/>
      <c r="M192" s="36"/>
    </row>
    <row r="193" spans="1:13" x14ac:dyDescent="0.25">
      <c r="A193" s="32"/>
      <c r="B193" s="53"/>
      <c r="C193" s="51"/>
      <c r="D193" s="47" t="str">
        <f>IFERROR(IF(OR(J193="",C193=""),"",VLOOKUP(J193,'CUBAGEM PRODUTOS'!A:I,9,0)*C193),"ERRO")</f>
        <v/>
      </c>
      <c r="E193" s="105" t="str">
        <f>IFERROR(IF(OR(J193="",C193=""),"",VLOOKUP(J193,'CUBAGEM PRODUTOS'!A:H,2,0)),"ERRO")</f>
        <v/>
      </c>
      <c r="F193" s="105"/>
      <c r="G193" s="105"/>
      <c r="H193" s="72" t="str">
        <f>IFERROR(IF(OR(J193="",C193=""),"",VLOOKUP(J193,'CUBAGEM PRODUTOS'!$A:$H,4,0)*C193),"ERRO")</f>
        <v/>
      </c>
      <c r="I193" s="43"/>
      <c r="J193" s="35" t="str">
        <f t="shared" si="2"/>
        <v/>
      </c>
      <c r="K193" s="43"/>
      <c r="L193" s="43"/>
      <c r="M193" s="36"/>
    </row>
    <row r="194" spans="1:13" x14ac:dyDescent="0.25">
      <c r="A194" s="32"/>
      <c r="B194" s="48"/>
      <c r="C194" s="49"/>
      <c r="D194" s="50" t="str">
        <f>IFERROR(IF(OR(J194="",C194=""),"",VLOOKUP(J194,'CUBAGEM PRODUTOS'!A:I,9,0)*C194),"ERRO")</f>
        <v/>
      </c>
      <c r="E194" s="97" t="str">
        <f>IFERROR(IF(OR(J194="",C194=""),"",VLOOKUP(J194,'CUBAGEM PRODUTOS'!A:H,2,0)),"ERRO")</f>
        <v/>
      </c>
      <c r="F194" s="97"/>
      <c r="G194" s="97"/>
      <c r="H194" s="50" t="str">
        <f>IFERROR(IF(OR(J194="",C194=""),"",VLOOKUP(J194,'CUBAGEM PRODUTOS'!$A:$H,4,0)*C194),"ERRO")</f>
        <v/>
      </c>
      <c r="I194" s="43"/>
      <c r="J194" s="35" t="str">
        <f t="shared" si="2"/>
        <v/>
      </c>
      <c r="K194" s="43"/>
      <c r="L194" s="43"/>
      <c r="M194" s="36"/>
    </row>
    <row r="195" spans="1:13" x14ac:dyDescent="0.25">
      <c r="A195" s="32"/>
      <c r="B195" s="53"/>
      <c r="C195" s="51"/>
      <c r="D195" s="47" t="str">
        <f>IFERROR(IF(OR(J195="",C195=""),"",VLOOKUP(J195,'CUBAGEM PRODUTOS'!A:I,9,0)*C195),"ERRO")</f>
        <v/>
      </c>
      <c r="E195" s="105" t="str">
        <f>IFERROR(IF(OR(J195="",C195=""),"",VLOOKUP(J195,'CUBAGEM PRODUTOS'!A:H,2,0)),"ERRO")</f>
        <v/>
      </c>
      <c r="F195" s="105"/>
      <c r="G195" s="105"/>
      <c r="H195" s="72" t="str">
        <f>IFERROR(IF(OR(J195="",C195=""),"",VLOOKUP(J195,'CUBAGEM PRODUTOS'!$A:$H,4,0)*C195),"ERRO")</f>
        <v/>
      </c>
      <c r="I195" s="43"/>
      <c r="J195" s="35" t="str">
        <f t="shared" si="2"/>
        <v/>
      </c>
      <c r="K195" s="43"/>
      <c r="L195" s="43"/>
      <c r="M195" s="36"/>
    </row>
    <row r="196" spans="1:13" x14ac:dyDescent="0.25">
      <c r="A196" s="32"/>
      <c r="B196" s="48"/>
      <c r="C196" s="49"/>
      <c r="D196" s="50" t="str">
        <f>IFERROR(IF(OR(J196="",C196=""),"",VLOOKUP(J196,'CUBAGEM PRODUTOS'!A:I,9,0)*C196),"ERRO")</f>
        <v/>
      </c>
      <c r="E196" s="97" t="str">
        <f>IFERROR(IF(OR(J196="",C196=""),"",VLOOKUP(J196,'CUBAGEM PRODUTOS'!A:H,2,0)),"ERRO")</f>
        <v/>
      </c>
      <c r="F196" s="97"/>
      <c r="G196" s="97"/>
      <c r="H196" s="50" t="str">
        <f>IFERROR(IF(OR(J196="",C196=""),"",VLOOKUP(J196,'CUBAGEM PRODUTOS'!$A:$H,4,0)*C196),"ERRO")</f>
        <v/>
      </c>
      <c r="I196" s="43"/>
      <c r="J196" s="35" t="str">
        <f t="shared" si="2"/>
        <v/>
      </c>
      <c r="K196" s="43"/>
      <c r="L196" s="43"/>
      <c r="M196" s="36"/>
    </row>
    <row r="197" spans="1:13" x14ac:dyDescent="0.25">
      <c r="A197" s="32"/>
      <c r="B197" s="53"/>
      <c r="C197" s="51"/>
      <c r="D197" s="47" t="str">
        <f>IFERROR(IF(OR(J197="",C197=""),"",VLOOKUP(J197,'CUBAGEM PRODUTOS'!A:I,9,0)*C197),"ERRO")</f>
        <v/>
      </c>
      <c r="E197" s="105" t="str">
        <f>IFERROR(IF(OR(J197="",C197=""),"",VLOOKUP(J197,'CUBAGEM PRODUTOS'!A:H,2,0)),"ERRO")</f>
        <v/>
      </c>
      <c r="F197" s="105"/>
      <c r="G197" s="105"/>
      <c r="H197" s="72" t="str">
        <f>IFERROR(IF(OR(J197="",C197=""),"",VLOOKUP(J197,'CUBAGEM PRODUTOS'!$A:$H,4,0)*C197),"ERRO")</f>
        <v/>
      </c>
      <c r="I197" s="43"/>
      <c r="J197" s="35" t="str">
        <f t="shared" si="2"/>
        <v/>
      </c>
      <c r="K197" s="43"/>
      <c r="L197" s="43"/>
      <c r="M197" s="36"/>
    </row>
    <row r="198" spans="1:13" x14ac:dyDescent="0.25">
      <c r="A198" s="32"/>
      <c r="B198" s="48"/>
      <c r="C198" s="49"/>
      <c r="D198" s="50" t="str">
        <f>IFERROR(IF(OR(J198="",C198=""),"",VLOOKUP(J198,'CUBAGEM PRODUTOS'!A:I,9,0)*C198),"ERRO")</f>
        <v/>
      </c>
      <c r="E198" s="97" t="str">
        <f>IFERROR(IF(OR(J198="",C198=""),"",VLOOKUP(J198,'CUBAGEM PRODUTOS'!A:H,2,0)),"ERRO")</f>
        <v/>
      </c>
      <c r="F198" s="97"/>
      <c r="G198" s="97"/>
      <c r="H198" s="50" t="str">
        <f>IFERROR(IF(OR(J198="",C198=""),"",VLOOKUP(J198,'CUBAGEM PRODUTOS'!$A:$H,4,0)*C198),"ERRO")</f>
        <v/>
      </c>
      <c r="I198" s="43"/>
      <c r="J198" s="35" t="str">
        <f t="shared" si="2"/>
        <v/>
      </c>
      <c r="K198" s="43"/>
      <c r="L198" s="43"/>
      <c r="M198" s="36"/>
    </row>
    <row r="199" spans="1:13" x14ac:dyDescent="0.25">
      <c r="A199" s="32"/>
      <c r="B199" s="53"/>
      <c r="C199" s="51"/>
      <c r="D199" s="47" t="str">
        <f>IFERROR(IF(OR(J199="",C199=""),"",VLOOKUP(J199,'CUBAGEM PRODUTOS'!A:I,9,0)*C199),"ERRO")</f>
        <v/>
      </c>
      <c r="E199" s="105" t="str">
        <f>IFERROR(IF(OR(J199="",C199=""),"",VLOOKUP(J199,'CUBAGEM PRODUTOS'!A:H,2,0)),"ERRO")</f>
        <v/>
      </c>
      <c r="F199" s="105"/>
      <c r="G199" s="105"/>
      <c r="H199" s="72" t="str">
        <f>IFERROR(IF(OR(J199="",C199=""),"",VLOOKUP(J199,'CUBAGEM PRODUTOS'!$A:$H,4,0)*C199),"ERRO")</f>
        <v/>
      </c>
      <c r="I199" s="43"/>
      <c r="J199" s="35" t="str">
        <f t="shared" si="2"/>
        <v/>
      </c>
      <c r="K199" s="43"/>
      <c r="L199" s="43"/>
      <c r="M199" s="36"/>
    </row>
    <row r="200" spans="1:13" x14ac:dyDescent="0.25">
      <c r="A200" s="32"/>
      <c r="B200" s="48"/>
      <c r="C200" s="49"/>
      <c r="D200" s="50" t="str">
        <f>IFERROR(IF(OR(J200="",C200=""),"",VLOOKUP(J200,'CUBAGEM PRODUTOS'!A:I,9,0)*C200),"ERRO")</f>
        <v/>
      </c>
      <c r="E200" s="97" t="str">
        <f>IFERROR(IF(OR(J200="",C200=""),"",VLOOKUP(J200,'CUBAGEM PRODUTOS'!A:H,2,0)),"ERRO")</f>
        <v/>
      </c>
      <c r="F200" s="97"/>
      <c r="G200" s="97"/>
      <c r="H200" s="50" t="str">
        <f>IFERROR(IF(OR(J200="",C200=""),"",VLOOKUP(J200,'CUBAGEM PRODUTOS'!$A:$H,4,0)*C200),"ERRO")</f>
        <v/>
      </c>
      <c r="I200" s="43"/>
      <c r="J200" s="35" t="str">
        <f t="shared" si="2"/>
        <v/>
      </c>
      <c r="K200" s="43"/>
      <c r="L200" s="43"/>
      <c r="M200" s="36"/>
    </row>
    <row r="201" spans="1:13" ht="15.75" thickBot="1" x14ac:dyDescent="0.3">
      <c r="A201" s="55"/>
      <c r="B201" s="56"/>
      <c r="C201" s="56"/>
      <c r="D201" s="57"/>
      <c r="E201" s="57"/>
      <c r="F201" s="57"/>
      <c r="G201" s="57"/>
      <c r="H201" s="57"/>
      <c r="I201" s="56"/>
      <c r="J201" s="58"/>
      <c r="K201" s="59"/>
      <c r="L201" s="59"/>
      <c r="M201" s="60"/>
    </row>
  </sheetData>
  <mergeCells count="214">
    <mergeCell ref="E16:G16"/>
    <mergeCell ref="K16:L16"/>
    <mergeCell ref="E17:G17"/>
    <mergeCell ref="C7:D7"/>
    <mergeCell ref="H7:I7"/>
    <mergeCell ref="K8:L8"/>
    <mergeCell ref="K9:L9"/>
    <mergeCell ref="K13:L13"/>
    <mergeCell ref="K14:L14"/>
    <mergeCell ref="K17:L17"/>
    <mergeCell ref="A1:M1"/>
    <mergeCell ref="K2:L3"/>
    <mergeCell ref="K4:L4"/>
    <mergeCell ref="K5:L5"/>
    <mergeCell ref="C6:D6"/>
    <mergeCell ref="H6:I6"/>
    <mergeCell ref="K6:L6"/>
    <mergeCell ref="K15:L15"/>
    <mergeCell ref="B15:H15"/>
    <mergeCell ref="E25:G25"/>
    <mergeCell ref="E18:G18"/>
    <mergeCell ref="K20:L20"/>
    <mergeCell ref="E19:G19"/>
    <mergeCell ref="E20:G20"/>
    <mergeCell ref="E21:G21"/>
    <mergeCell ref="E32:G32"/>
    <mergeCell ref="K29:L29"/>
    <mergeCell ref="E22:G22"/>
    <mergeCell ref="E23:G23"/>
    <mergeCell ref="E24:G24"/>
    <mergeCell ref="K18:L18"/>
    <mergeCell ref="K19:L19"/>
    <mergeCell ref="K21:L21"/>
    <mergeCell ref="K23:L23"/>
    <mergeCell ref="K25:L25"/>
    <mergeCell ref="K28:L28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44:G44"/>
    <mergeCell ref="E45:G45"/>
    <mergeCell ref="E46:G46"/>
    <mergeCell ref="E47:G47"/>
    <mergeCell ref="E48:G48"/>
    <mergeCell ref="E49:G49"/>
    <mergeCell ref="E38:G38"/>
    <mergeCell ref="E39:G39"/>
    <mergeCell ref="E40:G40"/>
    <mergeCell ref="E41:G41"/>
    <mergeCell ref="E42:G42"/>
    <mergeCell ref="E43:G43"/>
    <mergeCell ref="E56:G56"/>
    <mergeCell ref="E57:G57"/>
    <mergeCell ref="E58:G58"/>
    <mergeCell ref="E59:G59"/>
    <mergeCell ref="E60:G60"/>
    <mergeCell ref="E61:G61"/>
    <mergeCell ref="E50:G50"/>
    <mergeCell ref="E51:G51"/>
    <mergeCell ref="E52:G52"/>
    <mergeCell ref="E53:G53"/>
    <mergeCell ref="E54:G54"/>
    <mergeCell ref="E55:G55"/>
    <mergeCell ref="E68:G68"/>
    <mergeCell ref="E69:G69"/>
    <mergeCell ref="E70:G70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E80:G80"/>
    <mergeCell ref="E81:G81"/>
    <mergeCell ref="E82:G82"/>
    <mergeCell ref="E83:G83"/>
    <mergeCell ref="E84:G84"/>
    <mergeCell ref="E85:G85"/>
    <mergeCell ref="E74:G74"/>
    <mergeCell ref="E75:G75"/>
    <mergeCell ref="E76:G76"/>
    <mergeCell ref="E77:G77"/>
    <mergeCell ref="E78:G78"/>
    <mergeCell ref="E79:G79"/>
    <mergeCell ref="E92:G92"/>
    <mergeCell ref="E93:G93"/>
    <mergeCell ref="E94:G94"/>
    <mergeCell ref="E95:G95"/>
    <mergeCell ref="E96:G96"/>
    <mergeCell ref="E97:G97"/>
    <mergeCell ref="E86:G86"/>
    <mergeCell ref="E87:G87"/>
    <mergeCell ref="E88:G88"/>
    <mergeCell ref="E89:G89"/>
    <mergeCell ref="E90:G90"/>
    <mergeCell ref="E91:G91"/>
    <mergeCell ref="E104:G104"/>
    <mergeCell ref="E105:G105"/>
    <mergeCell ref="E106:G106"/>
    <mergeCell ref="E107:G107"/>
    <mergeCell ref="E108:G108"/>
    <mergeCell ref="E109:G109"/>
    <mergeCell ref="E98:G98"/>
    <mergeCell ref="E99:G99"/>
    <mergeCell ref="E100:G100"/>
    <mergeCell ref="E101:G101"/>
    <mergeCell ref="E102:G102"/>
    <mergeCell ref="E103:G103"/>
    <mergeCell ref="E116:G116"/>
    <mergeCell ref="E117:G117"/>
    <mergeCell ref="E118:G118"/>
    <mergeCell ref="E119:G119"/>
    <mergeCell ref="E120:G120"/>
    <mergeCell ref="E121:G121"/>
    <mergeCell ref="E110:G110"/>
    <mergeCell ref="E111:G111"/>
    <mergeCell ref="E112:G112"/>
    <mergeCell ref="E113:G113"/>
    <mergeCell ref="E114:G114"/>
    <mergeCell ref="E115:G115"/>
    <mergeCell ref="E128:G128"/>
    <mergeCell ref="E129:G129"/>
    <mergeCell ref="E130:G130"/>
    <mergeCell ref="E131:G131"/>
    <mergeCell ref="E132:G132"/>
    <mergeCell ref="E133:G133"/>
    <mergeCell ref="E122:G122"/>
    <mergeCell ref="E123:G123"/>
    <mergeCell ref="E124:G124"/>
    <mergeCell ref="E125:G125"/>
    <mergeCell ref="E126:G126"/>
    <mergeCell ref="E127:G127"/>
    <mergeCell ref="E140:G140"/>
    <mergeCell ref="E141:G141"/>
    <mergeCell ref="E142:G142"/>
    <mergeCell ref="E143:G143"/>
    <mergeCell ref="E144:G144"/>
    <mergeCell ref="E145:G145"/>
    <mergeCell ref="E134:G134"/>
    <mergeCell ref="E135:G135"/>
    <mergeCell ref="E136:G136"/>
    <mergeCell ref="E137:G137"/>
    <mergeCell ref="E138:G138"/>
    <mergeCell ref="E139:G139"/>
    <mergeCell ref="E152:G152"/>
    <mergeCell ref="E153:G153"/>
    <mergeCell ref="E154:G154"/>
    <mergeCell ref="E155:G155"/>
    <mergeCell ref="E156:G156"/>
    <mergeCell ref="E157:G157"/>
    <mergeCell ref="E146:G146"/>
    <mergeCell ref="E147:G147"/>
    <mergeCell ref="E148:G148"/>
    <mergeCell ref="E149:G149"/>
    <mergeCell ref="E150:G150"/>
    <mergeCell ref="E151:G151"/>
    <mergeCell ref="E164:G164"/>
    <mergeCell ref="E165:G165"/>
    <mergeCell ref="E166:G166"/>
    <mergeCell ref="E167:G167"/>
    <mergeCell ref="E168:G168"/>
    <mergeCell ref="E169:G169"/>
    <mergeCell ref="E158:G158"/>
    <mergeCell ref="E159:G159"/>
    <mergeCell ref="E160:G160"/>
    <mergeCell ref="E161:G161"/>
    <mergeCell ref="E162:G162"/>
    <mergeCell ref="E163:G163"/>
    <mergeCell ref="E177:G177"/>
    <mergeCell ref="E178:G178"/>
    <mergeCell ref="E179:G179"/>
    <mergeCell ref="E180:G180"/>
    <mergeCell ref="E181:G181"/>
    <mergeCell ref="E170:G170"/>
    <mergeCell ref="E171:G171"/>
    <mergeCell ref="E172:G172"/>
    <mergeCell ref="E173:G173"/>
    <mergeCell ref="E174:G174"/>
    <mergeCell ref="E175:G175"/>
    <mergeCell ref="E200:G200"/>
    <mergeCell ref="K26:L26"/>
    <mergeCell ref="O1:S1"/>
    <mergeCell ref="K32:L32"/>
    <mergeCell ref="K31:L31"/>
    <mergeCell ref="E194:G194"/>
    <mergeCell ref="E195:G195"/>
    <mergeCell ref="E196:G196"/>
    <mergeCell ref="E197:G197"/>
    <mergeCell ref="E198:G198"/>
    <mergeCell ref="E199:G199"/>
    <mergeCell ref="E188:G188"/>
    <mergeCell ref="E189:G189"/>
    <mergeCell ref="E190:G190"/>
    <mergeCell ref="E191:G191"/>
    <mergeCell ref="E192:G192"/>
    <mergeCell ref="E193:G193"/>
    <mergeCell ref="E182:G182"/>
    <mergeCell ref="E183:G183"/>
    <mergeCell ref="E184:G184"/>
    <mergeCell ref="E185:G185"/>
    <mergeCell ref="E186:G186"/>
    <mergeCell ref="E187:G187"/>
    <mergeCell ref="E176:G176"/>
  </mergeCells>
  <conditionalFormatting sqref="K26">
    <cfRule type="containsText" dxfId="1260" priority="14" operator="containsText" text="NÃO VAI CABER">
      <formula>NOT(ISERROR(SEARCH("NÃO VAI CABER",K26)))</formula>
    </cfRule>
    <cfRule type="containsText" dxfId="1259" priority="15" operator="containsText" text="OK">
      <formula>NOT(ISERROR(SEARCH("OK",K26)))</formula>
    </cfRule>
  </conditionalFormatting>
  <conditionalFormatting sqref="K32">
    <cfRule type="cellIs" dxfId="1258" priority="10" operator="greaterThan">
      <formula>50000</formula>
    </cfRule>
    <cfRule type="cellIs" dxfId="1257" priority="11" operator="between">
      <formula>30001</formula>
      <formula>50000</formula>
    </cfRule>
    <cfRule type="cellIs" dxfId="1256" priority="12" operator="between">
      <formula>0</formula>
      <formula>30000</formula>
    </cfRule>
  </conditionalFormatting>
  <conditionalFormatting sqref="K29">
    <cfRule type="containsText" dxfId="1255" priority="8" operator="containsText" text="CARGA ACIMA DO LIMITE">
      <formula>NOT(ISERROR(SEARCH("CARGA ACIMA DO LIMITE",K29)))</formula>
    </cfRule>
    <cfRule type="containsText" dxfId="1254" priority="9" operator="containsText" text="OK">
      <formula>NOT(ISERROR(SEARCH("OK",K29)))</formula>
    </cfRule>
  </conditionalFormatting>
  <conditionalFormatting sqref="L24">
    <cfRule type="dataBar" priority="6">
      <dataBar showValue="0">
        <cfvo type="num" val="0"/>
        <cfvo type="formula" val="$C$7"/>
        <color rgb="FF008AEF"/>
      </dataBar>
      <extLst>
        <ext xmlns:x14="http://schemas.microsoft.com/office/spreadsheetml/2009/9/main" uri="{B025F937-C7B1-47D3-B67F-A62EFF666E3E}">
          <x14:id>{07E85615-BE5C-480A-86A0-034066BF2506}</x14:id>
        </ext>
      </extLst>
    </cfRule>
  </conditionalFormatting>
  <conditionalFormatting sqref="L22">
    <cfRule type="dataBar" priority="3">
      <dataBar showValue="0">
        <cfvo type="num" val="0"/>
        <cfvo type="formula" val="$K$20"/>
        <color rgb="FF008AEF"/>
      </dataBar>
      <extLst>
        <ext xmlns:x14="http://schemas.microsoft.com/office/spreadsheetml/2009/9/main" uri="{B025F937-C7B1-47D3-B67F-A62EFF666E3E}">
          <x14:id>{296E4D34-9AD0-48B2-A3F6-8E0A6E847911}</x14:id>
        </ext>
      </extLst>
    </cfRule>
  </conditionalFormatting>
  <conditionalFormatting sqref="K9:L9">
    <cfRule type="cellIs" dxfId="1253" priority="1" operator="equal">
      <formula>$O$4</formula>
    </cfRule>
    <cfRule type="cellIs" dxfId="1252" priority="2" operator="equal">
      <formula>$O$3</formula>
    </cfRule>
  </conditionalFormatting>
  <dataValidations count="2">
    <dataValidation type="list" allowBlank="1" showInputMessage="1" showErrorMessage="1" sqref="K9:L9" xr:uid="{00000000-0002-0000-0300-000000000000}">
      <formula1>$O$3:$O$5</formula1>
    </dataValidation>
    <dataValidation type="list" allowBlank="1" showDropDown="1" showInputMessage="1" showErrorMessage="1" sqref="K6:L6" xr:uid="{00000000-0002-0000-0300-000001000000}">
      <formula1>$K$10:$K$11</formula1>
    </dataValidation>
  </dataValidations>
  <printOptions verticalCentered="1"/>
  <pageMargins left="0.19685039370078741" right="0.11811023622047245" top="0.78740157480314965" bottom="0.78740157480314965" header="0.31496062992125984" footer="0.31496062992125984"/>
  <pageSetup paperSize="9" scale="16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E85615-BE5C-480A-86A0-034066BF2506}">
            <x14:dataBar minLength="0" maxLength="100" gradient="0">
              <x14:cfvo type="num">
                <xm:f>0</xm:f>
              </x14:cfvo>
              <x14:cfvo type="formula">
                <xm:f>$C$7</xm:f>
              </x14:cfvo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296E4D34-9AD0-48B2-A3F6-8E0A6E847911}">
            <x14:dataBar minLength="0" maxLength="100" gradient="0">
              <x14:cfvo type="num">
                <xm:f>0</xm:f>
              </x14:cfvo>
              <x14:cfvo type="formula">
                <xm:f>$K$20</xm:f>
              </x14:cfvo>
              <x14:negativeFillColor rgb="FFFF0000"/>
              <x14:axisColor rgb="FF000000"/>
            </x14:dataBar>
          </x14:cfRule>
          <xm:sqref>L22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K425"/>
  <sheetViews>
    <sheetView topLeftCell="A262" workbookViewId="0">
      <selection sqref="A1:XFD1"/>
    </sheetView>
  </sheetViews>
  <sheetFormatPr defaultRowHeight="15" x14ac:dyDescent="0.25"/>
  <cols>
    <col min="1" max="1" width="10.5703125" style="68" bestFit="1" customWidth="1" collapsed="1"/>
    <col min="2" max="2" width="69.5703125" style="69" bestFit="1" customWidth="1" collapsed="1"/>
    <col min="3" max="3" width="5" style="24" bestFit="1" customWidth="1" collapsed="1"/>
    <col min="4" max="4" width="12.7109375" style="70" bestFit="1" customWidth="1" collapsed="1"/>
    <col min="5" max="5" width="15.140625" style="24" bestFit="1" customWidth="1" collapsed="1"/>
    <col min="6" max="6" width="10" style="24" bestFit="1" customWidth="1" collapsed="1"/>
    <col min="7" max="7" width="8.42578125" style="24" bestFit="1" customWidth="1" collapsed="1"/>
    <col min="8" max="9" width="11.5703125" style="24" bestFit="1" customWidth="1" collapsed="1"/>
    <col min="10" max="10" width="91.85546875" bestFit="1" customWidth="1" collapsed="1"/>
  </cols>
  <sheetData>
    <row r="1" spans="1:10" ht="39" x14ac:dyDescent="0.25">
      <c r="A1" s="74" t="s">
        <v>119</v>
      </c>
      <c r="B1" s="73" t="s">
        <v>97</v>
      </c>
      <c r="C1" s="73" t="s">
        <v>125</v>
      </c>
      <c r="D1" s="64" t="s">
        <v>120</v>
      </c>
      <c r="E1" s="63" t="s">
        <v>121</v>
      </c>
      <c r="F1" s="63" t="s">
        <v>122</v>
      </c>
      <c r="G1" s="63" t="s">
        <v>123</v>
      </c>
      <c r="H1" s="65" t="s">
        <v>395</v>
      </c>
      <c r="I1" s="65" t="s">
        <v>396</v>
      </c>
      <c r="J1" s="75" t="s">
        <v>124</v>
      </c>
    </row>
    <row r="2" spans="1:10" s="67" customFormat="1" x14ac:dyDescent="0.25">
      <c r="A2" s="79">
        <v>1</v>
      </c>
      <c r="B2" s="80" t="s">
        <v>127</v>
      </c>
      <c r="C2" s="81" t="s">
        <v>125</v>
      </c>
      <c r="D2" s="76">
        <v>5</v>
      </c>
      <c r="E2" s="78">
        <v>40</v>
      </c>
      <c r="F2" s="78">
        <v>40</v>
      </c>
      <c r="G2" s="78">
        <v>90</v>
      </c>
      <c r="H2" s="77">
        <f t="shared" ref="H2:H23" si="0">E2*F2*G2/1000000</f>
        <v>0.14399999999999999</v>
      </c>
      <c r="I2" s="77">
        <v>7.5399999999999995E-2</v>
      </c>
      <c r="J2" s="66"/>
    </row>
    <row r="3" spans="1:10" s="67" customFormat="1" x14ac:dyDescent="0.25">
      <c r="A3" s="79">
        <v>2</v>
      </c>
      <c r="B3" s="80" t="s">
        <v>128</v>
      </c>
      <c r="C3" s="81" t="s">
        <v>125</v>
      </c>
      <c r="D3" s="76">
        <v>5</v>
      </c>
      <c r="E3" s="78">
        <v>40</v>
      </c>
      <c r="F3" s="78">
        <v>40</v>
      </c>
      <c r="G3" s="78">
        <v>90</v>
      </c>
      <c r="H3" s="77">
        <f t="shared" si="0"/>
        <v>0.14399999999999999</v>
      </c>
      <c r="I3" s="77">
        <v>7.5399999999999995E-2</v>
      </c>
      <c r="J3" s="66"/>
    </row>
    <row r="4" spans="1:10" s="67" customFormat="1" x14ac:dyDescent="0.25">
      <c r="A4" s="79">
        <v>3</v>
      </c>
      <c r="B4" s="80" t="s">
        <v>129</v>
      </c>
      <c r="C4" s="81" t="s">
        <v>125</v>
      </c>
      <c r="D4" s="76">
        <v>5</v>
      </c>
      <c r="E4" s="78">
        <v>40</v>
      </c>
      <c r="F4" s="78">
        <v>40</v>
      </c>
      <c r="G4" s="78">
        <v>90</v>
      </c>
      <c r="H4" s="77">
        <f t="shared" si="0"/>
        <v>0.14399999999999999</v>
      </c>
      <c r="I4" s="77">
        <v>7.5399999999999995E-2</v>
      </c>
      <c r="J4" s="66"/>
    </row>
    <row r="5" spans="1:10" s="67" customFormat="1" x14ac:dyDescent="0.25">
      <c r="A5" s="79">
        <v>282</v>
      </c>
      <c r="B5" s="80" t="s">
        <v>130</v>
      </c>
      <c r="C5" s="81" t="s">
        <v>125</v>
      </c>
      <c r="D5" s="76">
        <v>5</v>
      </c>
      <c r="E5" s="78">
        <v>40</v>
      </c>
      <c r="F5" s="78">
        <v>40</v>
      </c>
      <c r="G5" s="78">
        <v>90</v>
      </c>
      <c r="H5" s="77">
        <f t="shared" si="0"/>
        <v>0.14399999999999999</v>
      </c>
      <c r="I5" s="77">
        <v>7.5399999999999995E-2</v>
      </c>
      <c r="J5" s="66"/>
    </row>
    <row r="6" spans="1:10" s="67" customFormat="1" x14ac:dyDescent="0.25">
      <c r="A6" s="79">
        <v>5</v>
      </c>
      <c r="B6" s="80" t="s">
        <v>131</v>
      </c>
      <c r="C6" s="81" t="s">
        <v>125</v>
      </c>
      <c r="D6" s="76">
        <v>5.5</v>
      </c>
      <c r="E6" s="78">
        <v>45</v>
      </c>
      <c r="F6" s="78">
        <v>45</v>
      </c>
      <c r="G6" s="78">
        <v>100</v>
      </c>
      <c r="H6" s="77">
        <f t="shared" si="0"/>
        <v>0.20250000000000001</v>
      </c>
      <c r="I6" s="77">
        <v>0.106029</v>
      </c>
      <c r="J6" s="66"/>
    </row>
    <row r="7" spans="1:10" s="67" customFormat="1" x14ac:dyDescent="0.25">
      <c r="A7" s="79">
        <v>6</v>
      </c>
      <c r="B7" s="80" t="s">
        <v>132</v>
      </c>
      <c r="C7" s="81" t="s">
        <v>125</v>
      </c>
      <c r="D7" s="76">
        <v>5.5</v>
      </c>
      <c r="E7" s="78">
        <v>45</v>
      </c>
      <c r="F7" s="78">
        <v>45</v>
      </c>
      <c r="G7" s="78">
        <v>100</v>
      </c>
      <c r="H7" s="77">
        <f t="shared" si="0"/>
        <v>0.20250000000000001</v>
      </c>
      <c r="I7" s="77">
        <v>0.106029</v>
      </c>
      <c r="J7" s="66"/>
    </row>
    <row r="8" spans="1:10" s="67" customFormat="1" x14ac:dyDescent="0.25">
      <c r="A8" s="79">
        <v>7</v>
      </c>
      <c r="B8" s="80" t="s">
        <v>133</v>
      </c>
      <c r="C8" s="81" t="s">
        <v>125</v>
      </c>
      <c r="D8" s="76">
        <v>5.5</v>
      </c>
      <c r="E8" s="78">
        <v>45</v>
      </c>
      <c r="F8" s="78">
        <v>45</v>
      </c>
      <c r="G8" s="78">
        <v>100</v>
      </c>
      <c r="H8" s="77">
        <f t="shared" si="0"/>
        <v>0.20250000000000001</v>
      </c>
      <c r="I8" s="77">
        <v>0.106029</v>
      </c>
      <c r="J8" s="66"/>
    </row>
    <row r="9" spans="1:10" s="67" customFormat="1" x14ac:dyDescent="0.25">
      <c r="A9" s="79">
        <v>258</v>
      </c>
      <c r="B9" s="80" t="s">
        <v>134</v>
      </c>
      <c r="C9" s="81" t="s">
        <v>125</v>
      </c>
      <c r="D9" s="76">
        <v>5.5</v>
      </c>
      <c r="E9" s="78">
        <v>45</v>
      </c>
      <c r="F9" s="78">
        <v>45</v>
      </c>
      <c r="G9" s="78">
        <v>100</v>
      </c>
      <c r="H9" s="77">
        <f t="shared" si="0"/>
        <v>0.20250000000000001</v>
      </c>
      <c r="I9" s="77">
        <v>0.106029</v>
      </c>
      <c r="J9" s="66"/>
    </row>
    <row r="10" spans="1:10" s="67" customFormat="1" x14ac:dyDescent="0.25">
      <c r="A10" s="79">
        <v>13</v>
      </c>
      <c r="B10" s="80" t="s">
        <v>135</v>
      </c>
      <c r="C10" s="81" t="s">
        <v>125</v>
      </c>
      <c r="D10" s="76">
        <v>3</v>
      </c>
      <c r="E10" s="78">
        <v>45</v>
      </c>
      <c r="F10" s="78">
        <v>35</v>
      </c>
      <c r="G10" s="78">
        <v>62</v>
      </c>
      <c r="H10" s="77">
        <f t="shared" si="0"/>
        <v>9.7650000000000001E-2</v>
      </c>
      <c r="I10" s="77">
        <v>5.0779999999999999E-2</v>
      </c>
      <c r="J10" s="66"/>
    </row>
    <row r="11" spans="1:10" s="67" customFormat="1" x14ac:dyDescent="0.25">
      <c r="A11" s="79">
        <v>14</v>
      </c>
      <c r="B11" s="80" t="s">
        <v>136</v>
      </c>
      <c r="C11" s="81" t="s">
        <v>125</v>
      </c>
      <c r="D11" s="76">
        <v>3</v>
      </c>
      <c r="E11" s="78">
        <v>45</v>
      </c>
      <c r="F11" s="78">
        <v>35</v>
      </c>
      <c r="G11" s="78">
        <v>62</v>
      </c>
      <c r="H11" s="77">
        <f t="shared" si="0"/>
        <v>9.7650000000000001E-2</v>
      </c>
      <c r="I11" s="77">
        <v>5.0779999999999999E-2</v>
      </c>
      <c r="J11" s="66"/>
    </row>
    <row r="12" spans="1:10" s="67" customFormat="1" x14ac:dyDescent="0.25">
      <c r="A12" s="79">
        <v>15</v>
      </c>
      <c r="B12" s="80" t="s">
        <v>137</v>
      </c>
      <c r="C12" s="81" t="s">
        <v>125</v>
      </c>
      <c r="D12" s="76">
        <v>3</v>
      </c>
      <c r="E12" s="78">
        <v>45</v>
      </c>
      <c r="F12" s="78">
        <v>35</v>
      </c>
      <c r="G12" s="78">
        <v>62</v>
      </c>
      <c r="H12" s="77">
        <f t="shared" si="0"/>
        <v>9.7650000000000001E-2</v>
      </c>
      <c r="I12" s="77">
        <v>5.0779999999999999E-2</v>
      </c>
      <c r="J12" s="66"/>
    </row>
    <row r="13" spans="1:10" s="67" customFormat="1" x14ac:dyDescent="0.25">
      <c r="A13" s="79">
        <v>289</v>
      </c>
      <c r="B13" s="80" t="s">
        <v>138</v>
      </c>
      <c r="C13" s="81" t="s">
        <v>125</v>
      </c>
      <c r="D13" s="76">
        <v>3</v>
      </c>
      <c r="E13" s="78">
        <v>45</v>
      </c>
      <c r="F13" s="78">
        <v>35</v>
      </c>
      <c r="G13" s="78">
        <v>62</v>
      </c>
      <c r="H13" s="77">
        <f t="shared" si="0"/>
        <v>9.7650000000000001E-2</v>
      </c>
      <c r="I13" s="77">
        <v>5.0779999999999999E-2</v>
      </c>
      <c r="J13" s="66"/>
    </row>
    <row r="14" spans="1:10" s="67" customFormat="1" x14ac:dyDescent="0.25">
      <c r="A14" s="79">
        <v>267</v>
      </c>
      <c r="B14" s="80" t="s">
        <v>139</v>
      </c>
      <c r="C14" s="81" t="s">
        <v>125</v>
      </c>
      <c r="D14" s="76">
        <v>6</v>
      </c>
      <c r="E14" s="78">
        <v>45</v>
      </c>
      <c r="F14" s="78">
        <v>45</v>
      </c>
      <c r="G14" s="78">
        <v>100</v>
      </c>
      <c r="H14" s="77">
        <f t="shared" si="0"/>
        <v>0.20250000000000001</v>
      </c>
      <c r="I14" s="77">
        <v>0.11003</v>
      </c>
      <c r="J14" s="66"/>
    </row>
    <row r="15" spans="1:10" s="67" customFormat="1" x14ac:dyDescent="0.25">
      <c r="A15" s="79">
        <v>268</v>
      </c>
      <c r="B15" s="80" t="s">
        <v>140</v>
      </c>
      <c r="C15" s="81" t="s">
        <v>125</v>
      </c>
      <c r="D15" s="76">
        <v>6</v>
      </c>
      <c r="E15" s="78">
        <v>45</v>
      </c>
      <c r="F15" s="78">
        <v>45</v>
      </c>
      <c r="G15" s="78">
        <v>100</v>
      </c>
      <c r="H15" s="77">
        <f t="shared" si="0"/>
        <v>0.20250000000000001</v>
      </c>
      <c r="I15" s="77">
        <v>0.11003</v>
      </c>
      <c r="J15" s="66"/>
    </row>
    <row r="16" spans="1:10" s="67" customFormat="1" x14ac:dyDescent="0.25">
      <c r="A16" s="79">
        <v>270</v>
      </c>
      <c r="B16" s="80" t="s">
        <v>141</v>
      </c>
      <c r="C16" s="81" t="s">
        <v>125</v>
      </c>
      <c r="D16" s="76">
        <v>6</v>
      </c>
      <c r="E16" s="78">
        <v>45</v>
      </c>
      <c r="F16" s="78">
        <v>45</v>
      </c>
      <c r="G16" s="78">
        <v>100</v>
      </c>
      <c r="H16" s="77">
        <f t="shared" si="0"/>
        <v>0.20250000000000001</v>
      </c>
      <c r="I16" s="77">
        <v>0.11003</v>
      </c>
      <c r="J16" s="66"/>
    </row>
    <row r="17" spans="1:10" s="67" customFormat="1" x14ac:dyDescent="0.25">
      <c r="A17" s="79">
        <v>269</v>
      </c>
      <c r="B17" s="80" t="s">
        <v>142</v>
      </c>
      <c r="C17" s="81" t="s">
        <v>125</v>
      </c>
      <c r="D17" s="76">
        <v>6</v>
      </c>
      <c r="E17" s="78">
        <v>45</v>
      </c>
      <c r="F17" s="78">
        <v>45</v>
      </c>
      <c r="G17" s="78">
        <v>100</v>
      </c>
      <c r="H17" s="77">
        <f t="shared" si="0"/>
        <v>0.20250000000000001</v>
      </c>
      <c r="I17" s="77">
        <v>0.11003</v>
      </c>
      <c r="J17" s="66"/>
    </row>
    <row r="18" spans="1:10" s="67" customFormat="1" x14ac:dyDescent="0.25">
      <c r="A18" s="79">
        <v>17</v>
      </c>
      <c r="B18" s="80" t="s">
        <v>143</v>
      </c>
      <c r="C18" s="81" t="s">
        <v>125</v>
      </c>
      <c r="D18" s="76">
        <v>5.5</v>
      </c>
      <c r="E18" s="78">
        <v>40</v>
      </c>
      <c r="F18" s="78">
        <v>40</v>
      </c>
      <c r="G18" s="78">
        <v>95</v>
      </c>
      <c r="H18" s="77">
        <f t="shared" si="0"/>
        <v>0.152</v>
      </c>
      <c r="I18" s="77">
        <v>0.106029</v>
      </c>
      <c r="J18" s="66"/>
    </row>
    <row r="19" spans="1:10" s="67" customFormat="1" x14ac:dyDescent="0.25">
      <c r="A19" s="79">
        <v>18</v>
      </c>
      <c r="B19" s="80" t="s">
        <v>144</v>
      </c>
      <c r="C19" s="81" t="s">
        <v>125</v>
      </c>
      <c r="D19" s="76">
        <v>5.5</v>
      </c>
      <c r="E19" s="78">
        <v>40</v>
      </c>
      <c r="F19" s="78">
        <v>40</v>
      </c>
      <c r="G19" s="78">
        <v>95</v>
      </c>
      <c r="H19" s="77">
        <f t="shared" si="0"/>
        <v>0.152</v>
      </c>
      <c r="I19" s="77">
        <v>0.106029</v>
      </c>
      <c r="J19" s="66"/>
    </row>
    <row r="20" spans="1:10" s="67" customFormat="1" x14ac:dyDescent="0.25">
      <c r="A20" s="79">
        <v>19</v>
      </c>
      <c r="B20" s="80" t="s">
        <v>145</v>
      </c>
      <c r="C20" s="81" t="s">
        <v>125</v>
      </c>
      <c r="D20" s="76">
        <v>5.5</v>
      </c>
      <c r="E20" s="78">
        <v>40</v>
      </c>
      <c r="F20" s="78">
        <v>40</v>
      </c>
      <c r="G20" s="78">
        <v>95</v>
      </c>
      <c r="H20" s="77">
        <f t="shared" si="0"/>
        <v>0.152</v>
      </c>
      <c r="I20" s="77">
        <v>0.106029</v>
      </c>
      <c r="J20" s="66"/>
    </row>
    <row r="21" spans="1:10" s="67" customFormat="1" x14ac:dyDescent="0.25">
      <c r="A21" s="79">
        <v>290</v>
      </c>
      <c r="B21" s="80" t="s">
        <v>146</v>
      </c>
      <c r="C21" s="81" t="s">
        <v>125</v>
      </c>
      <c r="D21" s="76">
        <v>5.5</v>
      </c>
      <c r="E21" s="78">
        <v>40</v>
      </c>
      <c r="F21" s="78">
        <v>40</v>
      </c>
      <c r="G21" s="78">
        <v>95</v>
      </c>
      <c r="H21" s="77">
        <f t="shared" si="0"/>
        <v>0.152</v>
      </c>
      <c r="I21" s="77">
        <v>0.106029</v>
      </c>
      <c r="J21" s="66"/>
    </row>
    <row r="22" spans="1:10" s="67" customFormat="1" x14ac:dyDescent="0.25">
      <c r="A22" s="79">
        <v>23</v>
      </c>
      <c r="B22" s="80" t="s">
        <v>147</v>
      </c>
      <c r="C22" s="81" t="s">
        <v>125</v>
      </c>
      <c r="D22" s="76">
        <v>3</v>
      </c>
      <c r="E22" s="78">
        <v>30</v>
      </c>
      <c r="F22" s="78">
        <v>30</v>
      </c>
      <c r="G22" s="78">
        <v>50</v>
      </c>
      <c r="H22" s="77">
        <f t="shared" si="0"/>
        <v>4.4999999999999998E-2</v>
      </c>
      <c r="I22" s="77">
        <v>4.4999999999999998E-2</v>
      </c>
      <c r="J22" s="66"/>
    </row>
    <row r="23" spans="1:10" s="67" customFormat="1" x14ac:dyDescent="0.25">
      <c r="A23" s="79">
        <v>24</v>
      </c>
      <c r="B23" s="80" t="s">
        <v>148</v>
      </c>
      <c r="C23" s="81" t="s">
        <v>125</v>
      </c>
      <c r="D23" s="76">
        <v>3</v>
      </c>
      <c r="E23" s="78">
        <v>30</v>
      </c>
      <c r="F23" s="78">
        <v>30</v>
      </c>
      <c r="G23" s="78">
        <v>50</v>
      </c>
      <c r="H23" s="77">
        <f t="shared" si="0"/>
        <v>4.4999999999999998E-2</v>
      </c>
      <c r="I23" s="77">
        <v>4.4999999999999998E-2</v>
      </c>
      <c r="J23" s="66"/>
    </row>
    <row r="24" spans="1:10" s="67" customFormat="1" x14ac:dyDescent="0.25">
      <c r="A24" s="79">
        <v>25</v>
      </c>
      <c r="B24" s="80" t="s">
        <v>149</v>
      </c>
      <c r="C24" s="81" t="s">
        <v>125</v>
      </c>
      <c r="D24" s="76">
        <v>3</v>
      </c>
      <c r="E24" s="78">
        <v>30</v>
      </c>
      <c r="F24" s="78">
        <v>30</v>
      </c>
      <c r="G24" s="78">
        <v>50</v>
      </c>
      <c r="H24" s="77">
        <f t="shared" ref="H24:H29" si="1">E24*F24*G24/1000000</f>
        <v>4.4999999999999998E-2</v>
      </c>
      <c r="I24" s="77">
        <v>4.4999999999999998E-2</v>
      </c>
      <c r="J24" s="66"/>
    </row>
    <row r="25" spans="1:10" s="67" customFormat="1" x14ac:dyDescent="0.25">
      <c r="A25" s="79">
        <v>291</v>
      </c>
      <c r="B25" s="80" t="s">
        <v>150</v>
      </c>
      <c r="C25" s="81" t="s">
        <v>125</v>
      </c>
      <c r="D25" s="76">
        <v>3</v>
      </c>
      <c r="E25" s="78">
        <v>30</v>
      </c>
      <c r="F25" s="78">
        <v>30</v>
      </c>
      <c r="G25" s="78">
        <v>50</v>
      </c>
      <c r="H25" s="77">
        <f t="shared" si="1"/>
        <v>4.4999999999999998E-2</v>
      </c>
      <c r="I25" s="77">
        <v>4.4999999999999998E-2</v>
      </c>
      <c r="J25" s="66"/>
    </row>
    <row r="26" spans="1:10" s="67" customFormat="1" x14ac:dyDescent="0.25">
      <c r="A26" s="79">
        <v>27</v>
      </c>
      <c r="B26" s="80" t="s">
        <v>151</v>
      </c>
      <c r="C26" s="81" t="s">
        <v>125</v>
      </c>
      <c r="D26" s="76">
        <v>3.5</v>
      </c>
      <c r="E26" s="78">
        <v>30</v>
      </c>
      <c r="F26" s="78">
        <v>30</v>
      </c>
      <c r="G26" s="78">
        <v>70</v>
      </c>
      <c r="H26" s="77">
        <f t="shared" si="1"/>
        <v>6.3E-2</v>
      </c>
      <c r="I26" s="77">
        <v>6.3E-2</v>
      </c>
      <c r="J26" s="66"/>
    </row>
    <row r="27" spans="1:10" s="67" customFormat="1" x14ac:dyDescent="0.25">
      <c r="A27" s="79">
        <v>28</v>
      </c>
      <c r="B27" s="80" t="s">
        <v>152</v>
      </c>
      <c r="C27" s="81" t="s">
        <v>125</v>
      </c>
      <c r="D27" s="76">
        <v>3.5</v>
      </c>
      <c r="E27" s="78">
        <v>30</v>
      </c>
      <c r="F27" s="78">
        <v>30</v>
      </c>
      <c r="G27" s="78">
        <v>70</v>
      </c>
      <c r="H27" s="77">
        <f t="shared" si="1"/>
        <v>6.3E-2</v>
      </c>
      <c r="I27" s="77">
        <v>6.3E-2</v>
      </c>
      <c r="J27" s="66"/>
    </row>
    <row r="28" spans="1:10" s="67" customFormat="1" x14ac:dyDescent="0.25">
      <c r="A28" s="79">
        <v>29</v>
      </c>
      <c r="B28" s="80" t="s">
        <v>153</v>
      </c>
      <c r="C28" s="81" t="s">
        <v>125</v>
      </c>
      <c r="D28" s="76">
        <v>3.5</v>
      </c>
      <c r="E28" s="78">
        <v>30</v>
      </c>
      <c r="F28" s="78">
        <v>30</v>
      </c>
      <c r="G28" s="78">
        <v>70</v>
      </c>
      <c r="H28" s="77">
        <f t="shared" si="1"/>
        <v>6.3E-2</v>
      </c>
      <c r="I28" s="77">
        <v>6.3E-2</v>
      </c>
      <c r="J28" s="66"/>
    </row>
    <row r="29" spans="1:10" s="67" customFormat="1" x14ac:dyDescent="0.25">
      <c r="A29" s="79">
        <v>292</v>
      </c>
      <c r="B29" s="80" t="s">
        <v>154</v>
      </c>
      <c r="C29" s="81" t="s">
        <v>125</v>
      </c>
      <c r="D29" s="76">
        <v>3.5</v>
      </c>
      <c r="E29" s="78">
        <v>30</v>
      </c>
      <c r="F29" s="78">
        <v>30</v>
      </c>
      <c r="G29" s="78">
        <v>70</v>
      </c>
      <c r="H29" s="77">
        <f t="shared" si="1"/>
        <v>6.3E-2</v>
      </c>
      <c r="I29" s="77">
        <v>6.3E-2</v>
      </c>
      <c r="J29" s="66"/>
    </row>
    <row r="30" spans="1:10" s="67" customFormat="1" x14ac:dyDescent="0.25">
      <c r="A30" s="79">
        <v>227</v>
      </c>
      <c r="B30" s="80" t="s">
        <v>155</v>
      </c>
      <c r="C30" s="81" t="s">
        <v>125</v>
      </c>
      <c r="D30" s="76">
        <v>46</v>
      </c>
      <c r="E30" s="78">
        <v>0</v>
      </c>
      <c r="F30" s="78">
        <v>0</v>
      </c>
      <c r="G30" s="78">
        <v>0</v>
      </c>
      <c r="H30" s="77">
        <v>0.10891000000000001</v>
      </c>
      <c r="I30" s="77">
        <v>0.10891000000000001</v>
      </c>
      <c r="J30" s="66" t="s">
        <v>391</v>
      </c>
    </row>
    <row r="31" spans="1:10" s="67" customFormat="1" x14ac:dyDescent="0.25">
      <c r="A31" s="79">
        <v>228</v>
      </c>
      <c r="B31" s="80" t="s">
        <v>156</v>
      </c>
      <c r="C31" s="81" t="s">
        <v>125</v>
      </c>
      <c r="D31" s="76">
        <v>46</v>
      </c>
      <c r="E31" s="78">
        <v>0</v>
      </c>
      <c r="F31" s="78">
        <v>0</v>
      </c>
      <c r="G31" s="78">
        <v>0</v>
      </c>
      <c r="H31" s="77">
        <v>0.10891000000000001</v>
      </c>
      <c r="I31" s="77">
        <v>0.10891000000000001</v>
      </c>
      <c r="J31" s="66" t="s">
        <v>391</v>
      </c>
    </row>
    <row r="32" spans="1:10" s="67" customFormat="1" x14ac:dyDescent="0.25">
      <c r="A32" s="79">
        <v>229</v>
      </c>
      <c r="B32" s="80" t="s">
        <v>157</v>
      </c>
      <c r="C32" s="81" t="s">
        <v>125</v>
      </c>
      <c r="D32" s="76">
        <v>46</v>
      </c>
      <c r="E32" s="78">
        <v>0</v>
      </c>
      <c r="F32" s="78">
        <v>0</v>
      </c>
      <c r="G32" s="78">
        <v>0</v>
      </c>
      <c r="H32" s="77">
        <v>0.10891000000000001</v>
      </c>
      <c r="I32" s="77">
        <v>0.10891000000000001</v>
      </c>
      <c r="J32" s="66" t="s">
        <v>391</v>
      </c>
    </row>
    <row r="33" spans="1:10" s="67" customFormat="1" x14ac:dyDescent="0.25">
      <c r="A33" s="79">
        <v>230</v>
      </c>
      <c r="B33" s="80" t="s">
        <v>158</v>
      </c>
      <c r="C33" s="81" t="s">
        <v>125</v>
      </c>
      <c r="D33" s="76">
        <v>46</v>
      </c>
      <c r="E33" s="78">
        <v>0</v>
      </c>
      <c r="F33" s="78">
        <v>0</v>
      </c>
      <c r="G33" s="78">
        <v>0</v>
      </c>
      <c r="H33" s="77">
        <v>0.10891000000000001</v>
      </c>
      <c r="I33" s="77">
        <v>0.10891000000000001</v>
      </c>
      <c r="J33" s="66" t="s">
        <v>391</v>
      </c>
    </row>
    <row r="34" spans="1:10" s="67" customFormat="1" x14ac:dyDescent="0.25">
      <c r="A34" s="79">
        <v>231</v>
      </c>
      <c r="B34" s="80" t="s">
        <v>159</v>
      </c>
      <c r="C34" s="81" t="s">
        <v>125</v>
      </c>
      <c r="D34" s="76">
        <v>20</v>
      </c>
      <c r="E34" s="78">
        <v>0</v>
      </c>
      <c r="F34" s="78">
        <v>0</v>
      </c>
      <c r="G34" s="78">
        <v>0</v>
      </c>
      <c r="H34" s="77">
        <v>0.10292</v>
      </c>
      <c r="I34" s="77">
        <v>0.10292</v>
      </c>
      <c r="J34" s="66" t="s">
        <v>391</v>
      </c>
    </row>
    <row r="35" spans="1:10" s="67" customFormat="1" x14ac:dyDescent="0.25">
      <c r="A35" s="79">
        <v>232</v>
      </c>
      <c r="B35" s="80" t="s">
        <v>160</v>
      </c>
      <c r="C35" s="81" t="s">
        <v>125</v>
      </c>
      <c r="D35" s="76">
        <v>20</v>
      </c>
      <c r="E35" s="78">
        <v>0</v>
      </c>
      <c r="F35" s="78">
        <v>0</v>
      </c>
      <c r="G35" s="78">
        <v>0</v>
      </c>
      <c r="H35" s="77">
        <v>0.10292</v>
      </c>
      <c r="I35" s="77">
        <v>0.10292</v>
      </c>
      <c r="J35" s="66" t="s">
        <v>391</v>
      </c>
    </row>
    <row r="36" spans="1:10" s="67" customFormat="1" x14ac:dyDescent="0.25">
      <c r="A36" s="79">
        <v>234</v>
      </c>
      <c r="B36" s="80" t="s">
        <v>161</v>
      </c>
      <c r="C36" s="81" t="s">
        <v>125</v>
      </c>
      <c r="D36" s="76">
        <v>20</v>
      </c>
      <c r="E36" s="78">
        <v>0</v>
      </c>
      <c r="F36" s="78">
        <v>0</v>
      </c>
      <c r="G36" s="78">
        <v>0</v>
      </c>
      <c r="H36" s="77">
        <v>0.10292</v>
      </c>
      <c r="I36" s="77">
        <v>0.10292</v>
      </c>
      <c r="J36" s="66" t="s">
        <v>391</v>
      </c>
    </row>
    <row r="37" spans="1:10" s="67" customFormat="1" x14ac:dyDescent="0.25">
      <c r="A37" s="79">
        <v>233</v>
      </c>
      <c r="B37" s="80" t="s">
        <v>162</v>
      </c>
      <c r="C37" s="81" t="s">
        <v>125</v>
      </c>
      <c r="D37" s="76">
        <v>20</v>
      </c>
      <c r="E37" s="78">
        <v>0</v>
      </c>
      <c r="F37" s="78">
        <v>0</v>
      </c>
      <c r="G37" s="78">
        <v>0</v>
      </c>
      <c r="H37" s="77">
        <v>0.10292</v>
      </c>
      <c r="I37" s="77">
        <v>0.10292</v>
      </c>
      <c r="J37" s="66" t="s">
        <v>391</v>
      </c>
    </row>
    <row r="38" spans="1:10" s="67" customFormat="1" x14ac:dyDescent="0.25">
      <c r="A38" s="79">
        <v>237</v>
      </c>
      <c r="B38" s="80" t="s">
        <v>163</v>
      </c>
      <c r="C38" s="81" t="s">
        <v>125</v>
      </c>
      <c r="D38" s="76">
        <v>23.5</v>
      </c>
      <c r="E38" s="78">
        <v>0</v>
      </c>
      <c r="F38" s="78">
        <v>0</v>
      </c>
      <c r="G38" s="78">
        <v>0</v>
      </c>
      <c r="H38" s="77">
        <v>0.16238</v>
      </c>
      <c r="I38" s="77">
        <v>0.16238</v>
      </c>
      <c r="J38" s="66" t="s">
        <v>391</v>
      </c>
    </row>
    <row r="39" spans="1:10" s="67" customFormat="1" x14ac:dyDescent="0.25">
      <c r="A39" s="79">
        <v>238</v>
      </c>
      <c r="B39" s="80" t="s">
        <v>164</v>
      </c>
      <c r="C39" s="81" t="s">
        <v>125</v>
      </c>
      <c r="D39" s="76">
        <v>23</v>
      </c>
      <c r="E39" s="78">
        <v>0</v>
      </c>
      <c r="F39" s="78">
        <v>0</v>
      </c>
      <c r="G39" s="78">
        <v>0</v>
      </c>
      <c r="H39" s="77">
        <v>0.16238</v>
      </c>
      <c r="I39" s="77">
        <v>0.16238</v>
      </c>
      <c r="J39" s="66" t="s">
        <v>391</v>
      </c>
    </row>
    <row r="40" spans="1:10" s="67" customFormat="1" x14ac:dyDescent="0.25">
      <c r="A40" s="79">
        <v>240</v>
      </c>
      <c r="B40" s="80" t="s">
        <v>165</v>
      </c>
      <c r="C40" s="81" t="s">
        <v>125</v>
      </c>
      <c r="D40" s="76">
        <v>23.5</v>
      </c>
      <c r="E40" s="78">
        <v>0</v>
      </c>
      <c r="F40" s="78">
        <v>0</v>
      </c>
      <c r="G40" s="78">
        <v>0</v>
      </c>
      <c r="H40" s="77">
        <v>0.16238</v>
      </c>
      <c r="I40" s="77">
        <v>0.16238</v>
      </c>
      <c r="J40" s="66" t="s">
        <v>391</v>
      </c>
    </row>
    <row r="41" spans="1:10" s="67" customFormat="1" x14ac:dyDescent="0.25">
      <c r="A41" s="79">
        <v>239</v>
      </c>
      <c r="B41" s="80" t="s">
        <v>166</v>
      </c>
      <c r="C41" s="81" t="s">
        <v>125</v>
      </c>
      <c r="D41" s="76">
        <v>23.5</v>
      </c>
      <c r="E41" s="78">
        <v>0</v>
      </c>
      <c r="F41" s="78">
        <v>0</v>
      </c>
      <c r="G41" s="78">
        <v>0</v>
      </c>
      <c r="H41" s="77">
        <v>0.16238</v>
      </c>
      <c r="I41" s="77">
        <v>0.16238</v>
      </c>
      <c r="J41" s="66" t="s">
        <v>391</v>
      </c>
    </row>
    <row r="42" spans="1:10" s="67" customFormat="1" x14ac:dyDescent="0.25">
      <c r="A42" s="79">
        <v>25707</v>
      </c>
      <c r="B42" s="80" t="s">
        <v>167</v>
      </c>
      <c r="C42" s="81" t="s">
        <v>125</v>
      </c>
      <c r="D42" s="76">
        <v>13</v>
      </c>
      <c r="E42" s="78">
        <v>190</v>
      </c>
      <c r="F42" s="78">
        <v>11</v>
      </c>
      <c r="G42" s="78">
        <v>17</v>
      </c>
      <c r="H42" s="77">
        <f t="shared" ref="H42:H101" si="2">E42*F42*G42/1000000</f>
        <v>3.5529999999999999E-2</v>
      </c>
      <c r="I42" s="77">
        <v>3.5529999999999999E-2</v>
      </c>
      <c r="J42" s="66"/>
    </row>
    <row r="43" spans="1:10" s="67" customFormat="1" x14ac:dyDescent="0.25">
      <c r="A43" s="79">
        <v>25708</v>
      </c>
      <c r="B43" s="80" t="s">
        <v>168</v>
      </c>
      <c r="C43" s="81" t="s">
        <v>125</v>
      </c>
      <c r="D43" s="76">
        <v>13</v>
      </c>
      <c r="E43" s="78">
        <v>190</v>
      </c>
      <c r="F43" s="78">
        <v>11</v>
      </c>
      <c r="G43" s="78">
        <v>17</v>
      </c>
      <c r="H43" s="77">
        <f t="shared" si="2"/>
        <v>3.5529999999999999E-2</v>
      </c>
      <c r="I43" s="77">
        <v>3.5529999999999999E-2</v>
      </c>
      <c r="J43" s="66"/>
    </row>
    <row r="44" spans="1:10" s="67" customFormat="1" x14ac:dyDescent="0.25">
      <c r="A44" s="79">
        <v>25710</v>
      </c>
      <c r="B44" s="80" t="s">
        <v>169</v>
      </c>
      <c r="C44" s="81" t="s">
        <v>125</v>
      </c>
      <c r="D44" s="76">
        <v>13</v>
      </c>
      <c r="E44" s="78">
        <v>190</v>
      </c>
      <c r="F44" s="78">
        <v>11</v>
      </c>
      <c r="G44" s="78">
        <v>17</v>
      </c>
      <c r="H44" s="77">
        <f t="shared" si="2"/>
        <v>3.5529999999999999E-2</v>
      </c>
      <c r="I44" s="77">
        <v>3.5529999999999999E-2</v>
      </c>
      <c r="J44" s="66"/>
    </row>
    <row r="45" spans="1:10" s="67" customFormat="1" x14ac:dyDescent="0.25">
      <c r="A45" s="79">
        <v>25709</v>
      </c>
      <c r="B45" s="80" t="s">
        <v>170</v>
      </c>
      <c r="C45" s="81" t="s">
        <v>125</v>
      </c>
      <c r="D45" s="76">
        <v>13</v>
      </c>
      <c r="E45" s="78">
        <v>190</v>
      </c>
      <c r="F45" s="78">
        <v>11</v>
      </c>
      <c r="G45" s="78">
        <v>17</v>
      </c>
      <c r="H45" s="77">
        <f t="shared" si="2"/>
        <v>3.5529999999999999E-2</v>
      </c>
      <c r="I45" s="77">
        <v>3.5529999999999999E-2</v>
      </c>
      <c r="J45" s="66"/>
    </row>
    <row r="46" spans="1:10" s="67" customFormat="1" x14ac:dyDescent="0.25">
      <c r="A46" s="79">
        <v>25711</v>
      </c>
      <c r="B46" s="80" t="s">
        <v>14</v>
      </c>
      <c r="C46" s="81" t="s">
        <v>125</v>
      </c>
      <c r="D46" s="76">
        <v>0</v>
      </c>
      <c r="E46" s="78">
        <v>0</v>
      </c>
      <c r="F46" s="78">
        <v>0</v>
      </c>
      <c r="G46" s="78">
        <v>0</v>
      </c>
      <c r="H46" s="77">
        <f t="shared" si="2"/>
        <v>0</v>
      </c>
      <c r="I46" s="77">
        <v>0</v>
      </c>
      <c r="J46" s="66"/>
    </row>
    <row r="47" spans="1:10" s="67" customFormat="1" x14ac:dyDescent="0.25">
      <c r="A47" s="79">
        <v>35</v>
      </c>
      <c r="B47" s="80" t="s">
        <v>171</v>
      </c>
      <c r="C47" s="81" t="s">
        <v>125</v>
      </c>
      <c r="D47" s="76">
        <v>9</v>
      </c>
      <c r="E47" s="78">
        <v>90</v>
      </c>
      <c r="F47" s="78">
        <v>45</v>
      </c>
      <c r="G47" s="78">
        <v>9</v>
      </c>
      <c r="H47" s="77">
        <f t="shared" si="2"/>
        <v>3.6450000000000003E-2</v>
      </c>
      <c r="I47" s="77">
        <v>3.6450000000000003E-2</v>
      </c>
      <c r="J47" s="66"/>
    </row>
    <row r="48" spans="1:10" s="67" customFormat="1" x14ac:dyDescent="0.25">
      <c r="A48" s="79">
        <v>36</v>
      </c>
      <c r="B48" s="80" t="s">
        <v>172</v>
      </c>
      <c r="C48" s="81" t="s">
        <v>125</v>
      </c>
      <c r="D48" s="76">
        <v>9</v>
      </c>
      <c r="E48" s="78">
        <v>90</v>
      </c>
      <c r="F48" s="78">
        <v>45</v>
      </c>
      <c r="G48" s="78">
        <v>9</v>
      </c>
      <c r="H48" s="77">
        <f t="shared" si="2"/>
        <v>3.6450000000000003E-2</v>
      </c>
      <c r="I48" s="77">
        <v>3.6450000000000003E-2</v>
      </c>
      <c r="J48" s="66"/>
    </row>
    <row r="49" spans="1:10" s="67" customFormat="1" x14ac:dyDescent="0.25">
      <c r="A49" s="79">
        <v>37</v>
      </c>
      <c r="B49" s="80" t="s">
        <v>173</v>
      </c>
      <c r="C49" s="81" t="s">
        <v>125</v>
      </c>
      <c r="D49" s="76">
        <v>9</v>
      </c>
      <c r="E49" s="78">
        <v>90</v>
      </c>
      <c r="F49" s="78">
        <v>45</v>
      </c>
      <c r="G49" s="78">
        <v>9</v>
      </c>
      <c r="H49" s="77">
        <f t="shared" si="2"/>
        <v>3.6450000000000003E-2</v>
      </c>
      <c r="I49" s="77">
        <v>3.6450000000000003E-2</v>
      </c>
      <c r="J49" s="66"/>
    </row>
    <row r="50" spans="1:10" s="67" customFormat="1" x14ac:dyDescent="0.25">
      <c r="A50" s="79">
        <v>294</v>
      </c>
      <c r="B50" s="80" t="s">
        <v>174</v>
      </c>
      <c r="C50" s="81" t="s">
        <v>125</v>
      </c>
      <c r="D50" s="76">
        <v>9</v>
      </c>
      <c r="E50" s="78">
        <v>90</v>
      </c>
      <c r="F50" s="78">
        <v>45</v>
      </c>
      <c r="G50" s="78">
        <v>9</v>
      </c>
      <c r="H50" s="77">
        <f t="shared" si="2"/>
        <v>3.6450000000000003E-2</v>
      </c>
      <c r="I50" s="77">
        <v>3.6450000000000003E-2</v>
      </c>
      <c r="J50" s="66"/>
    </row>
    <row r="51" spans="1:10" s="67" customFormat="1" x14ac:dyDescent="0.25">
      <c r="A51" s="79">
        <v>39</v>
      </c>
      <c r="B51" s="80" t="s">
        <v>175</v>
      </c>
      <c r="C51" s="81" t="s">
        <v>125</v>
      </c>
      <c r="D51" s="76">
        <v>15</v>
      </c>
      <c r="E51" s="78">
        <v>90</v>
      </c>
      <c r="F51" s="78">
        <v>75</v>
      </c>
      <c r="G51" s="78">
        <v>11</v>
      </c>
      <c r="H51" s="77">
        <f t="shared" si="2"/>
        <v>7.4249999999999997E-2</v>
      </c>
      <c r="I51" s="77">
        <v>7.4249999999999997E-2</v>
      </c>
      <c r="J51" s="66"/>
    </row>
    <row r="52" spans="1:10" s="67" customFormat="1" x14ac:dyDescent="0.25">
      <c r="A52" s="79">
        <v>40</v>
      </c>
      <c r="B52" s="80" t="s">
        <v>176</v>
      </c>
      <c r="C52" s="81" t="s">
        <v>125</v>
      </c>
      <c r="D52" s="76">
        <v>15</v>
      </c>
      <c r="E52" s="78">
        <v>90</v>
      </c>
      <c r="F52" s="78">
        <v>75</v>
      </c>
      <c r="G52" s="78">
        <v>11</v>
      </c>
      <c r="H52" s="77">
        <f t="shared" si="2"/>
        <v>7.4249999999999997E-2</v>
      </c>
      <c r="I52" s="77">
        <v>7.4249999999999997E-2</v>
      </c>
      <c r="J52" s="66"/>
    </row>
    <row r="53" spans="1:10" s="67" customFormat="1" x14ac:dyDescent="0.25">
      <c r="A53" s="79">
        <v>42</v>
      </c>
      <c r="B53" s="80" t="s">
        <v>177</v>
      </c>
      <c r="C53" s="81" t="s">
        <v>125</v>
      </c>
      <c r="D53" s="76">
        <v>15</v>
      </c>
      <c r="E53" s="78">
        <v>90</v>
      </c>
      <c r="F53" s="78">
        <v>75</v>
      </c>
      <c r="G53" s="78">
        <v>11</v>
      </c>
      <c r="H53" s="77">
        <f t="shared" si="2"/>
        <v>7.4249999999999997E-2</v>
      </c>
      <c r="I53" s="77">
        <v>7.4249999999999997E-2</v>
      </c>
      <c r="J53" s="66"/>
    </row>
    <row r="54" spans="1:10" s="67" customFormat="1" x14ac:dyDescent="0.25">
      <c r="A54" s="79">
        <v>295</v>
      </c>
      <c r="B54" s="80" t="s">
        <v>178</v>
      </c>
      <c r="C54" s="81" t="s">
        <v>125</v>
      </c>
      <c r="D54" s="76">
        <v>15</v>
      </c>
      <c r="E54" s="78">
        <v>90</v>
      </c>
      <c r="F54" s="78">
        <v>75</v>
      </c>
      <c r="G54" s="78">
        <v>11</v>
      </c>
      <c r="H54" s="77">
        <f t="shared" si="2"/>
        <v>7.4249999999999997E-2</v>
      </c>
      <c r="I54" s="77">
        <v>7.4249999999999997E-2</v>
      </c>
      <c r="J54" s="66"/>
    </row>
    <row r="55" spans="1:10" s="67" customFormat="1" x14ac:dyDescent="0.25">
      <c r="A55" s="79">
        <v>44</v>
      </c>
      <c r="B55" s="80" t="s">
        <v>179</v>
      </c>
      <c r="C55" s="81" t="s">
        <v>125</v>
      </c>
      <c r="D55" s="76">
        <v>16</v>
      </c>
      <c r="E55" s="78">
        <v>115</v>
      </c>
      <c r="F55" s="78">
        <v>75</v>
      </c>
      <c r="G55" s="78">
        <v>7</v>
      </c>
      <c r="H55" s="77">
        <f t="shared" si="2"/>
        <v>6.0374999999999998E-2</v>
      </c>
      <c r="I55" s="77">
        <v>6.0374999999999998E-2</v>
      </c>
      <c r="J55" s="66"/>
    </row>
    <row r="56" spans="1:10" s="67" customFormat="1" x14ac:dyDescent="0.25">
      <c r="A56" s="79">
        <v>45</v>
      </c>
      <c r="B56" s="80" t="s">
        <v>180</v>
      </c>
      <c r="C56" s="81" t="s">
        <v>125</v>
      </c>
      <c r="D56" s="76">
        <v>16</v>
      </c>
      <c r="E56" s="78">
        <v>115</v>
      </c>
      <c r="F56" s="78">
        <v>75</v>
      </c>
      <c r="G56" s="78">
        <v>7</v>
      </c>
      <c r="H56" s="77">
        <f t="shared" si="2"/>
        <v>6.0374999999999998E-2</v>
      </c>
      <c r="I56" s="77">
        <v>6.0374999999999998E-2</v>
      </c>
      <c r="J56" s="66"/>
    </row>
    <row r="57" spans="1:10" s="67" customFormat="1" x14ac:dyDescent="0.25">
      <c r="A57" s="79">
        <v>46</v>
      </c>
      <c r="B57" s="80" t="s">
        <v>181</v>
      </c>
      <c r="C57" s="81" t="s">
        <v>125</v>
      </c>
      <c r="D57" s="76">
        <v>16</v>
      </c>
      <c r="E57" s="78">
        <v>115</v>
      </c>
      <c r="F57" s="78">
        <v>75</v>
      </c>
      <c r="G57" s="78">
        <v>7</v>
      </c>
      <c r="H57" s="77">
        <f t="shared" si="2"/>
        <v>6.0374999999999998E-2</v>
      </c>
      <c r="I57" s="77">
        <v>6.0374999999999998E-2</v>
      </c>
      <c r="J57" s="66"/>
    </row>
    <row r="58" spans="1:10" s="67" customFormat="1" x14ac:dyDescent="0.25">
      <c r="A58" s="79">
        <v>283</v>
      </c>
      <c r="B58" s="80" t="s">
        <v>182</v>
      </c>
      <c r="C58" s="81" t="s">
        <v>125</v>
      </c>
      <c r="D58" s="76">
        <v>16</v>
      </c>
      <c r="E58" s="78">
        <v>115</v>
      </c>
      <c r="F58" s="78">
        <v>75</v>
      </c>
      <c r="G58" s="78">
        <v>7</v>
      </c>
      <c r="H58" s="77">
        <f t="shared" si="2"/>
        <v>6.0374999999999998E-2</v>
      </c>
      <c r="I58" s="77">
        <v>6.0374999999999998E-2</v>
      </c>
      <c r="J58" s="66"/>
    </row>
    <row r="59" spans="1:10" s="67" customFormat="1" x14ac:dyDescent="0.25">
      <c r="A59" s="79">
        <v>48</v>
      </c>
      <c r="B59" s="80" t="s">
        <v>183</v>
      </c>
      <c r="C59" s="81" t="s">
        <v>125</v>
      </c>
      <c r="D59" s="76">
        <v>22</v>
      </c>
      <c r="E59" s="78">
        <v>150</v>
      </c>
      <c r="F59" s="78">
        <v>80</v>
      </c>
      <c r="G59" s="78">
        <v>8</v>
      </c>
      <c r="H59" s="77">
        <f t="shared" si="2"/>
        <v>9.6000000000000002E-2</v>
      </c>
      <c r="I59" s="77">
        <v>9.6000000000000002E-2</v>
      </c>
      <c r="J59" s="66"/>
    </row>
    <row r="60" spans="1:10" s="67" customFormat="1" x14ac:dyDescent="0.25">
      <c r="A60" s="79">
        <v>49</v>
      </c>
      <c r="B60" s="80" t="s">
        <v>184</v>
      </c>
      <c r="C60" s="81" t="s">
        <v>125</v>
      </c>
      <c r="D60" s="76">
        <v>22</v>
      </c>
      <c r="E60" s="78">
        <v>150</v>
      </c>
      <c r="F60" s="78">
        <v>80</v>
      </c>
      <c r="G60" s="78">
        <v>8</v>
      </c>
      <c r="H60" s="77">
        <f t="shared" si="2"/>
        <v>9.6000000000000002E-2</v>
      </c>
      <c r="I60" s="77">
        <v>9.6000000000000002E-2</v>
      </c>
      <c r="J60" s="66"/>
    </row>
    <row r="61" spans="1:10" s="67" customFormat="1" x14ac:dyDescent="0.25">
      <c r="A61" s="79">
        <v>50</v>
      </c>
      <c r="B61" s="80" t="s">
        <v>185</v>
      </c>
      <c r="C61" s="81" t="s">
        <v>125</v>
      </c>
      <c r="D61" s="76">
        <v>22</v>
      </c>
      <c r="E61" s="78">
        <v>150</v>
      </c>
      <c r="F61" s="78">
        <v>80</v>
      </c>
      <c r="G61" s="78">
        <v>8</v>
      </c>
      <c r="H61" s="77">
        <f t="shared" si="2"/>
        <v>9.6000000000000002E-2</v>
      </c>
      <c r="I61" s="77">
        <v>9.6000000000000002E-2</v>
      </c>
      <c r="J61" s="66"/>
    </row>
    <row r="62" spans="1:10" s="67" customFormat="1" x14ac:dyDescent="0.25">
      <c r="A62" s="79">
        <v>298</v>
      </c>
      <c r="B62" s="80" t="s">
        <v>186</v>
      </c>
      <c r="C62" s="81" t="s">
        <v>125</v>
      </c>
      <c r="D62" s="76">
        <v>22</v>
      </c>
      <c r="E62" s="78">
        <v>150</v>
      </c>
      <c r="F62" s="78">
        <v>80</v>
      </c>
      <c r="G62" s="78">
        <v>8</v>
      </c>
      <c r="H62" s="77">
        <f t="shared" si="2"/>
        <v>9.6000000000000002E-2</v>
      </c>
      <c r="I62" s="77">
        <v>9.6000000000000002E-2</v>
      </c>
      <c r="J62" s="66"/>
    </row>
    <row r="63" spans="1:10" s="67" customFormat="1" x14ac:dyDescent="0.25">
      <c r="A63" s="79">
        <v>52</v>
      </c>
      <c r="B63" s="80" t="s">
        <v>187</v>
      </c>
      <c r="C63" s="81" t="s">
        <v>125</v>
      </c>
      <c r="D63" s="76">
        <v>25</v>
      </c>
      <c r="E63" s="78">
        <v>180</v>
      </c>
      <c r="F63" s="78">
        <v>85</v>
      </c>
      <c r="G63" s="78">
        <v>9</v>
      </c>
      <c r="H63" s="77">
        <f t="shared" si="2"/>
        <v>0.13769999999999999</v>
      </c>
      <c r="I63" s="77">
        <v>0.13769999999999999</v>
      </c>
      <c r="J63" s="66"/>
    </row>
    <row r="64" spans="1:10" s="67" customFormat="1" x14ac:dyDescent="0.25">
      <c r="A64" s="79">
        <v>53</v>
      </c>
      <c r="B64" s="80" t="s">
        <v>188</v>
      </c>
      <c r="C64" s="81" t="s">
        <v>125</v>
      </c>
      <c r="D64" s="76">
        <v>25</v>
      </c>
      <c r="E64" s="78">
        <v>180</v>
      </c>
      <c r="F64" s="78">
        <v>85</v>
      </c>
      <c r="G64" s="78">
        <v>9</v>
      </c>
      <c r="H64" s="77">
        <f t="shared" si="2"/>
        <v>0.13769999999999999</v>
      </c>
      <c r="I64" s="77">
        <v>0.13769999999999999</v>
      </c>
      <c r="J64" s="66"/>
    </row>
    <row r="65" spans="1:10" s="67" customFormat="1" x14ac:dyDescent="0.25">
      <c r="A65" s="79">
        <v>54</v>
      </c>
      <c r="B65" s="80" t="s">
        <v>189</v>
      </c>
      <c r="C65" s="81" t="s">
        <v>125</v>
      </c>
      <c r="D65" s="76">
        <v>25</v>
      </c>
      <c r="E65" s="78">
        <v>180</v>
      </c>
      <c r="F65" s="78">
        <v>85</v>
      </c>
      <c r="G65" s="78">
        <v>9</v>
      </c>
      <c r="H65" s="77">
        <f t="shared" si="2"/>
        <v>0.13769999999999999</v>
      </c>
      <c r="I65" s="77">
        <v>0.13769999999999999</v>
      </c>
      <c r="J65" s="66"/>
    </row>
    <row r="66" spans="1:10" s="67" customFormat="1" x14ac:dyDescent="0.25">
      <c r="A66" s="79">
        <v>299</v>
      </c>
      <c r="B66" s="80" t="s">
        <v>190</v>
      </c>
      <c r="C66" s="81" t="s">
        <v>125</v>
      </c>
      <c r="D66" s="76">
        <v>25</v>
      </c>
      <c r="E66" s="78">
        <v>180</v>
      </c>
      <c r="F66" s="78">
        <v>85</v>
      </c>
      <c r="G66" s="78">
        <v>9</v>
      </c>
      <c r="H66" s="77">
        <f t="shared" si="2"/>
        <v>0.13769999999999999</v>
      </c>
      <c r="I66" s="77">
        <v>0.13769999999999999</v>
      </c>
      <c r="J66" s="66"/>
    </row>
    <row r="67" spans="1:10" s="67" customFormat="1" x14ac:dyDescent="0.25">
      <c r="A67" s="79">
        <v>56</v>
      </c>
      <c r="B67" s="80" t="s">
        <v>191</v>
      </c>
      <c r="C67" s="81" t="s">
        <v>125</v>
      </c>
      <c r="D67" s="76">
        <v>26</v>
      </c>
      <c r="E67" s="78">
        <v>200</v>
      </c>
      <c r="F67" s="78">
        <v>88</v>
      </c>
      <c r="G67" s="78">
        <v>9</v>
      </c>
      <c r="H67" s="77">
        <f t="shared" si="2"/>
        <v>0.15840000000000001</v>
      </c>
      <c r="I67" s="77">
        <v>0.15840000000000001</v>
      </c>
      <c r="J67" s="66"/>
    </row>
    <row r="68" spans="1:10" s="67" customFormat="1" x14ac:dyDescent="0.25">
      <c r="A68" s="79">
        <v>61</v>
      </c>
      <c r="B68" s="80" t="s">
        <v>192</v>
      </c>
      <c r="C68" s="81" t="s">
        <v>125</v>
      </c>
      <c r="D68" s="76">
        <v>26</v>
      </c>
      <c r="E68" s="78">
        <v>200</v>
      </c>
      <c r="F68" s="78">
        <v>88</v>
      </c>
      <c r="G68" s="78">
        <v>9</v>
      </c>
      <c r="H68" s="77">
        <f t="shared" si="2"/>
        <v>0.15840000000000001</v>
      </c>
      <c r="I68" s="77">
        <v>0.15840000000000001</v>
      </c>
      <c r="J68" s="66"/>
    </row>
    <row r="69" spans="1:10" s="67" customFormat="1" x14ac:dyDescent="0.25">
      <c r="A69" s="79">
        <v>58</v>
      </c>
      <c r="B69" s="80" t="s">
        <v>193</v>
      </c>
      <c r="C69" s="81" t="s">
        <v>125</v>
      </c>
      <c r="D69" s="76">
        <v>26</v>
      </c>
      <c r="E69" s="78">
        <v>200</v>
      </c>
      <c r="F69" s="78">
        <v>88</v>
      </c>
      <c r="G69" s="78">
        <v>9</v>
      </c>
      <c r="H69" s="77">
        <f t="shared" si="2"/>
        <v>0.15840000000000001</v>
      </c>
      <c r="I69" s="77">
        <v>0.15840000000000001</v>
      </c>
      <c r="J69" s="66"/>
    </row>
    <row r="70" spans="1:10" s="67" customFormat="1" x14ac:dyDescent="0.25">
      <c r="A70" s="79">
        <v>300</v>
      </c>
      <c r="B70" s="80" t="s">
        <v>194</v>
      </c>
      <c r="C70" s="81" t="s">
        <v>125</v>
      </c>
      <c r="D70" s="76">
        <v>26</v>
      </c>
      <c r="E70" s="78">
        <v>200</v>
      </c>
      <c r="F70" s="78">
        <v>88</v>
      </c>
      <c r="G70" s="78">
        <v>9</v>
      </c>
      <c r="H70" s="77">
        <f t="shared" si="2"/>
        <v>0.15840000000000001</v>
      </c>
      <c r="I70" s="77">
        <v>0.15840000000000001</v>
      </c>
      <c r="J70" s="66"/>
    </row>
    <row r="71" spans="1:10" s="67" customFormat="1" x14ac:dyDescent="0.25">
      <c r="A71" s="79">
        <v>60</v>
      </c>
      <c r="B71" s="80" t="s">
        <v>195</v>
      </c>
      <c r="C71" s="81" t="s">
        <v>125</v>
      </c>
      <c r="D71" s="76">
        <v>30</v>
      </c>
      <c r="E71" s="78">
        <v>220</v>
      </c>
      <c r="F71" s="78">
        <v>88</v>
      </c>
      <c r="G71" s="78">
        <v>9</v>
      </c>
      <c r="H71" s="77">
        <f t="shared" si="2"/>
        <v>0.17424000000000001</v>
      </c>
      <c r="I71" s="77">
        <v>0.17424000000000001</v>
      </c>
      <c r="J71" s="66"/>
    </row>
    <row r="72" spans="1:10" s="67" customFormat="1" x14ac:dyDescent="0.25">
      <c r="A72" s="79">
        <v>120</v>
      </c>
      <c r="B72" s="80" t="s">
        <v>196</v>
      </c>
      <c r="C72" s="81" t="s">
        <v>125</v>
      </c>
      <c r="D72" s="76">
        <v>30</v>
      </c>
      <c r="E72" s="78">
        <v>220</v>
      </c>
      <c r="F72" s="78">
        <v>88</v>
      </c>
      <c r="G72" s="78">
        <v>9</v>
      </c>
      <c r="H72" s="77">
        <f t="shared" si="2"/>
        <v>0.17424000000000001</v>
      </c>
      <c r="I72" s="77">
        <v>0.17424000000000001</v>
      </c>
      <c r="J72" s="66"/>
    </row>
    <row r="73" spans="1:10" s="67" customFormat="1" x14ac:dyDescent="0.25">
      <c r="A73" s="79">
        <v>62</v>
      </c>
      <c r="B73" s="80" t="s">
        <v>197</v>
      </c>
      <c r="C73" s="81" t="s">
        <v>125</v>
      </c>
      <c r="D73" s="76">
        <v>30</v>
      </c>
      <c r="E73" s="78">
        <v>220</v>
      </c>
      <c r="F73" s="78">
        <v>88</v>
      </c>
      <c r="G73" s="78">
        <v>9</v>
      </c>
      <c r="H73" s="77">
        <f t="shared" si="2"/>
        <v>0.17424000000000001</v>
      </c>
      <c r="I73" s="77">
        <v>0.17424000000000001</v>
      </c>
      <c r="J73" s="66"/>
    </row>
    <row r="74" spans="1:10" s="67" customFormat="1" x14ac:dyDescent="0.25">
      <c r="A74" s="79">
        <v>301</v>
      </c>
      <c r="B74" s="80" t="s">
        <v>198</v>
      </c>
      <c r="C74" s="81" t="s">
        <v>125</v>
      </c>
      <c r="D74" s="76">
        <v>30</v>
      </c>
      <c r="E74" s="78">
        <v>220</v>
      </c>
      <c r="F74" s="78">
        <v>88</v>
      </c>
      <c r="G74" s="78">
        <v>9</v>
      </c>
      <c r="H74" s="77">
        <f t="shared" si="2"/>
        <v>0.17424000000000001</v>
      </c>
      <c r="I74" s="77">
        <v>0.17424000000000001</v>
      </c>
      <c r="J74" s="66"/>
    </row>
    <row r="75" spans="1:10" s="67" customFormat="1" x14ac:dyDescent="0.25">
      <c r="A75" s="79">
        <v>112</v>
      </c>
      <c r="B75" s="80" t="s">
        <v>199</v>
      </c>
      <c r="C75" s="81" t="s">
        <v>125</v>
      </c>
      <c r="D75" s="76">
        <v>15</v>
      </c>
      <c r="E75" s="78">
        <v>90</v>
      </c>
      <c r="F75" s="78">
        <v>75</v>
      </c>
      <c r="G75" s="78">
        <v>11</v>
      </c>
      <c r="H75" s="77">
        <f t="shared" si="2"/>
        <v>7.4249999999999997E-2</v>
      </c>
      <c r="I75" s="77">
        <v>7.4249999999999997E-2</v>
      </c>
      <c r="J75" s="66"/>
    </row>
    <row r="76" spans="1:10" s="67" customFormat="1" x14ac:dyDescent="0.25">
      <c r="A76" s="79">
        <v>113</v>
      </c>
      <c r="B76" s="80" t="s">
        <v>200</v>
      </c>
      <c r="C76" s="81" t="s">
        <v>125</v>
      </c>
      <c r="D76" s="76">
        <v>15</v>
      </c>
      <c r="E76" s="78">
        <v>90</v>
      </c>
      <c r="F76" s="78">
        <v>75</v>
      </c>
      <c r="G76" s="78">
        <v>11</v>
      </c>
      <c r="H76" s="77">
        <f t="shared" si="2"/>
        <v>7.4249999999999997E-2</v>
      </c>
      <c r="I76" s="77">
        <v>7.4249999999999997E-2</v>
      </c>
      <c r="J76" s="66"/>
    </row>
    <row r="77" spans="1:10" s="67" customFormat="1" x14ac:dyDescent="0.25">
      <c r="A77" s="79">
        <v>114</v>
      </c>
      <c r="B77" s="80" t="s">
        <v>201</v>
      </c>
      <c r="C77" s="81" t="s">
        <v>125</v>
      </c>
      <c r="D77" s="76">
        <v>15</v>
      </c>
      <c r="E77" s="78">
        <v>90</v>
      </c>
      <c r="F77" s="78">
        <v>75</v>
      </c>
      <c r="G77" s="78">
        <v>11</v>
      </c>
      <c r="H77" s="77">
        <f t="shared" si="2"/>
        <v>7.4249999999999997E-2</v>
      </c>
      <c r="I77" s="77">
        <v>7.4249999999999997E-2</v>
      </c>
      <c r="J77" s="66"/>
    </row>
    <row r="78" spans="1:10" s="67" customFormat="1" x14ac:dyDescent="0.25">
      <c r="A78" s="79">
        <v>296</v>
      </c>
      <c r="B78" s="80" t="s">
        <v>202</v>
      </c>
      <c r="C78" s="81" t="s">
        <v>125</v>
      </c>
      <c r="D78" s="76">
        <v>15</v>
      </c>
      <c r="E78" s="78">
        <v>90</v>
      </c>
      <c r="F78" s="78">
        <v>75</v>
      </c>
      <c r="G78" s="78">
        <v>11</v>
      </c>
      <c r="H78" s="77">
        <f t="shared" si="2"/>
        <v>7.4249999999999997E-2</v>
      </c>
      <c r="I78" s="77">
        <v>7.4249999999999997E-2</v>
      </c>
      <c r="J78" s="66"/>
    </row>
    <row r="79" spans="1:10" s="67" customFormat="1" x14ac:dyDescent="0.25">
      <c r="A79" s="79">
        <v>116</v>
      </c>
      <c r="B79" s="80" t="s">
        <v>206</v>
      </c>
      <c r="C79" s="81" t="s">
        <v>125</v>
      </c>
      <c r="D79" s="76">
        <v>9</v>
      </c>
      <c r="E79" s="78">
        <v>90</v>
      </c>
      <c r="F79" s="78">
        <v>45</v>
      </c>
      <c r="G79" s="78">
        <v>9</v>
      </c>
      <c r="H79" s="77">
        <f t="shared" si="2"/>
        <v>3.6450000000000003E-2</v>
      </c>
      <c r="I79" s="77">
        <v>3.6450000000000003E-2</v>
      </c>
      <c r="J79" s="66"/>
    </row>
    <row r="80" spans="1:10" s="67" customFormat="1" x14ac:dyDescent="0.25">
      <c r="A80" s="79">
        <v>117</v>
      </c>
      <c r="B80" s="80" t="s">
        <v>207</v>
      </c>
      <c r="C80" s="81" t="s">
        <v>125</v>
      </c>
      <c r="D80" s="76">
        <v>9</v>
      </c>
      <c r="E80" s="78">
        <v>90</v>
      </c>
      <c r="F80" s="78">
        <v>45</v>
      </c>
      <c r="G80" s="78">
        <v>9</v>
      </c>
      <c r="H80" s="77">
        <f t="shared" si="2"/>
        <v>3.6450000000000003E-2</v>
      </c>
      <c r="I80" s="77">
        <v>3.6450000000000003E-2</v>
      </c>
      <c r="J80" s="66"/>
    </row>
    <row r="81" spans="1:10" s="67" customFormat="1" x14ac:dyDescent="0.25">
      <c r="A81" s="79">
        <v>118</v>
      </c>
      <c r="B81" s="80" t="s">
        <v>208</v>
      </c>
      <c r="C81" s="81" t="s">
        <v>125</v>
      </c>
      <c r="D81" s="76">
        <v>9</v>
      </c>
      <c r="E81" s="78">
        <v>90</v>
      </c>
      <c r="F81" s="78">
        <v>45</v>
      </c>
      <c r="G81" s="78">
        <v>9</v>
      </c>
      <c r="H81" s="77">
        <f t="shared" si="2"/>
        <v>3.6450000000000003E-2</v>
      </c>
      <c r="I81" s="77">
        <v>3.6450000000000003E-2</v>
      </c>
      <c r="J81" s="66"/>
    </row>
    <row r="82" spans="1:10" s="67" customFormat="1" x14ac:dyDescent="0.25">
      <c r="A82" s="79">
        <v>293</v>
      </c>
      <c r="B82" s="80" t="s">
        <v>209</v>
      </c>
      <c r="C82" s="81" t="s">
        <v>125</v>
      </c>
      <c r="D82" s="76">
        <v>9</v>
      </c>
      <c r="E82" s="78">
        <v>90</v>
      </c>
      <c r="F82" s="78">
        <v>45</v>
      </c>
      <c r="G82" s="78">
        <v>9</v>
      </c>
      <c r="H82" s="77">
        <f t="shared" si="2"/>
        <v>3.6450000000000003E-2</v>
      </c>
      <c r="I82" s="77">
        <v>3.6450000000000003E-2</v>
      </c>
      <c r="J82" s="66"/>
    </row>
    <row r="83" spans="1:10" s="67" customFormat="1" x14ac:dyDescent="0.25">
      <c r="A83" s="79">
        <v>963</v>
      </c>
      <c r="B83" s="80" t="s">
        <v>210</v>
      </c>
      <c r="C83" s="81" t="s">
        <v>125</v>
      </c>
      <c r="D83" s="76">
        <v>11</v>
      </c>
      <c r="E83" s="78">
        <v>110</v>
      </c>
      <c r="F83" s="78">
        <v>45</v>
      </c>
      <c r="G83" s="78">
        <v>9</v>
      </c>
      <c r="H83" s="77">
        <f t="shared" si="2"/>
        <v>4.4549999999999999E-2</v>
      </c>
      <c r="I83" s="77">
        <v>4.4549999999999999E-2</v>
      </c>
      <c r="J83" s="66"/>
    </row>
    <row r="84" spans="1:10" s="67" customFormat="1" x14ac:dyDescent="0.25">
      <c r="A84" s="79">
        <v>965</v>
      </c>
      <c r="B84" s="80" t="s">
        <v>211</v>
      </c>
      <c r="C84" s="81" t="s">
        <v>125</v>
      </c>
      <c r="D84" s="76">
        <v>11</v>
      </c>
      <c r="E84" s="78">
        <v>110</v>
      </c>
      <c r="F84" s="78">
        <v>45</v>
      </c>
      <c r="G84" s="78">
        <v>9</v>
      </c>
      <c r="H84" s="77">
        <f t="shared" si="2"/>
        <v>4.4549999999999999E-2</v>
      </c>
      <c r="I84" s="77">
        <v>4.4549999999999999E-2</v>
      </c>
      <c r="J84" s="66"/>
    </row>
    <row r="85" spans="1:10" s="67" customFormat="1" x14ac:dyDescent="0.25">
      <c r="A85" s="79">
        <v>966</v>
      </c>
      <c r="B85" s="80" t="s">
        <v>212</v>
      </c>
      <c r="C85" s="81" t="s">
        <v>125</v>
      </c>
      <c r="D85" s="76">
        <v>11</v>
      </c>
      <c r="E85" s="78">
        <v>110</v>
      </c>
      <c r="F85" s="78">
        <v>45</v>
      </c>
      <c r="G85" s="78">
        <v>9</v>
      </c>
      <c r="H85" s="77">
        <f t="shared" si="2"/>
        <v>4.4549999999999999E-2</v>
      </c>
      <c r="I85" s="77">
        <v>4.4549999999999999E-2</v>
      </c>
      <c r="J85" s="66"/>
    </row>
    <row r="86" spans="1:10" s="67" customFormat="1" x14ac:dyDescent="0.25">
      <c r="A86" s="79">
        <v>964</v>
      </c>
      <c r="B86" s="80" t="s">
        <v>213</v>
      </c>
      <c r="C86" s="81" t="s">
        <v>125</v>
      </c>
      <c r="D86" s="76">
        <v>11</v>
      </c>
      <c r="E86" s="78">
        <v>110</v>
      </c>
      <c r="F86" s="78">
        <v>45</v>
      </c>
      <c r="G86" s="78">
        <v>9</v>
      </c>
      <c r="H86" s="77">
        <f t="shared" si="2"/>
        <v>4.4549999999999999E-2</v>
      </c>
      <c r="I86" s="77">
        <v>4.4549999999999999E-2</v>
      </c>
      <c r="J86" s="66"/>
    </row>
    <row r="87" spans="1:10" s="67" customFormat="1" x14ac:dyDescent="0.25">
      <c r="A87" s="79">
        <v>2042</v>
      </c>
      <c r="B87" s="80" t="s">
        <v>214</v>
      </c>
      <c r="C87" s="81" t="s">
        <v>125</v>
      </c>
      <c r="D87" s="76">
        <v>15</v>
      </c>
      <c r="E87" s="78">
        <v>90</v>
      </c>
      <c r="F87" s="78">
        <v>75</v>
      </c>
      <c r="G87" s="78">
        <v>11</v>
      </c>
      <c r="H87" s="77">
        <f t="shared" si="2"/>
        <v>7.4249999999999997E-2</v>
      </c>
      <c r="I87" s="77">
        <v>7.4249999999999997E-2</v>
      </c>
      <c r="J87" s="66"/>
    </row>
    <row r="88" spans="1:10" s="67" customFormat="1" x14ac:dyDescent="0.25">
      <c r="A88" s="79">
        <v>2041</v>
      </c>
      <c r="B88" s="80" t="s">
        <v>215</v>
      </c>
      <c r="C88" s="81" t="s">
        <v>125</v>
      </c>
      <c r="D88" s="76">
        <v>15</v>
      </c>
      <c r="E88" s="78">
        <v>90</v>
      </c>
      <c r="F88" s="78">
        <v>75</v>
      </c>
      <c r="G88" s="78">
        <v>11</v>
      </c>
      <c r="H88" s="77">
        <f t="shared" si="2"/>
        <v>7.4249999999999997E-2</v>
      </c>
      <c r="I88" s="77">
        <v>7.4249999999999997E-2</v>
      </c>
      <c r="J88" s="66"/>
    </row>
    <row r="89" spans="1:10" s="67" customFormat="1" x14ac:dyDescent="0.25">
      <c r="A89" s="79">
        <v>2043</v>
      </c>
      <c r="B89" s="80" t="s">
        <v>216</v>
      </c>
      <c r="C89" s="81" t="s">
        <v>125</v>
      </c>
      <c r="D89" s="76">
        <v>15</v>
      </c>
      <c r="E89" s="78">
        <v>90</v>
      </c>
      <c r="F89" s="78">
        <v>75</v>
      </c>
      <c r="G89" s="78">
        <v>11</v>
      </c>
      <c r="H89" s="77">
        <f t="shared" si="2"/>
        <v>7.4249999999999997E-2</v>
      </c>
      <c r="I89" s="77">
        <v>7.4249999999999997E-2</v>
      </c>
      <c r="J89" s="66"/>
    </row>
    <row r="90" spans="1:10" s="67" customFormat="1" x14ac:dyDescent="0.25">
      <c r="A90" s="79">
        <v>2040</v>
      </c>
      <c r="B90" s="80" t="s">
        <v>217</v>
      </c>
      <c r="C90" s="81" t="s">
        <v>125</v>
      </c>
      <c r="D90" s="76">
        <v>15</v>
      </c>
      <c r="E90" s="78">
        <v>90</v>
      </c>
      <c r="F90" s="78">
        <v>75</v>
      </c>
      <c r="G90" s="78">
        <v>11</v>
      </c>
      <c r="H90" s="77">
        <f t="shared" si="2"/>
        <v>7.4249999999999997E-2</v>
      </c>
      <c r="I90" s="77">
        <v>7.4249999999999997E-2</v>
      </c>
      <c r="J90" s="66"/>
    </row>
    <row r="91" spans="1:10" s="67" customFormat="1" x14ac:dyDescent="0.25">
      <c r="A91" s="79">
        <v>2045</v>
      </c>
      <c r="B91" s="80" t="s">
        <v>218</v>
      </c>
      <c r="C91" s="81" t="s">
        <v>125</v>
      </c>
      <c r="D91" s="76">
        <v>16</v>
      </c>
      <c r="E91" s="78">
        <v>115</v>
      </c>
      <c r="F91" s="78">
        <v>75</v>
      </c>
      <c r="G91" s="78">
        <v>7</v>
      </c>
      <c r="H91" s="77">
        <f t="shared" si="2"/>
        <v>6.0374999999999998E-2</v>
      </c>
      <c r="I91" s="77">
        <v>6.0374999999999998E-2</v>
      </c>
      <c r="J91" s="66"/>
    </row>
    <row r="92" spans="1:10" s="67" customFormat="1" x14ac:dyDescent="0.25">
      <c r="A92" s="79">
        <v>2046</v>
      </c>
      <c r="B92" s="80" t="s">
        <v>219</v>
      </c>
      <c r="C92" s="81" t="s">
        <v>125</v>
      </c>
      <c r="D92" s="76">
        <v>16</v>
      </c>
      <c r="E92" s="78">
        <v>115</v>
      </c>
      <c r="F92" s="78">
        <v>75</v>
      </c>
      <c r="G92" s="78">
        <v>7</v>
      </c>
      <c r="H92" s="77">
        <f t="shared" si="2"/>
        <v>6.0374999999999998E-2</v>
      </c>
      <c r="I92" s="77">
        <v>6.0374999999999998E-2</v>
      </c>
      <c r="J92" s="66"/>
    </row>
    <row r="93" spans="1:10" s="67" customFormat="1" x14ac:dyDescent="0.25">
      <c r="A93" s="79">
        <v>2047</v>
      </c>
      <c r="B93" s="80" t="s">
        <v>220</v>
      </c>
      <c r="C93" s="81" t="s">
        <v>125</v>
      </c>
      <c r="D93" s="76">
        <v>16</v>
      </c>
      <c r="E93" s="78">
        <v>115</v>
      </c>
      <c r="F93" s="78">
        <v>75</v>
      </c>
      <c r="G93" s="78">
        <v>7</v>
      </c>
      <c r="H93" s="77">
        <f t="shared" si="2"/>
        <v>6.0374999999999998E-2</v>
      </c>
      <c r="I93" s="77">
        <v>6.0374999999999998E-2</v>
      </c>
      <c r="J93" s="66"/>
    </row>
    <row r="94" spans="1:10" s="67" customFormat="1" x14ac:dyDescent="0.25">
      <c r="A94" s="79">
        <v>2048</v>
      </c>
      <c r="B94" s="80" t="s">
        <v>221</v>
      </c>
      <c r="C94" s="81" t="s">
        <v>125</v>
      </c>
      <c r="D94" s="76">
        <v>16</v>
      </c>
      <c r="E94" s="78">
        <v>115</v>
      </c>
      <c r="F94" s="78">
        <v>75</v>
      </c>
      <c r="G94" s="78">
        <v>7</v>
      </c>
      <c r="H94" s="77">
        <f t="shared" si="2"/>
        <v>6.0374999999999998E-2</v>
      </c>
      <c r="I94" s="77">
        <v>6.0374999999999998E-2</v>
      </c>
      <c r="J94" s="66"/>
    </row>
    <row r="95" spans="1:10" s="67" customFormat="1" x14ac:dyDescent="0.25">
      <c r="A95" s="79">
        <v>2050</v>
      </c>
      <c r="B95" s="80" t="s">
        <v>222</v>
      </c>
      <c r="C95" s="81" t="s">
        <v>125</v>
      </c>
      <c r="D95" s="76">
        <v>22</v>
      </c>
      <c r="E95" s="78">
        <v>150</v>
      </c>
      <c r="F95" s="78">
        <v>80</v>
      </c>
      <c r="G95" s="78">
        <v>8</v>
      </c>
      <c r="H95" s="77">
        <f t="shared" si="2"/>
        <v>9.6000000000000002E-2</v>
      </c>
      <c r="I95" s="77">
        <v>9.6000000000000002E-2</v>
      </c>
      <c r="J95" s="66"/>
    </row>
    <row r="96" spans="1:10" s="67" customFormat="1" x14ac:dyDescent="0.25">
      <c r="A96" s="79">
        <v>2051</v>
      </c>
      <c r="B96" s="80" t="s">
        <v>223</v>
      </c>
      <c r="C96" s="81" t="s">
        <v>125</v>
      </c>
      <c r="D96" s="76">
        <v>22</v>
      </c>
      <c r="E96" s="78">
        <v>150</v>
      </c>
      <c r="F96" s="78">
        <v>80</v>
      </c>
      <c r="G96" s="78">
        <v>8</v>
      </c>
      <c r="H96" s="77">
        <f t="shared" si="2"/>
        <v>9.6000000000000002E-2</v>
      </c>
      <c r="I96" s="77">
        <v>9.6000000000000002E-2</v>
      </c>
      <c r="J96" s="66"/>
    </row>
    <row r="97" spans="1:10" s="67" customFormat="1" x14ac:dyDescent="0.25">
      <c r="A97" s="79">
        <v>2052</v>
      </c>
      <c r="B97" s="80" t="s">
        <v>224</v>
      </c>
      <c r="C97" s="81" t="s">
        <v>125</v>
      </c>
      <c r="D97" s="76">
        <v>22</v>
      </c>
      <c r="E97" s="78">
        <v>150</v>
      </c>
      <c r="F97" s="78">
        <v>80</v>
      </c>
      <c r="G97" s="78">
        <v>8</v>
      </c>
      <c r="H97" s="77">
        <f t="shared" si="2"/>
        <v>9.6000000000000002E-2</v>
      </c>
      <c r="I97" s="77">
        <v>9.6000000000000002E-2</v>
      </c>
      <c r="J97" s="66"/>
    </row>
    <row r="98" spans="1:10" s="67" customFormat="1" x14ac:dyDescent="0.25">
      <c r="A98" s="79">
        <v>2053</v>
      </c>
      <c r="B98" s="80" t="s">
        <v>225</v>
      </c>
      <c r="C98" s="81" t="s">
        <v>125</v>
      </c>
      <c r="D98" s="76">
        <v>22</v>
      </c>
      <c r="E98" s="78">
        <v>150</v>
      </c>
      <c r="F98" s="78">
        <v>80</v>
      </c>
      <c r="G98" s="78">
        <v>8</v>
      </c>
      <c r="H98" s="77">
        <f t="shared" si="2"/>
        <v>9.6000000000000002E-2</v>
      </c>
      <c r="I98" s="77">
        <v>9.6000000000000002E-2</v>
      </c>
      <c r="J98" s="66"/>
    </row>
    <row r="99" spans="1:10" s="67" customFormat="1" x14ac:dyDescent="0.25">
      <c r="A99" s="79">
        <v>216</v>
      </c>
      <c r="B99" s="80" t="s">
        <v>226</v>
      </c>
      <c r="C99" s="81" t="s">
        <v>125</v>
      </c>
      <c r="D99" s="76">
        <v>15</v>
      </c>
      <c r="E99" s="78">
        <v>80</v>
      </c>
      <c r="F99" s="78">
        <v>80</v>
      </c>
      <c r="G99" s="78">
        <v>8</v>
      </c>
      <c r="H99" s="77">
        <f t="shared" si="2"/>
        <v>5.1200000000000002E-2</v>
      </c>
      <c r="I99" s="77">
        <v>5.1200000000000002E-2</v>
      </c>
      <c r="J99" s="66"/>
    </row>
    <row r="100" spans="1:10" s="67" customFormat="1" x14ac:dyDescent="0.25">
      <c r="A100" s="79">
        <v>217</v>
      </c>
      <c r="B100" s="80" t="s">
        <v>227</v>
      </c>
      <c r="C100" s="81" t="s">
        <v>125</v>
      </c>
      <c r="D100" s="76">
        <v>15</v>
      </c>
      <c r="E100" s="78">
        <v>80</v>
      </c>
      <c r="F100" s="78">
        <v>80</v>
      </c>
      <c r="G100" s="78">
        <v>8</v>
      </c>
      <c r="H100" s="77">
        <f t="shared" si="2"/>
        <v>5.1200000000000002E-2</v>
      </c>
      <c r="I100" s="77">
        <v>5.1200000000000002E-2</v>
      </c>
      <c r="J100" s="66"/>
    </row>
    <row r="101" spans="1:10" s="67" customFormat="1" x14ac:dyDescent="0.25">
      <c r="A101" s="79">
        <v>218</v>
      </c>
      <c r="B101" s="80" t="s">
        <v>228</v>
      </c>
      <c r="C101" s="81" t="s">
        <v>125</v>
      </c>
      <c r="D101" s="76">
        <v>15</v>
      </c>
      <c r="E101" s="78">
        <v>80</v>
      </c>
      <c r="F101" s="78">
        <v>80</v>
      </c>
      <c r="G101" s="78">
        <v>8</v>
      </c>
      <c r="H101" s="77">
        <f t="shared" si="2"/>
        <v>5.1200000000000002E-2</v>
      </c>
      <c r="I101" s="77">
        <v>5.1200000000000002E-2</v>
      </c>
      <c r="J101" s="66"/>
    </row>
    <row r="102" spans="1:10" s="67" customFormat="1" x14ac:dyDescent="0.25">
      <c r="A102" s="79">
        <v>305</v>
      </c>
      <c r="B102" s="80" t="s">
        <v>229</v>
      </c>
      <c r="C102" s="81" t="s">
        <v>125</v>
      </c>
      <c r="D102" s="76">
        <v>15</v>
      </c>
      <c r="E102" s="78">
        <v>80</v>
      </c>
      <c r="F102" s="78">
        <v>80</v>
      </c>
      <c r="G102" s="78">
        <v>8</v>
      </c>
      <c r="H102" s="77">
        <f t="shared" ref="H102:H165" si="3">E102*F102*G102/1000000</f>
        <v>5.1200000000000002E-2</v>
      </c>
      <c r="I102" s="77">
        <v>5.1200000000000002E-2</v>
      </c>
      <c r="J102" s="66"/>
    </row>
    <row r="103" spans="1:10" s="67" customFormat="1" x14ac:dyDescent="0.25">
      <c r="A103" s="79">
        <v>100</v>
      </c>
      <c r="B103" s="80" t="s">
        <v>230</v>
      </c>
      <c r="C103" s="81" t="s">
        <v>125</v>
      </c>
      <c r="D103" s="76">
        <v>17</v>
      </c>
      <c r="E103" s="78">
        <v>120</v>
      </c>
      <c r="F103" s="78">
        <v>80</v>
      </c>
      <c r="G103" s="78">
        <v>8</v>
      </c>
      <c r="H103" s="77">
        <f t="shared" si="3"/>
        <v>7.6799999999999993E-2</v>
      </c>
      <c r="I103" s="77">
        <v>7.6799999999999993E-2</v>
      </c>
      <c r="J103" s="66"/>
    </row>
    <row r="104" spans="1:10" s="67" customFormat="1" x14ac:dyDescent="0.25">
      <c r="A104" s="79">
        <v>101</v>
      </c>
      <c r="B104" s="80" t="s">
        <v>231</v>
      </c>
      <c r="C104" s="81" t="s">
        <v>125</v>
      </c>
      <c r="D104" s="76">
        <v>17</v>
      </c>
      <c r="E104" s="78">
        <v>120</v>
      </c>
      <c r="F104" s="78">
        <v>80</v>
      </c>
      <c r="G104" s="78">
        <v>8</v>
      </c>
      <c r="H104" s="77">
        <f t="shared" si="3"/>
        <v>7.6799999999999993E-2</v>
      </c>
      <c r="I104" s="77">
        <v>7.6799999999999993E-2</v>
      </c>
      <c r="J104" s="66"/>
    </row>
    <row r="105" spans="1:10" s="67" customFormat="1" x14ac:dyDescent="0.25">
      <c r="A105" s="79">
        <v>102</v>
      </c>
      <c r="B105" s="80" t="s">
        <v>232</v>
      </c>
      <c r="C105" s="81" t="s">
        <v>125</v>
      </c>
      <c r="D105" s="76">
        <v>17</v>
      </c>
      <c r="E105" s="78">
        <v>120</v>
      </c>
      <c r="F105" s="78">
        <v>80</v>
      </c>
      <c r="G105" s="78">
        <v>8</v>
      </c>
      <c r="H105" s="77">
        <f t="shared" si="3"/>
        <v>7.6799999999999993E-2</v>
      </c>
      <c r="I105" s="77">
        <v>7.6799999999999993E-2</v>
      </c>
      <c r="J105" s="66"/>
    </row>
    <row r="106" spans="1:10" s="67" customFormat="1" x14ac:dyDescent="0.25">
      <c r="A106" s="79">
        <v>306</v>
      </c>
      <c r="B106" s="80" t="s">
        <v>233</v>
      </c>
      <c r="C106" s="81" t="s">
        <v>125</v>
      </c>
      <c r="D106" s="76">
        <v>17</v>
      </c>
      <c r="E106" s="78">
        <v>120</v>
      </c>
      <c r="F106" s="78">
        <v>80</v>
      </c>
      <c r="G106" s="78">
        <v>8</v>
      </c>
      <c r="H106" s="77">
        <f t="shared" si="3"/>
        <v>7.6799999999999993E-2</v>
      </c>
      <c r="I106" s="77">
        <v>7.6799999999999993E-2</v>
      </c>
      <c r="J106" s="66"/>
    </row>
    <row r="107" spans="1:10" s="67" customFormat="1" x14ac:dyDescent="0.25">
      <c r="A107" s="79">
        <v>104</v>
      </c>
      <c r="B107" s="80" t="s">
        <v>234</v>
      </c>
      <c r="C107" s="81" t="s">
        <v>125</v>
      </c>
      <c r="D107" s="76">
        <v>22</v>
      </c>
      <c r="E107" s="78">
        <v>160</v>
      </c>
      <c r="F107" s="78">
        <v>80</v>
      </c>
      <c r="G107" s="78">
        <v>8</v>
      </c>
      <c r="H107" s="77">
        <f t="shared" si="3"/>
        <v>0.1024</v>
      </c>
      <c r="I107" s="77">
        <v>0.1024</v>
      </c>
      <c r="J107" s="66"/>
    </row>
    <row r="108" spans="1:10" s="67" customFormat="1" x14ac:dyDescent="0.25">
      <c r="A108" s="79">
        <v>105</v>
      </c>
      <c r="B108" s="80" t="s">
        <v>235</v>
      </c>
      <c r="C108" s="81" t="s">
        <v>125</v>
      </c>
      <c r="D108" s="76">
        <v>22</v>
      </c>
      <c r="E108" s="78">
        <v>160</v>
      </c>
      <c r="F108" s="78">
        <v>80</v>
      </c>
      <c r="G108" s="78">
        <v>8</v>
      </c>
      <c r="H108" s="77">
        <f t="shared" si="3"/>
        <v>0.1024</v>
      </c>
      <c r="I108" s="77">
        <v>0.1024</v>
      </c>
      <c r="J108" s="66"/>
    </row>
    <row r="109" spans="1:10" s="67" customFormat="1" x14ac:dyDescent="0.25">
      <c r="A109" s="79">
        <v>106</v>
      </c>
      <c r="B109" s="80" t="s">
        <v>236</v>
      </c>
      <c r="C109" s="81" t="s">
        <v>125</v>
      </c>
      <c r="D109" s="76">
        <v>22</v>
      </c>
      <c r="E109" s="78">
        <v>160</v>
      </c>
      <c r="F109" s="78">
        <v>80</v>
      </c>
      <c r="G109" s="78">
        <v>8</v>
      </c>
      <c r="H109" s="77">
        <f t="shared" si="3"/>
        <v>0.1024</v>
      </c>
      <c r="I109" s="77">
        <v>0.1024</v>
      </c>
      <c r="J109" s="66"/>
    </row>
    <row r="110" spans="1:10" s="67" customFormat="1" x14ac:dyDescent="0.25">
      <c r="A110" s="79">
        <v>307</v>
      </c>
      <c r="B110" s="80" t="s">
        <v>237</v>
      </c>
      <c r="C110" s="81" t="s">
        <v>125</v>
      </c>
      <c r="D110" s="76">
        <v>22</v>
      </c>
      <c r="E110" s="78">
        <v>160</v>
      </c>
      <c r="F110" s="78">
        <v>80</v>
      </c>
      <c r="G110" s="78">
        <v>8</v>
      </c>
      <c r="H110" s="77">
        <f t="shared" si="3"/>
        <v>0.1024</v>
      </c>
      <c r="I110" s="77">
        <v>0.1024</v>
      </c>
      <c r="J110" s="66"/>
    </row>
    <row r="111" spans="1:10" s="67" customFormat="1" x14ac:dyDescent="0.25">
      <c r="A111" s="79">
        <v>400</v>
      </c>
      <c r="B111" s="80" t="s">
        <v>238</v>
      </c>
      <c r="C111" s="81" t="s">
        <v>125</v>
      </c>
      <c r="D111" s="76">
        <v>20</v>
      </c>
      <c r="E111" s="78">
        <v>140</v>
      </c>
      <c r="F111" s="78">
        <v>80</v>
      </c>
      <c r="G111" s="78">
        <v>8</v>
      </c>
      <c r="H111" s="77">
        <f t="shared" si="3"/>
        <v>8.9599999999999999E-2</v>
      </c>
      <c r="I111" s="77">
        <v>8.9599999999999999E-2</v>
      </c>
      <c r="J111" s="66"/>
    </row>
    <row r="112" spans="1:10" s="67" customFormat="1" x14ac:dyDescent="0.25">
      <c r="A112" s="79">
        <v>401</v>
      </c>
      <c r="B112" s="80" t="s">
        <v>239</v>
      </c>
      <c r="C112" s="81" t="s">
        <v>125</v>
      </c>
      <c r="D112" s="76">
        <v>20</v>
      </c>
      <c r="E112" s="78">
        <v>140</v>
      </c>
      <c r="F112" s="78">
        <v>80</v>
      </c>
      <c r="G112" s="78">
        <v>8</v>
      </c>
      <c r="H112" s="77">
        <f t="shared" si="3"/>
        <v>8.9599999999999999E-2</v>
      </c>
      <c r="I112" s="77">
        <v>8.9599999999999999E-2</v>
      </c>
      <c r="J112" s="66"/>
    </row>
    <row r="113" spans="1:10" s="67" customFormat="1" x14ac:dyDescent="0.25">
      <c r="A113" s="79">
        <v>402</v>
      </c>
      <c r="B113" s="80" t="s">
        <v>240</v>
      </c>
      <c r="C113" s="81" t="s">
        <v>125</v>
      </c>
      <c r="D113" s="76">
        <v>20</v>
      </c>
      <c r="E113" s="78">
        <v>140</v>
      </c>
      <c r="F113" s="78">
        <v>80</v>
      </c>
      <c r="G113" s="78">
        <v>8</v>
      </c>
      <c r="H113" s="77">
        <f t="shared" si="3"/>
        <v>8.9599999999999999E-2</v>
      </c>
      <c r="I113" s="77">
        <v>8.9599999999999999E-2</v>
      </c>
      <c r="J113" s="66"/>
    </row>
    <row r="114" spans="1:10" s="67" customFormat="1" x14ac:dyDescent="0.25">
      <c r="A114" s="79">
        <v>403</v>
      </c>
      <c r="B114" s="80" t="s">
        <v>241</v>
      </c>
      <c r="C114" s="81" t="s">
        <v>125</v>
      </c>
      <c r="D114" s="76">
        <v>20</v>
      </c>
      <c r="E114" s="78">
        <v>140</v>
      </c>
      <c r="F114" s="78">
        <v>80</v>
      </c>
      <c r="G114" s="78">
        <v>8</v>
      </c>
      <c r="H114" s="77">
        <f t="shared" si="3"/>
        <v>8.9599999999999999E-2</v>
      </c>
      <c r="I114" s="77">
        <v>8.9599999999999999E-2</v>
      </c>
      <c r="J114" s="66"/>
    </row>
    <row r="115" spans="1:10" s="67" customFormat="1" x14ac:dyDescent="0.25">
      <c r="A115" s="79">
        <v>22</v>
      </c>
      <c r="B115" s="80" t="s">
        <v>71</v>
      </c>
      <c r="C115" s="81" t="s">
        <v>125</v>
      </c>
      <c r="D115" s="76">
        <v>0</v>
      </c>
      <c r="E115" s="78">
        <v>0</v>
      </c>
      <c r="F115" s="78">
        <v>0</v>
      </c>
      <c r="G115" s="78">
        <v>0</v>
      </c>
      <c r="H115" s="77">
        <f t="shared" si="3"/>
        <v>0</v>
      </c>
      <c r="I115" s="77">
        <v>0</v>
      </c>
      <c r="J115" s="66"/>
    </row>
    <row r="116" spans="1:10" s="67" customFormat="1" x14ac:dyDescent="0.25">
      <c r="A116" s="79">
        <v>21</v>
      </c>
      <c r="B116" s="80" t="s">
        <v>72</v>
      </c>
      <c r="C116" s="81" t="s">
        <v>125</v>
      </c>
      <c r="D116" s="76">
        <v>0</v>
      </c>
      <c r="E116" s="78">
        <v>0</v>
      </c>
      <c r="F116" s="78">
        <v>0</v>
      </c>
      <c r="G116" s="78">
        <v>0</v>
      </c>
      <c r="H116" s="77">
        <f t="shared" si="3"/>
        <v>0</v>
      </c>
      <c r="I116" s="77">
        <v>0</v>
      </c>
      <c r="J116" s="66"/>
    </row>
    <row r="117" spans="1:10" s="67" customFormat="1" x14ac:dyDescent="0.25">
      <c r="A117" s="79">
        <v>1125</v>
      </c>
      <c r="B117" s="80" t="s">
        <v>242</v>
      </c>
      <c r="C117" s="81" t="s">
        <v>125</v>
      </c>
      <c r="D117" s="76">
        <v>0</v>
      </c>
      <c r="E117" s="78">
        <v>120</v>
      </c>
      <c r="F117" s="78">
        <v>80</v>
      </c>
      <c r="G117" s="78">
        <v>4</v>
      </c>
      <c r="H117" s="77">
        <f t="shared" si="3"/>
        <v>3.8399999999999997E-2</v>
      </c>
      <c r="I117" s="77">
        <v>3.8399999999999997E-2</v>
      </c>
      <c r="J117" s="66"/>
    </row>
    <row r="118" spans="1:10" s="67" customFormat="1" x14ac:dyDescent="0.25">
      <c r="A118" s="79">
        <v>1126</v>
      </c>
      <c r="B118" s="80" t="s">
        <v>243</v>
      </c>
      <c r="C118" s="81" t="s">
        <v>125</v>
      </c>
      <c r="D118" s="76">
        <v>0</v>
      </c>
      <c r="E118" s="78">
        <v>120</v>
      </c>
      <c r="F118" s="78">
        <v>80</v>
      </c>
      <c r="G118" s="78">
        <v>4</v>
      </c>
      <c r="H118" s="77">
        <f t="shared" si="3"/>
        <v>3.8399999999999997E-2</v>
      </c>
      <c r="I118" s="77">
        <v>3.8399999999999997E-2</v>
      </c>
      <c r="J118" s="66"/>
    </row>
    <row r="119" spans="1:10" s="67" customFormat="1" x14ac:dyDescent="0.25">
      <c r="A119" s="79">
        <v>1127</v>
      </c>
      <c r="B119" s="80" t="s">
        <v>244</v>
      </c>
      <c r="C119" s="81" t="s">
        <v>125</v>
      </c>
      <c r="D119" s="76">
        <v>0</v>
      </c>
      <c r="E119" s="78">
        <v>120</v>
      </c>
      <c r="F119" s="78">
        <v>80</v>
      </c>
      <c r="G119" s="78">
        <v>4</v>
      </c>
      <c r="H119" s="77">
        <f t="shared" si="3"/>
        <v>3.8399999999999997E-2</v>
      </c>
      <c r="I119" s="77">
        <v>3.8399999999999997E-2</v>
      </c>
      <c r="J119" s="66"/>
    </row>
    <row r="120" spans="1:10" s="67" customFormat="1" x14ac:dyDescent="0.25">
      <c r="A120" s="79">
        <v>1128</v>
      </c>
      <c r="B120" s="80" t="s">
        <v>245</v>
      </c>
      <c r="C120" s="81" t="s">
        <v>125</v>
      </c>
      <c r="D120" s="76">
        <v>0</v>
      </c>
      <c r="E120" s="78">
        <v>120</v>
      </c>
      <c r="F120" s="78">
        <v>80</v>
      </c>
      <c r="G120" s="78">
        <v>4</v>
      </c>
      <c r="H120" s="77">
        <f t="shared" si="3"/>
        <v>3.8399999999999997E-2</v>
      </c>
      <c r="I120" s="77">
        <v>3.8399999999999997E-2</v>
      </c>
      <c r="J120" s="66"/>
    </row>
    <row r="121" spans="1:10" s="67" customFormat="1" x14ac:dyDescent="0.25">
      <c r="A121" s="79">
        <v>1133</v>
      </c>
      <c r="B121" s="80" t="s">
        <v>246</v>
      </c>
      <c r="C121" s="81" t="s">
        <v>125</v>
      </c>
      <c r="D121" s="76">
        <v>0</v>
      </c>
      <c r="E121" s="78">
        <v>160</v>
      </c>
      <c r="F121" s="78">
        <v>80</v>
      </c>
      <c r="G121" s="78">
        <v>4</v>
      </c>
      <c r="H121" s="77">
        <f t="shared" si="3"/>
        <v>5.1200000000000002E-2</v>
      </c>
      <c r="I121" s="77">
        <v>5.1200000000000002E-2</v>
      </c>
      <c r="J121" s="66"/>
    </row>
    <row r="122" spans="1:10" s="67" customFormat="1" x14ac:dyDescent="0.25">
      <c r="A122" s="79">
        <v>1134</v>
      </c>
      <c r="B122" s="80" t="s">
        <v>247</v>
      </c>
      <c r="C122" s="81" t="s">
        <v>125</v>
      </c>
      <c r="D122" s="76">
        <v>0</v>
      </c>
      <c r="E122" s="78">
        <v>160</v>
      </c>
      <c r="F122" s="78">
        <v>80</v>
      </c>
      <c r="G122" s="78">
        <v>4</v>
      </c>
      <c r="H122" s="77">
        <f t="shared" si="3"/>
        <v>5.1200000000000002E-2</v>
      </c>
      <c r="I122" s="77">
        <v>5.1200000000000002E-2</v>
      </c>
      <c r="J122" s="66"/>
    </row>
    <row r="123" spans="1:10" s="67" customFormat="1" x14ac:dyDescent="0.25">
      <c r="A123" s="79">
        <v>1135</v>
      </c>
      <c r="B123" s="80" t="s">
        <v>248</v>
      </c>
      <c r="C123" s="81" t="s">
        <v>125</v>
      </c>
      <c r="D123" s="76">
        <v>0</v>
      </c>
      <c r="E123" s="78">
        <v>160</v>
      </c>
      <c r="F123" s="78">
        <v>80</v>
      </c>
      <c r="G123" s="78">
        <v>4</v>
      </c>
      <c r="H123" s="77">
        <f t="shared" si="3"/>
        <v>5.1200000000000002E-2</v>
      </c>
      <c r="I123" s="77">
        <v>5.1200000000000002E-2</v>
      </c>
      <c r="J123" s="66"/>
    </row>
    <row r="124" spans="1:10" s="67" customFormat="1" x14ac:dyDescent="0.25">
      <c r="A124" s="79">
        <v>1136</v>
      </c>
      <c r="B124" s="80" t="s">
        <v>249</v>
      </c>
      <c r="C124" s="81" t="s">
        <v>125</v>
      </c>
      <c r="D124" s="76">
        <v>0</v>
      </c>
      <c r="E124" s="78">
        <v>160</v>
      </c>
      <c r="F124" s="78">
        <v>80</v>
      </c>
      <c r="G124" s="78">
        <v>4</v>
      </c>
      <c r="H124" s="77">
        <f t="shared" si="3"/>
        <v>5.1200000000000002E-2</v>
      </c>
      <c r="I124" s="77">
        <v>5.1200000000000002E-2</v>
      </c>
      <c r="J124" s="66"/>
    </row>
    <row r="125" spans="1:10" s="67" customFormat="1" x14ac:dyDescent="0.25">
      <c r="A125" s="79">
        <v>1105</v>
      </c>
      <c r="B125" s="80" t="s">
        <v>250</v>
      </c>
      <c r="C125" s="81" t="s">
        <v>125</v>
      </c>
      <c r="D125" s="76">
        <v>3.5</v>
      </c>
      <c r="E125" s="78">
        <v>75</v>
      </c>
      <c r="F125" s="78">
        <v>45</v>
      </c>
      <c r="G125" s="78">
        <v>2</v>
      </c>
      <c r="H125" s="77">
        <f t="shared" si="3"/>
        <v>6.7499999999999999E-3</v>
      </c>
      <c r="I125" s="77">
        <v>6.7499999999999999E-3</v>
      </c>
      <c r="J125" s="66"/>
    </row>
    <row r="126" spans="1:10" s="67" customFormat="1" x14ac:dyDescent="0.25">
      <c r="A126" s="79">
        <v>1106</v>
      </c>
      <c r="B126" s="80" t="s">
        <v>251</v>
      </c>
      <c r="C126" s="81" t="s">
        <v>125</v>
      </c>
      <c r="D126" s="76">
        <v>3.5</v>
      </c>
      <c r="E126" s="78">
        <v>75</v>
      </c>
      <c r="F126" s="78">
        <v>45</v>
      </c>
      <c r="G126" s="78">
        <v>2</v>
      </c>
      <c r="H126" s="77">
        <f t="shared" si="3"/>
        <v>6.7499999999999999E-3</v>
      </c>
      <c r="I126" s="77">
        <v>6.7499999999999999E-3</v>
      </c>
      <c r="J126" s="66"/>
    </row>
    <row r="127" spans="1:10" s="67" customFormat="1" x14ac:dyDescent="0.25">
      <c r="A127" s="79">
        <v>1107</v>
      </c>
      <c r="B127" s="80" t="s">
        <v>252</v>
      </c>
      <c r="C127" s="81" t="s">
        <v>125</v>
      </c>
      <c r="D127" s="76">
        <v>3.5</v>
      </c>
      <c r="E127" s="78">
        <v>75</v>
      </c>
      <c r="F127" s="78">
        <v>45</v>
      </c>
      <c r="G127" s="78">
        <v>2</v>
      </c>
      <c r="H127" s="77">
        <f t="shared" si="3"/>
        <v>6.7499999999999999E-3</v>
      </c>
      <c r="I127" s="77">
        <v>6.7499999999999999E-3</v>
      </c>
      <c r="J127" s="66"/>
    </row>
    <row r="128" spans="1:10" s="67" customFormat="1" x14ac:dyDescent="0.25">
      <c r="A128" s="79">
        <v>1108</v>
      </c>
      <c r="B128" s="80" t="s">
        <v>253</v>
      </c>
      <c r="C128" s="81" t="s">
        <v>125</v>
      </c>
      <c r="D128" s="76">
        <v>3.5</v>
      </c>
      <c r="E128" s="78">
        <v>75</v>
      </c>
      <c r="F128" s="78">
        <v>45</v>
      </c>
      <c r="G128" s="78">
        <v>2</v>
      </c>
      <c r="H128" s="77">
        <f t="shared" si="3"/>
        <v>6.7499999999999999E-3</v>
      </c>
      <c r="I128" s="77">
        <v>6.7499999999999999E-3</v>
      </c>
      <c r="J128" s="66"/>
    </row>
    <row r="129" spans="1:10" s="67" customFormat="1" x14ac:dyDescent="0.25">
      <c r="A129" s="79">
        <v>1109</v>
      </c>
      <c r="B129" s="80" t="s">
        <v>254</v>
      </c>
      <c r="C129" s="81" t="s">
        <v>125</v>
      </c>
      <c r="D129" s="76">
        <v>7.5</v>
      </c>
      <c r="E129" s="78">
        <v>75</v>
      </c>
      <c r="F129" s="78">
        <v>75</v>
      </c>
      <c r="G129" s="78">
        <v>4</v>
      </c>
      <c r="H129" s="77">
        <f t="shared" si="3"/>
        <v>2.2499999999999999E-2</v>
      </c>
      <c r="I129" s="77">
        <v>2.2499999999999999E-2</v>
      </c>
      <c r="J129" s="66"/>
    </row>
    <row r="130" spans="1:10" s="67" customFormat="1" x14ac:dyDescent="0.25">
      <c r="A130" s="79">
        <v>1110</v>
      </c>
      <c r="B130" s="80" t="s">
        <v>255</v>
      </c>
      <c r="C130" s="81" t="s">
        <v>125</v>
      </c>
      <c r="D130" s="76">
        <v>7.5</v>
      </c>
      <c r="E130" s="78">
        <v>75</v>
      </c>
      <c r="F130" s="78">
        <v>75</v>
      </c>
      <c r="G130" s="78">
        <v>4</v>
      </c>
      <c r="H130" s="77">
        <f t="shared" si="3"/>
        <v>2.2499999999999999E-2</v>
      </c>
      <c r="I130" s="77">
        <v>2.2499999999999999E-2</v>
      </c>
      <c r="J130" s="66"/>
    </row>
    <row r="131" spans="1:10" s="67" customFormat="1" x14ac:dyDescent="0.25">
      <c r="A131" s="79">
        <v>1111</v>
      </c>
      <c r="B131" s="80" t="s">
        <v>256</v>
      </c>
      <c r="C131" s="81" t="s">
        <v>125</v>
      </c>
      <c r="D131" s="76">
        <v>7.5</v>
      </c>
      <c r="E131" s="78">
        <v>75</v>
      </c>
      <c r="F131" s="78">
        <v>75</v>
      </c>
      <c r="G131" s="78">
        <v>4</v>
      </c>
      <c r="H131" s="77">
        <f t="shared" si="3"/>
        <v>2.2499999999999999E-2</v>
      </c>
      <c r="I131" s="77">
        <v>2.2499999999999999E-2</v>
      </c>
      <c r="J131" s="66"/>
    </row>
    <row r="132" spans="1:10" s="67" customFormat="1" x14ac:dyDescent="0.25">
      <c r="A132" s="79">
        <v>1112</v>
      </c>
      <c r="B132" s="80" t="s">
        <v>257</v>
      </c>
      <c r="C132" s="81" t="s">
        <v>125</v>
      </c>
      <c r="D132" s="76">
        <v>7.5</v>
      </c>
      <c r="E132" s="78">
        <v>75</v>
      </c>
      <c r="F132" s="78">
        <v>75</v>
      </c>
      <c r="G132" s="78">
        <v>4</v>
      </c>
      <c r="H132" s="77">
        <f t="shared" si="3"/>
        <v>2.2499999999999999E-2</v>
      </c>
      <c r="I132" s="77">
        <v>2.2499999999999999E-2</v>
      </c>
      <c r="J132" s="66"/>
    </row>
    <row r="133" spans="1:10" s="67" customFormat="1" x14ac:dyDescent="0.25">
      <c r="A133" s="79">
        <v>1113</v>
      </c>
      <c r="B133" s="80" t="s">
        <v>258</v>
      </c>
      <c r="C133" s="81" t="s">
        <v>125</v>
      </c>
      <c r="D133" s="76">
        <v>8</v>
      </c>
      <c r="E133" s="78">
        <v>80</v>
      </c>
      <c r="F133" s="78">
        <v>80</v>
      </c>
      <c r="G133" s="78">
        <v>4</v>
      </c>
      <c r="H133" s="77">
        <f t="shared" si="3"/>
        <v>2.5600000000000001E-2</v>
      </c>
      <c r="I133" s="77">
        <v>2.5600000000000001E-2</v>
      </c>
      <c r="J133" s="66"/>
    </row>
    <row r="134" spans="1:10" s="67" customFormat="1" x14ac:dyDescent="0.25">
      <c r="A134" s="79">
        <v>1114</v>
      </c>
      <c r="B134" s="80" t="s">
        <v>259</v>
      </c>
      <c r="C134" s="81" t="s">
        <v>125</v>
      </c>
      <c r="D134" s="76">
        <v>8</v>
      </c>
      <c r="E134" s="78">
        <v>80</v>
      </c>
      <c r="F134" s="78">
        <v>80</v>
      </c>
      <c r="G134" s="78">
        <v>4</v>
      </c>
      <c r="H134" s="77">
        <f t="shared" si="3"/>
        <v>2.5600000000000001E-2</v>
      </c>
      <c r="I134" s="77">
        <v>2.5600000000000001E-2</v>
      </c>
      <c r="J134" s="66"/>
    </row>
    <row r="135" spans="1:10" s="67" customFormat="1" x14ac:dyDescent="0.25">
      <c r="A135" s="79">
        <v>1115</v>
      </c>
      <c r="B135" s="80" t="s">
        <v>260</v>
      </c>
      <c r="C135" s="81" t="s">
        <v>125</v>
      </c>
      <c r="D135" s="76">
        <v>8</v>
      </c>
      <c r="E135" s="78">
        <v>80</v>
      </c>
      <c r="F135" s="78">
        <v>80</v>
      </c>
      <c r="G135" s="78">
        <v>4</v>
      </c>
      <c r="H135" s="77">
        <f t="shared" si="3"/>
        <v>2.5600000000000001E-2</v>
      </c>
      <c r="I135" s="77">
        <v>2.5600000000000001E-2</v>
      </c>
      <c r="J135" s="66"/>
    </row>
    <row r="136" spans="1:10" s="67" customFormat="1" x14ac:dyDescent="0.25">
      <c r="A136" s="79">
        <v>1116</v>
      </c>
      <c r="B136" s="80" t="s">
        <v>261</v>
      </c>
      <c r="C136" s="81" t="s">
        <v>125</v>
      </c>
      <c r="D136" s="76">
        <v>8</v>
      </c>
      <c r="E136" s="78">
        <v>80</v>
      </c>
      <c r="F136" s="78">
        <v>80</v>
      </c>
      <c r="G136" s="78">
        <v>4</v>
      </c>
      <c r="H136" s="77">
        <f t="shared" si="3"/>
        <v>2.5600000000000001E-2</v>
      </c>
      <c r="I136" s="77">
        <v>2.5600000000000001E-2</v>
      </c>
      <c r="J136" s="66"/>
    </row>
    <row r="137" spans="1:10" s="67" customFormat="1" x14ac:dyDescent="0.25">
      <c r="A137" s="79">
        <v>1117</v>
      </c>
      <c r="B137" s="80" t="s">
        <v>262</v>
      </c>
      <c r="C137" s="81" t="s">
        <v>125</v>
      </c>
      <c r="D137" s="76">
        <v>5</v>
      </c>
      <c r="E137" s="78">
        <v>110</v>
      </c>
      <c r="F137" s="78">
        <v>45</v>
      </c>
      <c r="G137" s="78">
        <v>2</v>
      </c>
      <c r="H137" s="77">
        <f t="shared" si="3"/>
        <v>9.9000000000000008E-3</v>
      </c>
      <c r="I137" s="77">
        <v>9.9000000000000008E-3</v>
      </c>
      <c r="J137" s="66"/>
    </row>
    <row r="138" spans="1:10" s="67" customFormat="1" x14ac:dyDescent="0.25">
      <c r="A138" s="79">
        <v>1118</v>
      </c>
      <c r="B138" s="80" t="s">
        <v>263</v>
      </c>
      <c r="C138" s="81" t="s">
        <v>125</v>
      </c>
      <c r="D138" s="76">
        <v>5</v>
      </c>
      <c r="E138" s="78">
        <v>110</v>
      </c>
      <c r="F138" s="78">
        <v>45</v>
      </c>
      <c r="G138" s="78">
        <v>2</v>
      </c>
      <c r="H138" s="77">
        <f t="shared" si="3"/>
        <v>9.9000000000000008E-3</v>
      </c>
      <c r="I138" s="77">
        <v>9.9000000000000008E-3</v>
      </c>
      <c r="J138" s="66"/>
    </row>
    <row r="139" spans="1:10" s="67" customFormat="1" x14ac:dyDescent="0.25">
      <c r="A139" s="79">
        <v>1119</v>
      </c>
      <c r="B139" s="80" t="s">
        <v>264</v>
      </c>
      <c r="C139" s="81" t="s">
        <v>125</v>
      </c>
      <c r="D139" s="76">
        <v>5</v>
      </c>
      <c r="E139" s="78">
        <v>110</v>
      </c>
      <c r="F139" s="78">
        <v>45</v>
      </c>
      <c r="G139" s="78">
        <v>2</v>
      </c>
      <c r="H139" s="77">
        <f t="shared" si="3"/>
        <v>9.9000000000000008E-3</v>
      </c>
      <c r="I139" s="77">
        <v>9.9000000000000008E-3</v>
      </c>
      <c r="J139" s="66"/>
    </row>
    <row r="140" spans="1:10" s="67" customFormat="1" x14ac:dyDescent="0.25">
      <c r="A140" s="79">
        <v>1120</v>
      </c>
      <c r="B140" s="80" t="s">
        <v>265</v>
      </c>
      <c r="C140" s="81" t="s">
        <v>125</v>
      </c>
      <c r="D140" s="76">
        <v>5</v>
      </c>
      <c r="E140" s="78">
        <v>110</v>
      </c>
      <c r="F140" s="78">
        <v>45</v>
      </c>
      <c r="G140" s="78">
        <v>2</v>
      </c>
      <c r="H140" s="77">
        <f t="shared" si="3"/>
        <v>9.9000000000000008E-3</v>
      </c>
      <c r="I140" s="77">
        <v>9.9000000000000008E-3</v>
      </c>
      <c r="J140" s="66"/>
    </row>
    <row r="141" spans="1:10" s="67" customFormat="1" x14ac:dyDescent="0.25">
      <c r="A141" s="79">
        <v>1121</v>
      </c>
      <c r="B141" s="80" t="s">
        <v>266</v>
      </c>
      <c r="C141" s="81" t="s">
        <v>125</v>
      </c>
      <c r="D141" s="76">
        <v>11</v>
      </c>
      <c r="E141" s="78">
        <v>115</v>
      </c>
      <c r="F141" s="78">
        <v>75</v>
      </c>
      <c r="G141" s="78">
        <v>4</v>
      </c>
      <c r="H141" s="77">
        <f t="shared" si="3"/>
        <v>3.4500000000000003E-2</v>
      </c>
      <c r="I141" s="77">
        <v>3.4500000000000003E-2</v>
      </c>
      <c r="J141" s="66"/>
    </row>
    <row r="142" spans="1:10" s="67" customFormat="1" x14ac:dyDescent="0.25">
      <c r="A142" s="79">
        <v>1122</v>
      </c>
      <c r="B142" s="80" t="s">
        <v>267</v>
      </c>
      <c r="C142" s="81" t="s">
        <v>125</v>
      </c>
      <c r="D142" s="76">
        <v>11</v>
      </c>
      <c r="E142" s="78">
        <v>115</v>
      </c>
      <c r="F142" s="78">
        <v>75</v>
      </c>
      <c r="G142" s="78">
        <v>4</v>
      </c>
      <c r="H142" s="77">
        <f t="shared" si="3"/>
        <v>3.4500000000000003E-2</v>
      </c>
      <c r="I142" s="77">
        <v>3.4500000000000003E-2</v>
      </c>
      <c r="J142" s="66"/>
    </row>
    <row r="143" spans="1:10" s="67" customFormat="1" x14ac:dyDescent="0.25">
      <c r="A143" s="79">
        <v>1123</v>
      </c>
      <c r="B143" s="80" t="s">
        <v>268</v>
      </c>
      <c r="C143" s="81" t="s">
        <v>125</v>
      </c>
      <c r="D143" s="76">
        <v>11</v>
      </c>
      <c r="E143" s="78">
        <v>115</v>
      </c>
      <c r="F143" s="78">
        <v>75</v>
      </c>
      <c r="G143" s="78">
        <v>4</v>
      </c>
      <c r="H143" s="77">
        <f t="shared" si="3"/>
        <v>3.4500000000000003E-2</v>
      </c>
      <c r="I143" s="77">
        <v>3.4500000000000003E-2</v>
      </c>
      <c r="J143" s="66"/>
    </row>
    <row r="144" spans="1:10" s="67" customFormat="1" x14ac:dyDescent="0.25">
      <c r="A144" s="79">
        <v>1124</v>
      </c>
      <c r="B144" s="80" t="s">
        <v>269</v>
      </c>
      <c r="C144" s="81" t="s">
        <v>125</v>
      </c>
      <c r="D144" s="76">
        <v>11</v>
      </c>
      <c r="E144" s="78">
        <v>115</v>
      </c>
      <c r="F144" s="78">
        <v>75</v>
      </c>
      <c r="G144" s="78">
        <v>4</v>
      </c>
      <c r="H144" s="77">
        <f t="shared" si="3"/>
        <v>3.4500000000000003E-2</v>
      </c>
      <c r="I144" s="77">
        <v>3.4500000000000003E-2</v>
      </c>
      <c r="J144" s="66"/>
    </row>
    <row r="145" spans="1:10" s="67" customFormat="1" x14ac:dyDescent="0.25">
      <c r="A145" s="79">
        <v>1129</v>
      </c>
      <c r="B145" s="80" t="s">
        <v>270</v>
      </c>
      <c r="C145" s="81" t="s">
        <v>125</v>
      </c>
      <c r="D145" s="76">
        <v>13</v>
      </c>
      <c r="E145" s="78">
        <v>150</v>
      </c>
      <c r="F145" s="78">
        <v>80</v>
      </c>
      <c r="G145" s="78">
        <v>4</v>
      </c>
      <c r="H145" s="77">
        <f t="shared" si="3"/>
        <v>4.8000000000000001E-2</v>
      </c>
      <c r="I145" s="77">
        <v>4.8000000000000001E-2</v>
      </c>
      <c r="J145" s="66"/>
    </row>
    <row r="146" spans="1:10" s="67" customFormat="1" x14ac:dyDescent="0.25">
      <c r="A146" s="79">
        <v>1130</v>
      </c>
      <c r="B146" s="80" t="s">
        <v>271</v>
      </c>
      <c r="C146" s="81" t="s">
        <v>125</v>
      </c>
      <c r="D146" s="76">
        <v>13</v>
      </c>
      <c r="E146" s="78">
        <v>150</v>
      </c>
      <c r="F146" s="78">
        <v>80</v>
      </c>
      <c r="G146" s="78">
        <v>4</v>
      </c>
      <c r="H146" s="77">
        <f t="shared" si="3"/>
        <v>4.8000000000000001E-2</v>
      </c>
      <c r="I146" s="77">
        <v>4.8000000000000001E-2</v>
      </c>
      <c r="J146" s="66"/>
    </row>
    <row r="147" spans="1:10" s="67" customFormat="1" x14ac:dyDescent="0.25">
      <c r="A147" s="79">
        <v>1131</v>
      </c>
      <c r="B147" s="80" t="s">
        <v>272</v>
      </c>
      <c r="C147" s="81" t="s">
        <v>125</v>
      </c>
      <c r="D147" s="76">
        <v>13</v>
      </c>
      <c r="E147" s="78">
        <v>150</v>
      </c>
      <c r="F147" s="78">
        <v>80</v>
      </c>
      <c r="G147" s="78">
        <v>4</v>
      </c>
      <c r="H147" s="77">
        <f t="shared" si="3"/>
        <v>4.8000000000000001E-2</v>
      </c>
      <c r="I147" s="77">
        <v>4.8000000000000001E-2</v>
      </c>
      <c r="J147" s="66"/>
    </row>
    <row r="148" spans="1:10" s="67" customFormat="1" x14ac:dyDescent="0.25">
      <c r="A148" s="79">
        <v>1132</v>
      </c>
      <c r="B148" s="80" t="s">
        <v>273</v>
      </c>
      <c r="C148" s="81" t="s">
        <v>125</v>
      </c>
      <c r="D148" s="76">
        <v>13</v>
      </c>
      <c r="E148" s="78">
        <v>150</v>
      </c>
      <c r="F148" s="78">
        <v>80</v>
      </c>
      <c r="G148" s="78">
        <v>4</v>
      </c>
      <c r="H148" s="77">
        <f t="shared" si="3"/>
        <v>4.8000000000000001E-2</v>
      </c>
      <c r="I148" s="77">
        <v>4.8000000000000001E-2</v>
      </c>
      <c r="J148" s="66"/>
    </row>
    <row r="149" spans="1:10" s="67" customFormat="1" x14ac:dyDescent="0.25">
      <c r="A149" s="79">
        <v>1137</v>
      </c>
      <c r="B149" s="80" t="s">
        <v>274</v>
      </c>
      <c r="C149" s="81" t="s">
        <v>125</v>
      </c>
      <c r="D149" s="76">
        <v>17</v>
      </c>
      <c r="E149" s="78">
        <v>180</v>
      </c>
      <c r="F149" s="78">
        <v>85</v>
      </c>
      <c r="G149" s="78">
        <v>4</v>
      </c>
      <c r="H149" s="77">
        <f t="shared" si="3"/>
        <v>6.1199999999999997E-2</v>
      </c>
      <c r="I149" s="77">
        <v>6.1199999999999997E-2</v>
      </c>
      <c r="J149" s="66"/>
    </row>
    <row r="150" spans="1:10" s="67" customFormat="1" x14ac:dyDescent="0.25">
      <c r="A150" s="79">
        <v>1138</v>
      </c>
      <c r="B150" s="80" t="s">
        <v>275</v>
      </c>
      <c r="C150" s="81" t="s">
        <v>125</v>
      </c>
      <c r="D150" s="76">
        <v>17</v>
      </c>
      <c r="E150" s="78">
        <v>180</v>
      </c>
      <c r="F150" s="78">
        <v>85</v>
      </c>
      <c r="G150" s="78">
        <v>4</v>
      </c>
      <c r="H150" s="77">
        <f t="shared" si="3"/>
        <v>6.1199999999999997E-2</v>
      </c>
      <c r="I150" s="77">
        <v>6.1199999999999997E-2</v>
      </c>
      <c r="J150" s="66"/>
    </row>
    <row r="151" spans="1:10" s="67" customFormat="1" x14ac:dyDescent="0.25">
      <c r="A151" s="79">
        <v>1139</v>
      </c>
      <c r="B151" s="80" t="s">
        <v>276</v>
      </c>
      <c r="C151" s="81" t="s">
        <v>125</v>
      </c>
      <c r="D151" s="76">
        <v>17</v>
      </c>
      <c r="E151" s="78">
        <v>180</v>
      </c>
      <c r="F151" s="78">
        <v>85</v>
      </c>
      <c r="G151" s="78">
        <v>4</v>
      </c>
      <c r="H151" s="77">
        <f t="shared" si="3"/>
        <v>6.1199999999999997E-2</v>
      </c>
      <c r="I151" s="77">
        <v>6.1199999999999997E-2</v>
      </c>
      <c r="J151" s="66"/>
    </row>
    <row r="152" spans="1:10" s="67" customFormat="1" x14ac:dyDescent="0.25">
      <c r="A152" s="79">
        <v>1140</v>
      </c>
      <c r="B152" s="80" t="s">
        <v>277</v>
      </c>
      <c r="C152" s="81" t="s">
        <v>125</v>
      </c>
      <c r="D152" s="76">
        <v>17</v>
      </c>
      <c r="E152" s="78">
        <v>180</v>
      </c>
      <c r="F152" s="78">
        <v>85</v>
      </c>
      <c r="G152" s="78">
        <v>4</v>
      </c>
      <c r="H152" s="77">
        <f t="shared" si="3"/>
        <v>6.1199999999999997E-2</v>
      </c>
      <c r="I152" s="77">
        <v>6.1199999999999997E-2</v>
      </c>
      <c r="J152" s="66"/>
    </row>
    <row r="153" spans="1:10" s="67" customFormat="1" x14ac:dyDescent="0.25">
      <c r="A153" s="79">
        <v>1141</v>
      </c>
      <c r="B153" s="80" t="s">
        <v>278</v>
      </c>
      <c r="C153" s="81" t="s">
        <v>125</v>
      </c>
      <c r="D153" s="76">
        <v>19</v>
      </c>
      <c r="E153" s="78">
        <v>200</v>
      </c>
      <c r="F153" s="78">
        <v>88</v>
      </c>
      <c r="G153" s="78">
        <v>4</v>
      </c>
      <c r="H153" s="77">
        <f t="shared" si="3"/>
        <v>7.0400000000000004E-2</v>
      </c>
      <c r="I153" s="77">
        <v>7.0400000000000004E-2</v>
      </c>
      <c r="J153" s="66"/>
    </row>
    <row r="154" spans="1:10" s="67" customFormat="1" x14ac:dyDescent="0.25">
      <c r="A154" s="79">
        <v>1142</v>
      </c>
      <c r="B154" s="80" t="s">
        <v>279</v>
      </c>
      <c r="C154" s="81" t="s">
        <v>125</v>
      </c>
      <c r="D154" s="76">
        <v>19</v>
      </c>
      <c r="E154" s="78">
        <v>200</v>
      </c>
      <c r="F154" s="78">
        <v>88</v>
      </c>
      <c r="G154" s="78">
        <v>4</v>
      </c>
      <c r="H154" s="77">
        <f t="shared" si="3"/>
        <v>7.0400000000000004E-2</v>
      </c>
      <c r="I154" s="77">
        <v>7.0400000000000004E-2</v>
      </c>
      <c r="J154" s="66"/>
    </row>
    <row r="155" spans="1:10" s="67" customFormat="1" x14ac:dyDescent="0.25">
      <c r="A155" s="79">
        <v>1143</v>
      </c>
      <c r="B155" s="80" t="s">
        <v>280</v>
      </c>
      <c r="C155" s="81" t="s">
        <v>125</v>
      </c>
      <c r="D155" s="76">
        <v>19</v>
      </c>
      <c r="E155" s="78">
        <v>200</v>
      </c>
      <c r="F155" s="78">
        <v>88</v>
      </c>
      <c r="G155" s="78">
        <v>4</v>
      </c>
      <c r="H155" s="77">
        <f t="shared" si="3"/>
        <v>7.0400000000000004E-2</v>
      </c>
      <c r="I155" s="77">
        <v>7.0400000000000004E-2</v>
      </c>
      <c r="J155" s="66"/>
    </row>
    <row r="156" spans="1:10" s="67" customFormat="1" x14ac:dyDescent="0.25">
      <c r="A156" s="79">
        <v>1144</v>
      </c>
      <c r="B156" s="80" t="s">
        <v>281</v>
      </c>
      <c r="C156" s="81" t="s">
        <v>125</v>
      </c>
      <c r="D156" s="76">
        <v>19</v>
      </c>
      <c r="E156" s="78">
        <v>200</v>
      </c>
      <c r="F156" s="78">
        <v>88</v>
      </c>
      <c r="G156" s="78">
        <v>4</v>
      </c>
      <c r="H156" s="77">
        <f t="shared" si="3"/>
        <v>7.0400000000000004E-2</v>
      </c>
      <c r="I156" s="77">
        <v>7.0400000000000004E-2</v>
      </c>
      <c r="J156" s="66"/>
    </row>
    <row r="157" spans="1:10" s="67" customFormat="1" x14ac:dyDescent="0.25">
      <c r="A157" s="79">
        <v>1145</v>
      </c>
      <c r="B157" s="80" t="s">
        <v>282</v>
      </c>
      <c r="C157" s="81" t="s">
        <v>125</v>
      </c>
      <c r="D157" s="76">
        <v>21</v>
      </c>
      <c r="E157" s="78">
        <v>220</v>
      </c>
      <c r="F157" s="78">
        <v>88</v>
      </c>
      <c r="G157" s="78">
        <v>4</v>
      </c>
      <c r="H157" s="77">
        <f t="shared" si="3"/>
        <v>7.7439999999999995E-2</v>
      </c>
      <c r="I157" s="77">
        <v>7.7439999999999995E-2</v>
      </c>
      <c r="J157" s="66"/>
    </row>
    <row r="158" spans="1:10" s="67" customFormat="1" x14ac:dyDescent="0.25">
      <c r="A158" s="79">
        <v>1146</v>
      </c>
      <c r="B158" s="80" t="s">
        <v>283</v>
      </c>
      <c r="C158" s="81" t="s">
        <v>125</v>
      </c>
      <c r="D158" s="76">
        <v>21</v>
      </c>
      <c r="E158" s="78">
        <v>220</v>
      </c>
      <c r="F158" s="78">
        <v>88</v>
      </c>
      <c r="G158" s="78">
        <v>4</v>
      </c>
      <c r="H158" s="77">
        <f t="shared" si="3"/>
        <v>7.7439999999999995E-2</v>
      </c>
      <c r="I158" s="77">
        <v>7.7439999999999995E-2</v>
      </c>
      <c r="J158" s="66"/>
    </row>
    <row r="159" spans="1:10" s="67" customFormat="1" x14ac:dyDescent="0.25">
      <c r="A159" s="79">
        <v>1147</v>
      </c>
      <c r="B159" s="80" t="s">
        <v>284</v>
      </c>
      <c r="C159" s="81" t="s">
        <v>125</v>
      </c>
      <c r="D159" s="76">
        <v>21</v>
      </c>
      <c r="E159" s="78">
        <v>220</v>
      </c>
      <c r="F159" s="78">
        <v>88</v>
      </c>
      <c r="G159" s="78">
        <v>4</v>
      </c>
      <c r="H159" s="77">
        <f t="shared" si="3"/>
        <v>7.7439999999999995E-2</v>
      </c>
      <c r="I159" s="77">
        <v>7.7439999999999995E-2</v>
      </c>
      <c r="J159" s="66"/>
    </row>
    <row r="160" spans="1:10" s="67" customFormat="1" x14ac:dyDescent="0.25">
      <c r="A160" s="79">
        <v>1148</v>
      </c>
      <c r="B160" s="80" t="s">
        <v>285</v>
      </c>
      <c r="C160" s="81" t="s">
        <v>125</v>
      </c>
      <c r="D160" s="76">
        <v>21</v>
      </c>
      <c r="E160" s="78">
        <v>220</v>
      </c>
      <c r="F160" s="78">
        <v>88</v>
      </c>
      <c r="G160" s="78">
        <v>4</v>
      </c>
      <c r="H160" s="77">
        <f t="shared" si="3"/>
        <v>7.7439999999999995E-2</v>
      </c>
      <c r="I160" s="77">
        <v>7.7439999999999995E-2</v>
      </c>
      <c r="J160" s="66"/>
    </row>
    <row r="161" spans="1:10" s="67" customFormat="1" x14ac:dyDescent="0.25">
      <c r="A161" s="79">
        <v>1149</v>
      </c>
      <c r="B161" s="80" t="s">
        <v>286</v>
      </c>
      <c r="C161" s="81" t="s">
        <v>125</v>
      </c>
      <c r="D161" s="76">
        <v>1.5</v>
      </c>
      <c r="E161" s="78">
        <v>40</v>
      </c>
      <c r="F161" s="78">
        <v>5</v>
      </c>
      <c r="G161" s="78">
        <v>80</v>
      </c>
      <c r="H161" s="77">
        <f t="shared" si="3"/>
        <v>1.6E-2</v>
      </c>
      <c r="I161" s="77">
        <v>1.6E-2</v>
      </c>
      <c r="J161" s="66"/>
    </row>
    <row r="162" spans="1:10" s="67" customFormat="1" x14ac:dyDescent="0.25">
      <c r="A162" s="79">
        <v>1150</v>
      </c>
      <c r="B162" s="80" t="s">
        <v>287</v>
      </c>
      <c r="C162" s="81" t="s">
        <v>125</v>
      </c>
      <c r="D162" s="76">
        <v>1.5</v>
      </c>
      <c r="E162" s="78">
        <v>40</v>
      </c>
      <c r="F162" s="78">
        <v>5</v>
      </c>
      <c r="G162" s="78">
        <v>80</v>
      </c>
      <c r="H162" s="77">
        <f t="shared" si="3"/>
        <v>1.6E-2</v>
      </c>
      <c r="I162" s="77">
        <v>1.6E-2</v>
      </c>
      <c r="J162" s="66"/>
    </row>
    <row r="163" spans="1:10" s="67" customFormat="1" x14ac:dyDescent="0.25">
      <c r="A163" s="79">
        <v>1151</v>
      </c>
      <c r="B163" s="80" t="s">
        <v>288</v>
      </c>
      <c r="C163" s="81" t="s">
        <v>125</v>
      </c>
      <c r="D163" s="76">
        <v>1.5</v>
      </c>
      <c r="E163" s="78">
        <v>40</v>
      </c>
      <c r="F163" s="78">
        <v>5</v>
      </c>
      <c r="G163" s="78">
        <v>80</v>
      </c>
      <c r="H163" s="77">
        <f t="shared" si="3"/>
        <v>1.6E-2</v>
      </c>
      <c r="I163" s="77">
        <v>1.6E-2</v>
      </c>
      <c r="J163" s="66"/>
    </row>
    <row r="164" spans="1:10" s="67" customFormat="1" x14ac:dyDescent="0.25">
      <c r="A164" s="79">
        <v>1152</v>
      </c>
      <c r="B164" s="80" t="s">
        <v>289</v>
      </c>
      <c r="C164" s="81" t="s">
        <v>125</v>
      </c>
      <c r="D164" s="76">
        <v>1.5</v>
      </c>
      <c r="E164" s="78">
        <v>40</v>
      </c>
      <c r="F164" s="78">
        <v>5</v>
      </c>
      <c r="G164" s="78">
        <v>80</v>
      </c>
      <c r="H164" s="77">
        <f t="shared" si="3"/>
        <v>1.6E-2</v>
      </c>
      <c r="I164" s="77">
        <v>1.6E-2</v>
      </c>
      <c r="J164" s="66"/>
    </row>
    <row r="165" spans="1:10" s="67" customFormat="1" x14ac:dyDescent="0.25">
      <c r="A165" s="79">
        <v>1153</v>
      </c>
      <c r="B165" s="80" t="s">
        <v>290</v>
      </c>
      <c r="C165" s="81" t="s">
        <v>125</v>
      </c>
      <c r="D165" s="76">
        <v>2</v>
      </c>
      <c r="E165" s="78">
        <v>65</v>
      </c>
      <c r="F165" s="78">
        <v>5</v>
      </c>
      <c r="G165" s="78">
        <v>80</v>
      </c>
      <c r="H165" s="77">
        <f t="shared" si="3"/>
        <v>2.5999999999999999E-2</v>
      </c>
      <c r="I165" s="77">
        <v>2.5999999999999999E-2</v>
      </c>
      <c r="J165" s="66"/>
    </row>
    <row r="166" spans="1:10" s="67" customFormat="1" x14ac:dyDescent="0.25">
      <c r="A166" s="79">
        <v>1154</v>
      </c>
      <c r="B166" s="80" t="s">
        <v>291</v>
      </c>
      <c r="C166" s="81" t="s">
        <v>125</v>
      </c>
      <c r="D166" s="76">
        <v>2</v>
      </c>
      <c r="E166" s="78">
        <v>65</v>
      </c>
      <c r="F166" s="78">
        <v>5</v>
      </c>
      <c r="G166" s="78">
        <v>80</v>
      </c>
      <c r="H166" s="77">
        <f t="shared" ref="H166:H229" si="4">E166*F166*G166/1000000</f>
        <v>2.5999999999999999E-2</v>
      </c>
      <c r="I166" s="77">
        <v>2.5999999999999999E-2</v>
      </c>
      <c r="J166" s="66"/>
    </row>
    <row r="167" spans="1:10" s="67" customFormat="1" x14ac:dyDescent="0.25">
      <c r="A167" s="79">
        <v>1155</v>
      </c>
      <c r="B167" s="80" t="s">
        <v>292</v>
      </c>
      <c r="C167" s="81" t="s">
        <v>125</v>
      </c>
      <c r="D167" s="76">
        <v>2</v>
      </c>
      <c r="E167" s="78">
        <v>65</v>
      </c>
      <c r="F167" s="78">
        <v>5</v>
      </c>
      <c r="G167" s="78">
        <v>80</v>
      </c>
      <c r="H167" s="77">
        <f t="shared" si="4"/>
        <v>2.5999999999999999E-2</v>
      </c>
      <c r="I167" s="77">
        <v>2.5999999999999999E-2</v>
      </c>
      <c r="J167" s="66"/>
    </row>
    <row r="168" spans="1:10" s="67" customFormat="1" x14ac:dyDescent="0.25">
      <c r="A168" s="79">
        <v>1156</v>
      </c>
      <c r="B168" s="80" t="s">
        <v>293</v>
      </c>
      <c r="C168" s="81" t="s">
        <v>125</v>
      </c>
      <c r="D168" s="76">
        <v>2</v>
      </c>
      <c r="E168" s="78">
        <v>65</v>
      </c>
      <c r="F168" s="78">
        <v>5</v>
      </c>
      <c r="G168" s="78">
        <v>80</v>
      </c>
      <c r="H168" s="77">
        <f t="shared" si="4"/>
        <v>2.5999999999999999E-2</v>
      </c>
      <c r="I168" s="77">
        <v>2.5999999999999999E-2</v>
      </c>
      <c r="J168" s="66"/>
    </row>
    <row r="169" spans="1:10" s="67" customFormat="1" x14ac:dyDescent="0.25">
      <c r="A169" s="79">
        <v>1157</v>
      </c>
      <c r="B169" s="80" t="s">
        <v>294</v>
      </c>
      <c r="C169" s="81" t="s">
        <v>125</v>
      </c>
      <c r="D169" s="76">
        <v>3</v>
      </c>
      <c r="E169" s="78">
        <v>75</v>
      </c>
      <c r="F169" s="78">
        <v>6</v>
      </c>
      <c r="G169" s="78">
        <v>80</v>
      </c>
      <c r="H169" s="77">
        <f t="shared" si="4"/>
        <v>3.5999999999999997E-2</v>
      </c>
      <c r="I169" s="77">
        <v>3.5999999999999997E-2</v>
      </c>
      <c r="J169" s="66"/>
    </row>
    <row r="170" spans="1:10" s="67" customFormat="1" x14ac:dyDescent="0.25">
      <c r="A170" s="79">
        <v>1158</v>
      </c>
      <c r="B170" s="80" t="s">
        <v>295</v>
      </c>
      <c r="C170" s="81" t="s">
        <v>125</v>
      </c>
      <c r="D170" s="76">
        <v>3</v>
      </c>
      <c r="E170" s="78">
        <v>75</v>
      </c>
      <c r="F170" s="78">
        <v>6</v>
      </c>
      <c r="G170" s="78">
        <v>80</v>
      </c>
      <c r="H170" s="77">
        <f t="shared" si="4"/>
        <v>3.5999999999999997E-2</v>
      </c>
      <c r="I170" s="77">
        <v>3.5999999999999997E-2</v>
      </c>
      <c r="J170" s="66"/>
    </row>
    <row r="171" spans="1:10" s="67" customFormat="1" x14ac:dyDescent="0.25">
      <c r="A171" s="79">
        <v>1159</v>
      </c>
      <c r="B171" s="80" t="s">
        <v>296</v>
      </c>
      <c r="C171" s="81" t="s">
        <v>125</v>
      </c>
      <c r="D171" s="76">
        <v>3</v>
      </c>
      <c r="E171" s="78">
        <v>75</v>
      </c>
      <c r="F171" s="78">
        <v>6</v>
      </c>
      <c r="G171" s="78">
        <v>80</v>
      </c>
      <c r="H171" s="77">
        <f t="shared" si="4"/>
        <v>3.5999999999999997E-2</v>
      </c>
      <c r="I171" s="77">
        <v>3.5999999999999997E-2</v>
      </c>
      <c r="J171" s="66"/>
    </row>
    <row r="172" spans="1:10" s="67" customFormat="1" x14ac:dyDescent="0.25">
      <c r="A172" s="79">
        <v>1160</v>
      </c>
      <c r="B172" s="80" t="s">
        <v>297</v>
      </c>
      <c r="C172" s="81" t="s">
        <v>125</v>
      </c>
      <c r="D172" s="76">
        <v>3</v>
      </c>
      <c r="E172" s="78">
        <v>75</v>
      </c>
      <c r="F172" s="78">
        <v>6</v>
      </c>
      <c r="G172" s="78">
        <v>80</v>
      </c>
      <c r="H172" s="77">
        <f t="shared" si="4"/>
        <v>3.5999999999999997E-2</v>
      </c>
      <c r="I172" s="77">
        <v>3.5999999999999997E-2</v>
      </c>
      <c r="J172" s="66"/>
    </row>
    <row r="173" spans="1:10" s="67" customFormat="1" x14ac:dyDescent="0.25">
      <c r="A173" s="79">
        <v>1161</v>
      </c>
      <c r="B173" s="80" t="s">
        <v>298</v>
      </c>
      <c r="C173" s="81" t="s">
        <v>125</v>
      </c>
      <c r="D173" s="76">
        <v>0</v>
      </c>
      <c r="E173" s="78">
        <v>0</v>
      </c>
      <c r="F173" s="78">
        <v>0</v>
      </c>
      <c r="G173" s="78">
        <v>0</v>
      </c>
      <c r="H173" s="77">
        <f t="shared" si="4"/>
        <v>0</v>
      </c>
      <c r="I173" s="77">
        <v>0</v>
      </c>
      <c r="J173" s="66"/>
    </row>
    <row r="174" spans="1:10" s="67" customFormat="1" x14ac:dyDescent="0.25">
      <c r="A174" s="79">
        <v>1162</v>
      </c>
      <c r="B174" s="80" t="s">
        <v>299</v>
      </c>
      <c r="C174" s="81" t="s">
        <v>125</v>
      </c>
      <c r="D174" s="76">
        <v>0</v>
      </c>
      <c r="E174" s="78">
        <v>0</v>
      </c>
      <c r="F174" s="78">
        <v>0</v>
      </c>
      <c r="G174" s="78">
        <v>0</v>
      </c>
      <c r="H174" s="77">
        <f t="shared" si="4"/>
        <v>0</v>
      </c>
      <c r="I174" s="77">
        <v>0</v>
      </c>
      <c r="J174" s="66"/>
    </row>
    <row r="175" spans="1:10" s="67" customFormat="1" x14ac:dyDescent="0.25">
      <c r="A175" s="79">
        <v>1163</v>
      </c>
      <c r="B175" s="80" t="s">
        <v>300</v>
      </c>
      <c r="C175" s="81" t="s">
        <v>125</v>
      </c>
      <c r="D175" s="76">
        <v>0</v>
      </c>
      <c r="E175" s="78">
        <v>0</v>
      </c>
      <c r="F175" s="78">
        <v>0</v>
      </c>
      <c r="G175" s="78">
        <v>0</v>
      </c>
      <c r="H175" s="77">
        <f t="shared" si="4"/>
        <v>0</v>
      </c>
      <c r="I175" s="77">
        <v>0</v>
      </c>
      <c r="J175" s="66"/>
    </row>
    <row r="176" spans="1:10" s="67" customFormat="1" x14ac:dyDescent="0.25">
      <c r="A176" s="79">
        <v>1164</v>
      </c>
      <c r="B176" s="80" t="s">
        <v>301</v>
      </c>
      <c r="C176" s="81" t="s">
        <v>125</v>
      </c>
      <c r="D176" s="76">
        <v>0</v>
      </c>
      <c r="E176" s="78">
        <v>0</v>
      </c>
      <c r="F176" s="78">
        <v>0</v>
      </c>
      <c r="G176" s="78">
        <v>0</v>
      </c>
      <c r="H176" s="77">
        <f t="shared" si="4"/>
        <v>0</v>
      </c>
      <c r="I176" s="77">
        <v>0</v>
      </c>
      <c r="J176" s="66"/>
    </row>
    <row r="177" spans="1:10" s="67" customFormat="1" x14ac:dyDescent="0.25">
      <c r="A177" s="79">
        <v>1165</v>
      </c>
      <c r="B177" s="80" t="s">
        <v>302</v>
      </c>
      <c r="C177" s="81" t="s">
        <v>125</v>
      </c>
      <c r="D177" s="76">
        <v>0</v>
      </c>
      <c r="E177" s="78">
        <v>0</v>
      </c>
      <c r="F177" s="78">
        <v>0</v>
      </c>
      <c r="G177" s="78">
        <v>0</v>
      </c>
      <c r="H177" s="77">
        <f t="shared" si="4"/>
        <v>0</v>
      </c>
      <c r="I177" s="77">
        <v>0</v>
      </c>
      <c r="J177" s="66"/>
    </row>
    <row r="178" spans="1:10" s="67" customFormat="1" x14ac:dyDescent="0.25">
      <c r="A178" s="79">
        <v>1166</v>
      </c>
      <c r="B178" s="80" t="s">
        <v>303</v>
      </c>
      <c r="C178" s="81" t="s">
        <v>125</v>
      </c>
      <c r="D178" s="76">
        <v>0</v>
      </c>
      <c r="E178" s="78">
        <v>0</v>
      </c>
      <c r="F178" s="78">
        <v>0</v>
      </c>
      <c r="G178" s="78">
        <v>0</v>
      </c>
      <c r="H178" s="77">
        <f t="shared" si="4"/>
        <v>0</v>
      </c>
      <c r="I178" s="77">
        <v>0</v>
      </c>
      <c r="J178" s="66"/>
    </row>
    <row r="179" spans="1:10" s="67" customFormat="1" x14ac:dyDescent="0.25">
      <c r="A179" s="79">
        <v>1167</v>
      </c>
      <c r="B179" s="80" t="s">
        <v>304</v>
      </c>
      <c r="C179" s="81" t="s">
        <v>125</v>
      </c>
      <c r="D179" s="76">
        <v>0</v>
      </c>
      <c r="E179" s="78">
        <v>0</v>
      </c>
      <c r="F179" s="78">
        <v>0</v>
      </c>
      <c r="G179" s="78">
        <v>0</v>
      </c>
      <c r="H179" s="77">
        <f t="shared" si="4"/>
        <v>0</v>
      </c>
      <c r="I179" s="77">
        <v>0</v>
      </c>
      <c r="J179" s="66"/>
    </row>
    <row r="180" spans="1:10" s="67" customFormat="1" x14ac:dyDescent="0.25">
      <c r="A180" s="79">
        <v>1168</v>
      </c>
      <c r="B180" s="80" t="s">
        <v>305</v>
      </c>
      <c r="C180" s="81" t="s">
        <v>125</v>
      </c>
      <c r="D180" s="76">
        <v>0</v>
      </c>
      <c r="E180" s="78">
        <v>0</v>
      </c>
      <c r="F180" s="78">
        <v>0</v>
      </c>
      <c r="G180" s="78">
        <v>0</v>
      </c>
      <c r="H180" s="77">
        <f t="shared" si="4"/>
        <v>0</v>
      </c>
      <c r="I180" s="77">
        <v>0</v>
      </c>
      <c r="J180" s="66"/>
    </row>
    <row r="181" spans="1:10" s="67" customFormat="1" x14ac:dyDescent="0.25">
      <c r="A181" s="79">
        <v>1169</v>
      </c>
      <c r="B181" s="80" t="s">
        <v>306</v>
      </c>
      <c r="C181" s="81" t="s">
        <v>125</v>
      </c>
      <c r="D181" s="76">
        <v>0</v>
      </c>
      <c r="E181" s="78">
        <v>0</v>
      </c>
      <c r="F181" s="78">
        <v>0</v>
      </c>
      <c r="G181" s="78">
        <v>0</v>
      </c>
      <c r="H181" s="77">
        <f t="shared" si="4"/>
        <v>0</v>
      </c>
      <c r="I181" s="77">
        <v>0</v>
      </c>
      <c r="J181" s="66"/>
    </row>
    <row r="182" spans="1:10" s="67" customFormat="1" x14ac:dyDescent="0.25">
      <c r="A182" s="79">
        <v>1170</v>
      </c>
      <c r="B182" s="80" t="s">
        <v>307</v>
      </c>
      <c r="C182" s="81" t="s">
        <v>125</v>
      </c>
      <c r="D182" s="76">
        <v>0</v>
      </c>
      <c r="E182" s="78">
        <v>0</v>
      </c>
      <c r="F182" s="78">
        <v>0</v>
      </c>
      <c r="G182" s="78">
        <v>0</v>
      </c>
      <c r="H182" s="77">
        <f t="shared" si="4"/>
        <v>0</v>
      </c>
      <c r="I182" s="77">
        <v>0</v>
      </c>
      <c r="J182" s="66"/>
    </row>
    <row r="183" spans="1:10" s="67" customFormat="1" x14ac:dyDescent="0.25">
      <c r="A183" s="79">
        <v>1171</v>
      </c>
      <c r="B183" s="80" t="s">
        <v>308</v>
      </c>
      <c r="C183" s="81" t="s">
        <v>125</v>
      </c>
      <c r="D183" s="76">
        <v>0</v>
      </c>
      <c r="E183" s="78">
        <v>0</v>
      </c>
      <c r="F183" s="78">
        <v>0</v>
      </c>
      <c r="G183" s="78">
        <v>0</v>
      </c>
      <c r="H183" s="77">
        <f t="shared" si="4"/>
        <v>0</v>
      </c>
      <c r="I183" s="77">
        <v>0</v>
      </c>
      <c r="J183" s="66"/>
    </row>
    <row r="184" spans="1:10" s="67" customFormat="1" x14ac:dyDescent="0.25">
      <c r="A184" s="79">
        <v>1172</v>
      </c>
      <c r="B184" s="80" t="s">
        <v>309</v>
      </c>
      <c r="C184" s="81" t="s">
        <v>125</v>
      </c>
      <c r="D184" s="76">
        <v>0</v>
      </c>
      <c r="E184" s="78">
        <v>0</v>
      </c>
      <c r="F184" s="78">
        <v>0</v>
      </c>
      <c r="G184" s="78">
        <v>0</v>
      </c>
      <c r="H184" s="77">
        <f t="shared" si="4"/>
        <v>0</v>
      </c>
      <c r="I184" s="77">
        <v>0</v>
      </c>
      <c r="J184" s="66"/>
    </row>
    <row r="185" spans="1:10" s="67" customFormat="1" x14ac:dyDescent="0.25">
      <c r="A185" s="79">
        <v>1173</v>
      </c>
      <c r="B185" s="80" t="s">
        <v>310</v>
      </c>
      <c r="C185" s="81" t="s">
        <v>125</v>
      </c>
      <c r="D185" s="76">
        <v>0</v>
      </c>
      <c r="E185" s="78">
        <v>0</v>
      </c>
      <c r="F185" s="78">
        <v>0</v>
      </c>
      <c r="G185" s="78">
        <v>0</v>
      </c>
      <c r="H185" s="77">
        <f t="shared" si="4"/>
        <v>0</v>
      </c>
      <c r="I185" s="77">
        <v>0</v>
      </c>
      <c r="J185" s="66"/>
    </row>
    <row r="186" spans="1:10" s="67" customFormat="1" x14ac:dyDescent="0.25">
      <c r="A186" s="79">
        <v>1174</v>
      </c>
      <c r="B186" s="80" t="s">
        <v>311</v>
      </c>
      <c r="C186" s="81" t="s">
        <v>125</v>
      </c>
      <c r="D186" s="76">
        <v>0</v>
      </c>
      <c r="E186" s="78">
        <v>0</v>
      </c>
      <c r="F186" s="78">
        <v>0</v>
      </c>
      <c r="G186" s="78">
        <v>0</v>
      </c>
      <c r="H186" s="77">
        <f t="shared" si="4"/>
        <v>0</v>
      </c>
      <c r="I186" s="77">
        <v>0</v>
      </c>
      <c r="J186" s="66"/>
    </row>
    <row r="187" spans="1:10" s="67" customFormat="1" x14ac:dyDescent="0.25">
      <c r="A187" s="79">
        <v>1175</v>
      </c>
      <c r="B187" s="80" t="s">
        <v>312</v>
      </c>
      <c r="C187" s="81" t="s">
        <v>125</v>
      </c>
      <c r="D187" s="76">
        <v>0</v>
      </c>
      <c r="E187" s="78">
        <v>0</v>
      </c>
      <c r="F187" s="78">
        <v>0</v>
      </c>
      <c r="G187" s="78">
        <v>0</v>
      </c>
      <c r="H187" s="77">
        <f t="shared" si="4"/>
        <v>0</v>
      </c>
      <c r="I187" s="77">
        <v>0</v>
      </c>
      <c r="J187" s="66"/>
    </row>
    <row r="188" spans="1:10" s="67" customFormat="1" x14ac:dyDescent="0.25">
      <c r="A188" s="79">
        <v>1176</v>
      </c>
      <c r="B188" s="80" t="s">
        <v>313</v>
      </c>
      <c r="C188" s="81" t="s">
        <v>125</v>
      </c>
      <c r="D188" s="76">
        <v>0</v>
      </c>
      <c r="E188" s="78">
        <v>0</v>
      </c>
      <c r="F188" s="78">
        <v>0</v>
      </c>
      <c r="G188" s="78">
        <v>0</v>
      </c>
      <c r="H188" s="77">
        <f t="shared" si="4"/>
        <v>0</v>
      </c>
      <c r="I188" s="77">
        <v>0</v>
      </c>
      <c r="J188" s="66"/>
    </row>
    <row r="189" spans="1:10" s="67" customFormat="1" x14ac:dyDescent="0.25">
      <c r="A189" s="79">
        <v>1249</v>
      </c>
      <c r="B189" s="80" t="s">
        <v>314</v>
      </c>
      <c r="C189" s="81" t="s">
        <v>125</v>
      </c>
      <c r="D189" s="76">
        <v>0</v>
      </c>
      <c r="E189" s="78">
        <v>0</v>
      </c>
      <c r="F189" s="78">
        <v>0</v>
      </c>
      <c r="G189" s="78">
        <v>0</v>
      </c>
      <c r="H189" s="77">
        <f t="shared" si="4"/>
        <v>0</v>
      </c>
      <c r="I189" s="77">
        <v>0</v>
      </c>
      <c r="J189" s="66"/>
    </row>
    <row r="190" spans="1:10" s="67" customFormat="1" x14ac:dyDescent="0.25">
      <c r="A190" s="79">
        <v>1250</v>
      </c>
      <c r="B190" s="80" t="s">
        <v>315</v>
      </c>
      <c r="C190" s="81" t="s">
        <v>125</v>
      </c>
      <c r="D190" s="76">
        <v>0</v>
      </c>
      <c r="E190" s="78">
        <v>0</v>
      </c>
      <c r="F190" s="78">
        <v>0</v>
      </c>
      <c r="G190" s="78">
        <v>0</v>
      </c>
      <c r="H190" s="77">
        <f t="shared" si="4"/>
        <v>0</v>
      </c>
      <c r="I190" s="77">
        <v>0</v>
      </c>
      <c r="J190" s="66"/>
    </row>
    <row r="191" spans="1:10" s="67" customFormat="1" x14ac:dyDescent="0.25">
      <c r="A191" s="79">
        <v>1251</v>
      </c>
      <c r="B191" s="80" t="s">
        <v>316</v>
      </c>
      <c r="C191" s="81" t="s">
        <v>125</v>
      </c>
      <c r="D191" s="76">
        <v>0</v>
      </c>
      <c r="E191" s="78">
        <v>0</v>
      </c>
      <c r="F191" s="78">
        <v>0</v>
      </c>
      <c r="G191" s="78">
        <v>0</v>
      </c>
      <c r="H191" s="77">
        <f t="shared" si="4"/>
        <v>0</v>
      </c>
      <c r="I191" s="77">
        <v>0</v>
      </c>
      <c r="J191" s="66"/>
    </row>
    <row r="192" spans="1:10" s="67" customFormat="1" x14ac:dyDescent="0.25">
      <c r="A192" s="79">
        <v>1252</v>
      </c>
      <c r="B192" s="80" t="s">
        <v>317</v>
      </c>
      <c r="C192" s="81" t="s">
        <v>125</v>
      </c>
      <c r="D192" s="76">
        <v>0</v>
      </c>
      <c r="E192" s="78">
        <v>0</v>
      </c>
      <c r="F192" s="78">
        <v>0</v>
      </c>
      <c r="G192" s="78">
        <v>0</v>
      </c>
      <c r="H192" s="77">
        <f t="shared" si="4"/>
        <v>0</v>
      </c>
      <c r="I192" s="77">
        <v>0</v>
      </c>
      <c r="J192" s="66"/>
    </row>
    <row r="193" spans="1:11" s="67" customFormat="1" x14ac:dyDescent="0.25">
      <c r="A193" s="79">
        <v>1177</v>
      </c>
      <c r="B193" s="80" t="s">
        <v>318</v>
      </c>
      <c r="C193" s="81" t="s">
        <v>125</v>
      </c>
      <c r="D193" s="76">
        <v>0</v>
      </c>
      <c r="E193" s="78">
        <v>0</v>
      </c>
      <c r="F193" s="78">
        <v>0</v>
      </c>
      <c r="G193" s="78">
        <v>0</v>
      </c>
      <c r="H193" s="77">
        <f t="shared" si="4"/>
        <v>0</v>
      </c>
      <c r="I193" s="77">
        <v>0</v>
      </c>
      <c r="J193" s="66"/>
    </row>
    <row r="194" spans="1:11" s="67" customFormat="1" x14ac:dyDescent="0.25">
      <c r="A194" s="79">
        <v>1178</v>
      </c>
      <c r="B194" s="80" t="s">
        <v>319</v>
      </c>
      <c r="C194" s="81" t="s">
        <v>125</v>
      </c>
      <c r="D194" s="76">
        <v>0</v>
      </c>
      <c r="E194" s="78">
        <v>0</v>
      </c>
      <c r="F194" s="78">
        <v>0</v>
      </c>
      <c r="G194" s="78">
        <v>0</v>
      </c>
      <c r="H194" s="77">
        <f t="shared" si="4"/>
        <v>0</v>
      </c>
      <c r="I194" s="77">
        <v>0</v>
      </c>
      <c r="J194" s="66"/>
    </row>
    <row r="195" spans="1:11" s="67" customFormat="1" x14ac:dyDescent="0.25">
      <c r="A195" s="79">
        <v>1179</v>
      </c>
      <c r="B195" s="80" t="s">
        <v>320</v>
      </c>
      <c r="C195" s="81" t="s">
        <v>125</v>
      </c>
      <c r="D195" s="76">
        <v>0</v>
      </c>
      <c r="E195" s="78">
        <v>0</v>
      </c>
      <c r="F195" s="78">
        <v>0</v>
      </c>
      <c r="G195" s="78">
        <v>0</v>
      </c>
      <c r="H195" s="77">
        <f t="shared" si="4"/>
        <v>0</v>
      </c>
      <c r="I195" s="77">
        <v>0</v>
      </c>
      <c r="J195" s="66"/>
    </row>
    <row r="196" spans="1:11" s="67" customFormat="1" x14ac:dyDescent="0.25">
      <c r="A196" s="79">
        <v>1180</v>
      </c>
      <c r="B196" s="80" t="s">
        <v>321</v>
      </c>
      <c r="C196" s="81" t="s">
        <v>125</v>
      </c>
      <c r="D196" s="76">
        <v>0</v>
      </c>
      <c r="E196" s="78">
        <v>0</v>
      </c>
      <c r="F196" s="78">
        <v>0</v>
      </c>
      <c r="G196" s="78">
        <v>0</v>
      </c>
      <c r="H196" s="77">
        <f t="shared" si="4"/>
        <v>0</v>
      </c>
      <c r="I196" s="77">
        <v>0</v>
      </c>
      <c r="J196" s="66"/>
    </row>
    <row r="197" spans="1:11" s="67" customFormat="1" x14ac:dyDescent="0.25">
      <c r="A197" s="79">
        <v>1181</v>
      </c>
      <c r="B197" s="80" t="s">
        <v>322</v>
      </c>
      <c r="C197" s="81" t="s">
        <v>125</v>
      </c>
      <c r="D197" s="76">
        <v>0</v>
      </c>
      <c r="E197" s="78">
        <v>0</v>
      </c>
      <c r="F197" s="78">
        <v>0</v>
      </c>
      <c r="G197" s="78">
        <v>0</v>
      </c>
      <c r="H197" s="77">
        <f t="shared" si="4"/>
        <v>0</v>
      </c>
      <c r="I197" s="77">
        <v>0</v>
      </c>
      <c r="J197" s="66"/>
    </row>
    <row r="198" spans="1:11" s="67" customFormat="1" x14ac:dyDescent="0.25">
      <c r="A198" s="79">
        <v>1182</v>
      </c>
      <c r="B198" s="80" t="s">
        <v>323</v>
      </c>
      <c r="C198" s="81" t="s">
        <v>125</v>
      </c>
      <c r="D198" s="76">
        <v>0</v>
      </c>
      <c r="E198" s="78">
        <v>0</v>
      </c>
      <c r="F198" s="78">
        <v>0</v>
      </c>
      <c r="G198" s="78">
        <v>0</v>
      </c>
      <c r="H198" s="77">
        <f t="shared" si="4"/>
        <v>0</v>
      </c>
      <c r="I198" s="77">
        <v>0</v>
      </c>
      <c r="J198" s="66"/>
    </row>
    <row r="199" spans="1:11" s="67" customFormat="1" x14ac:dyDescent="0.25">
      <c r="A199" s="79">
        <v>1183</v>
      </c>
      <c r="B199" s="80" t="s">
        <v>324</v>
      </c>
      <c r="C199" s="81" t="s">
        <v>125</v>
      </c>
      <c r="D199" s="76">
        <v>0</v>
      </c>
      <c r="E199" s="78">
        <v>0</v>
      </c>
      <c r="F199" s="78">
        <v>0</v>
      </c>
      <c r="G199" s="78">
        <v>0</v>
      </c>
      <c r="H199" s="77">
        <f t="shared" si="4"/>
        <v>0</v>
      </c>
      <c r="I199" s="77">
        <v>0</v>
      </c>
      <c r="J199" s="66"/>
    </row>
    <row r="200" spans="1:11" s="67" customFormat="1" x14ac:dyDescent="0.25">
      <c r="A200" s="79">
        <v>1184</v>
      </c>
      <c r="B200" s="80" t="s">
        <v>325</v>
      </c>
      <c r="C200" s="81" t="s">
        <v>125</v>
      </c>
      <c r="D200" s="76">
        <v>0</v>
      </c>
      <c r="E200" s="78">
        <v>0</v>
      </c>
      <c r="F200" s="78">
        <v>0</v>
      </c>
      <c r="G200" s="78">
        <v>0</v>
      </c>
      <c r="H200" s="77">
        <f t="shared" si="4"/>
        <v>0</v>
      </c>
      <c r="I200" s="77">
        <v>0</v>
      </c>
      <c r="J200" s="66"/>
    </row>
    <row r="201" spans="1:11" s="67" customFormat="1" x14ac:dyDescent="0.25">
      <c r="A201" s="79">
        <v>1185</v>
      </c>
      <c r="B201" s="80" t="s">
        <v>326</v>
      </c>
      <c r="C201" s="81" t="s">
        <v>125</v>
      </c>
      <c r="D201" s="76">
        <v>0</v>
      </c>
      <c r="E201" s="78">
        <v>0</v>
      </c>
      <c r="F201" s="78">
        <v>0</v>
      </c>
      <c r="G201" s="78">
        <v>0</v>
      </c>
      <c r="H201" s="77">
        <f t="shared" si="4"/>
        <v>0</v>
      </c>
      <c r="I201" s="77">
        <v>0</v>
      </c>
      <c r="J201" s="66"/>
    </row>
    <row r="202" spans="1:11" s="67" customFormat="1" x14ac:dyDescent="0.25">
      <c r="A202" s="79">
        <v>1186</v>
      </c>
      <c r="B202" s="80" t="s">
        <v>327</v>
      </c>
      <c r="C202" s="81" t="s">
        <v>125</v>
      </c>
      <c r="D202" s="76">
        <v>0</v>
      </c>
      <c r="E202" s="78">
        <v>0</v>
      </c>
      <c r="F202" s="78">
        <v>0</v>
      </c>
      <c r="G202" s="78">
        <v>0</v>
      </c>
      <c r="H202" s="77">
        <f t="shared" si="4"/>
        <v>0</v>
      </c>
      <c r="I202" s="77">
        <v>0</v>
      </c>
      <c r="J202" s="66"/>
    </row>
    <row r="203" spans="1:11" s="67" customFormat="1" x14ac:dyDescent="0.25">
      <c r="A203" s="79">
        <v>1187</v>
      </c>
      <c r="B203" s="80" t="s">
        <v>328</v>
      </c>
      <c r="C203" s="81" t="s">
        <v>125</v>
      </c>
      <c r="D203" s="76">
        <v>0</v>
      </c>
      <c r="E203" s="78">
        <v>0</v>
      </c>
      <c r="F203" s="78">
        <v>0</v>
      </c>
      <c r="G203" s="78">
        <v>0</v>
      </c>
      <c r="H203" s="77">
        <f t="shared" si="4"/>
        <v>0</v>
      </c>
      <c r="I203" s="77">
        <v>0</v>
      </c>
      <c r="J203" s="66"/>
    </row>
    <row r="204" spans="1:11" s="67" customFormat="1" x14ac:dyDescent="0.25">
      <c r="A204" s="79">
        <v>1188</v>
      </c>
      <c r="B204" s="80" t="s">
        <v>329</v>
      </c>
      <c r="C204" s="81" t="s">
        <v>125</v>
      </c>
      <c r="D204" s="76">
        <v>0</v>
      </c>
      <c r="E204" s="78">
        <v>0</v>
      </c>
      <c r="F204" s="78">
        <v>0</v>
      </c>
      <c r="G204" s="78">
        <v>0</v>
      </c>
      <c r="H204" s="77">
        <f t="shared" si="4"/>
        <v>0</v>
      </c>
      <c r="I204" s="77">
        <v>0</v>
      </c>
      <c r="J204" s="66"/>
    </row>
    <row r="205" spans="1:11" s="67" customFormat="1" x14ac:dyDescent="0.25">
      <c r="A205" s="79">
        <v>1189</v>
      </c>
      <c r="B205" s="80" t="s">
        <v>330</v>
      </c>
      <c r="C205" s="81" t="s">
        <v>125</v>
      </c>
      <c r="D205" s="76">
        <v>0</v>
      </c>
      <c r="E205" s="78">
        <v>0</v>
      </c>
      <c r="F205" s="78">
        <v>0</v>
      </c>
      <c r="G205" s="78">
        <v>0</v>
      </c>
      <c r="H205" s="77">
        <f t="shared" si="4"/>
        <v>0</v>
      </c>
      <c r="I205" s="77">
        <v>0</v>
      </c>
      <c r="J205" s="66"/>
    </row>
    <row r="206" spans="1:11" x14ac:dyDescent="0.25">
      <c r="A206" s="79">
        <v>1190</v>
      </c>
      <c r="B206" s="80" t="s">
        <v>331</v>
      </c>
      <c r="C206" s="81" t="s">
        <v>125</v>
      </c>
      <c r="D206" s="76">
        <v>0</v>
      </c>
      <c r="E206" s="78">
        <v>0</v>
      </c>
      <c r="F206" s="78">
        <v>0</v>
      </c>
      <c r="G206" s="78">
        <v>0</v>
      </c>
      <c r="H206" s="77">
        <f t="shared" si="4"/>
        <v>0</v>
      </c>
      <c r="I206" s="77">
        <v>0</v>
      </c>
      <c r="J206" s="29"/>
      <c r="K206" s="67"/>
    </row>
    <row r="207" spans="1:11" x14ac:dyDescent="0.25">
      <c r="A207" s="79">
        <v>1191</v>
      </c>
      <c r="B207" s="80" t="s">
        <v>332</v>
      </c>
      <c r="C207" s="81" t="s">
        <v>125</v>
      </c>
      <c r="D207" s="76">
        <v>0</v>
      </c>
      <c r="E207" s="78">
        <v>0</v>
      </c>
      <c r="F207" s="78">
        <v>0</v>
      </c>
      <c r="G207" s="78">
        <v>0</v>
      </c>
      <c r="H207" s="77">
        <f t="shared" si="4"/>
        <v>0</v>
      </c>
      <c r="I207" s="77">
        <v>0</v>
      </c>
      <c r="J207" s="29"/>
      <c r="K207" s="67"/>
    </row>
    <row r="208" spans="1:11" x14ac:dyDescent="0.25">
      <c r="A208" s="79">
        <v>1192</v>
      </c>
      <c r="B208" s="80" t="s">
        <v>333</v>
      </c>
      <c r="C208" s="81" t="s">
        <v>125</v>
      </c>
      <c r="D208" s="76">
        <v>0</v>
      </c>
      <c r="E208" s="78">
        <v>0</v>
      </c>
      <c r="F208" s="78">
        <v>0</v>
      </c>
      <c r="G208" s="78">
        <v>0</v>
      </c>
      <c r="H208" s="77">
        <f t="shared" si="4"/>
        <v>0</v>
      </c>
      <c r="I208" s="77">
        <v>0</v>
      </c>
      <c r="J208" s="29"/>
      <c r="K208" s="67"/>
    </row>
    <row r="209" spans="1:11" x14ac:dyDescent="0.25">
      <c r="A209" s="79">
        <v>1193</v>
      </c>
      <c r="B209" s="80" t="s">
        <v>334</v>
      </c>
      <c r="C209" s="81" t="s">
        <v>125</v>
      </c>
      <c r="D209" s="76">
        <v>0</v>
      </c>
      <c r="E209" s="78">
        <v>0</v>
      </c>
      <c r="F209" s="78">
        <v>0</v>
      </c>
      <c r="G209" s="78">
        <v>0</v>
      </c>
      <c r="H209" s="77">
        <f t="shared" si="4"/>
        <v>0</v>
      </c>
      <c r="I209" s="77">
        <v>0</v>
      </c>
      <c r="J209" s="29"/>
      <c r="K209" s="67"/>
    </row>
    <row r="210" spans="1:11" x14ac:dyDescent="0.25">
      <c r="A210" s="79">
        <v>1194</v>
      </c>
      <c r="B210" s="80" t="s">
        <v>335</v>
      </c>
      <c r="C210" s="81" t="s">
        <v>125</v>
      </c>
      <c r="D210" s="76">
        <v>0</v>
      </c>
      <c r="E210" s="78">
        <v>0</v>
      </c>
      <c r="F210" s="78">
        <v>0</v>
      </c>
      <c r="G210" s="78">
        <v>0</v>
      </c>
      <c r="H210" s="77">
        <f t="shared" si="4"/>
        <v>0</v>
      </c>
      <c r="I210" s="77">
        <v>0</v>
      </c>
      <c r="J210" s="29"/>
      <c r="K210" s="67"/>
    </row>
    <row r="211" spans="1:11" x14ac:dyDescent="0.25">
      <c r="A211" s="79">
        <v>1195</v>
      </c>
      <c r="B211" s="80" t="s">
        <v>336</v>
      </c>
      <c r="C211" s="81" t="s">
        <v>125</v>
      </c>
      <c r="D211" s="76">
        <v>0</v>
      </c>
      <c r="E211" s="78">
        <v>0</v>
      </c>
      <c r="F211" s="78">
        <v>0</v>
      </c>
      <c r="G211" s="78">
        <v>0</v>
      </c>
      <c r="H211" s="77">
        <f t="shared" si="4"/>
        <v>0</v>
      </c>
      <c r="I211" s="77">
        <v>0</v>
      </c>
      <c r="J211" s="29"/>
      <c r="K211" s="67"/>
    </row>
    <row r="212" spans="1:11" x14ac:dyDescent="0.25">
      <c r="A212" s="79">
        <v>1196</v>
      </c>
      <c r="B212" s="80" t="s">
        <v>337</v>
      </c>
      <c r="C212" s="81" t="s">
        <v>125</v>
      </c>
      <c r="D212" s="76">
        <v>0</v>
      </c>
      <c r="E212" s="78">
        <v>0</v>
      </c>
      <c r="F212" s="78">
        <v>0</v>
      </c>
      <c r="G212" s="78">
        <v>0</v>
      </c>
      <c r="H212" s="77">
        <f t="shared" si="4"/>
        <v>0</v>
      </c>
      <c r="I212" s="77">
        <v>0</v>
      </c>
      <c r="J212" s="29"/>
      <c r="K212" s="67"/>
    </row>
    <row r="213" spans="1:11" x14ac:dyDescent="0.25">
      <c r="A213" s="79">
        <v>1197</v>
      </c>
      <c r="B213" s="80" t="s">
        <v>338</v>
      </c>
      <c r="C213" s="81" t="s">
        <v>125</v>
      </c>
      <c r="D213" s="76">
        <v>0</v>
      </c>
      <c r="E213" s="78">
        <v>0</v>
      </c>
      <c r="F213" s="78">
        <v>0</v>
      </c>
      <c r="G213" s="78">
        <v>0</v>
      </c>
      <c r="H213" s="77">
        <f t="shared" si="4"/>
        <v>0</v>
      </c>
      <c r="I213" s="77">
        <v>0</v>
      </c>
      <c r="J213" s="29"/>
      <c r="K213" s="67"/>
    </row>
    <row r="214" spans="1:11" x14ac:dyDescent="0.25">
      <c r="A214" s="79">
        <v>1198</v>
      </c>
      <c r="B214" s="80" t="s">
        <v>339</v>
      </c>
      <c r="C214" s="81" t="s">
        <v>125</v>
      </c>
      <c r="D214" s="76">
        <v>0</v>
      </c>
      <c r="E214" s="78">
        <v>0</v>
      </c>
      <c r="F214" s="78">
        <v>0</v>
      </c>
      <c r="G214" s="78">
        <v>0</v>
      </c>
      <c r="H214" s="77">
        <f t="shared" si="4"/>
        <v>0</v>
      </c>
      <c r="I214" s="77">
        <v>0</v>
      </c>
      <c r="J214" s="29"/>
      <c r="K214" s="67"/>
    </row>
    <row r="215" spans="1:11" x14ac:dyDescent="0.25">
      <c r="A215" s="79">
        <v>1199</v>
      </c>
      <c r="B215" s="80" t="s">
        <v>340</v>
      </c>
      <c r="C215" s="81" t="s">
        <v>125</v>
      </c>
      <c r="D215" s="76">
        <v>0</v>
      </c>
      <c r="E215" s="78">
        <v>0</v>
      </c>
      <c r="F215" s="78">
        <v>0</v>
      </c>
      <c r="G215" s="78">
        <v>0</v>
      </c>
      <c r="H215" s="77">
        <f t="shared" si="4"/>
        <v>0</v>
      </c>
      <c r="I215" s="77">
        <v>0</v>
      </c>
      <c r="J215" s="29"/>
      <c r="K215" s="67"/>
    </row>
    <row r="216" spans="1:11" x14ac:dyDescent="0.25">
      <c r="A216" s="79">
        <v>1200</v>
      </c>
      <c r="B216" s="80" t="s">
        <v>341</v>
      </c>
      <c r="C216" s="81" t="s">
        <v>125</v>
      </c>
      <c r="D216" s="76">
        <v>0</v>
      </c>
      <c r="E216" s="78">
        <v>0</v>
      </c>
      <c r="F216" s="78">
        <v>0</v>
      </c>
      <c r="G216" s="78">
        <v>0</v>
      </c>
      <c r="H216" s="77">
        <f t="shared" si="4"/>
        <v>0</v>
      </c>
      <c r="I216" s="77">
        <v>0</v>
      </c>
      <c r="J216" s="29"/>
      <c r="K216" s="67"/>
    </row>
    <row r="217" spans="1:11" x14ac:dyDescent="0.25">
      <c r="A217" s="79">
        <v>1201</v>
      </c>
      <c r="B217" s="80" t="s">
        <v>342</v>
      </c>
      <c r="C217" s="81" t="s">
        <v>125</v>
      </c>
      <c r="D217" s="76">
        <v>0</v>
      </c>
      <c r="E217" s="78">
        <v>0</v>
      </c>
      <c r="F217" s="78">
        <v>0</v>
      </c>
      <c r="G217" s="78">
        <v>0</v>
      </c>
      <c r="H217" s="77">
        <f t="shared" si="4"/>
        <v>0</v>
      </c>
      <c r="I217" s="77">
        <v>0</v>
      </c>
      <c r="J217" s="29"/>
      <c r="K217" s="67"/>
    </row>
    <row r="218" spans="1:11" x14ac:dyDescent="0.25">
      <c r="A218" s="79">
        <v>1202</v>
      </c>
      <c r="B218" s="80" t="s">
        <v>343</v>
      </c>
      <c r="C218" s="81" t="s">
        <v>125</v>
      </c>
      <c r="D218" s="76">
        <v>0</v>
      </c>
      <c r="E218" s="78">
        <v>0</v>
      </c>
      <c r="F218" s="78">
        <v>0</v>
      </c>
      <c r="G218" s="78">
        <v>0</v>
      </c>
      <c r="H218" s="77">
        <f t="shared" si="4"/>
        <v>0</v>
      </c>
      <c r="I218" s="77">
        <v>0</v>
      </c>
      <c r="J218" s="29"/>
      <c r="K218" s="67"/>
    </row>
    <row r="219" spans="1:11" x14ac:dyDescent="0.25">
      <c r="A219" s="79">
        <v>1203</v>
      </c>
      <c r="B219" s="80" t="s">
        <v>344</v>
      </c>
      <c r="C219" s="81" t="s">
        <v>125</v>
      </c>
      <c r="D219" s="76">
        <v>0</v>
      </c>
      <c r="E219" s="78">
        <v>0</v>
      </c>
      <c r="F219" s="78">
        <v>0</v>
      </c>
      <c r="G219" s="78">
        <v>0</v>
      </c>
      <c r="H219" s="77">
        <f t="shared" si="4"/>
        <v>0</v>
      </c>
      <c r="I219" s="77">
        <v>0</v>
      </c>
      <c r="J219" s="29"/>
      <c r="K219" s="67"/>
    </row>
    <row r="220" spans="1:11" x14ac:dyDescent="0.25">
      <c r="A220" s="79">
        <v>1204</v>
      </c>
      <c r="B220" s="80" t="s">
        <v>345</v>
      </c>
      <c r="C220" s="81" t="s">
        <v>125</v>
      </c>
      <c r="D220" s="76">
        <v>0</v>
      </c>
      <c r="E220" s="78">
        <v>0</v>
      </c>
      <c r="F220" s="78">
        <v>0</v>
      </c>
      <c r="G220" s="78">
        <v>0</v>
      </c>
      <c r="H220" s="77">
        <f t="shared" si="4"/>
        <v>0</v>
      </c>
      <c r="I220" s="77">
        <v>0</v>
      </c>
      <c r="J220" s="29"/>
      <c r="K220" s="67"/>
    </row>
    <row r="221" spans="1:11" x14ac:dyDescent="0.25">
      <c r="A221" s="79">
        <v>1205</v>
      </c>
      <c r="B221" s="80" t="s">
        <v>346</v>
      </c>
      <c r="C221" s="81" t="s">
        <v>125</v>
      </c>
      <c r="D221" s="76">
        <v>0</v>
      </c>
      <c r="E221" s="78">
        <v>0</v>
      </c>
      <c r="F221" s="78">
        <v>0</v>
      </c>
      <c r="G221" s="78">
        <v>0</v>
      </c>
      <c r="H221" s="77">
        <f t="shared" si="4"/>
        <v>0</v>
      </c>
      <c r="I221" s="77">
        <v>0</v>
      </c>
      <c r="J221" s="29"/>
      <c r="K221" s="67"/>
    </row>
    <row r="222" spans="1:11" x14ac:dyDescent="0.25">
      <c r="A222" s="79">
        <v>1206</v>
      </c>
      <c r="B222" s="80" t="s">
        <v>347</v>
      </c>
      <c r="C222" s="81" t="s">
        <v>125</v>
      </c>
      <c r="D222" s="76">
        <v>0</v>
      </c>
      <c r="E222" s="78">
        <v>0</v>
      </c>
      <c r="F222" s="78">
        <v>0</v>
      </c>
      <c r="G222" s="78">
        <v>0</v>
      </c>
      <c r="H222" s="77">
        <f t="shared" si="4"/>
        <v>0</v>
      </c>
      <c r="I222" s="77">
        <v>0</v>
      </c>
      <c r="J222" s="29"/>
      <c r="K222" s="67"/>
    </row>
    <row r="223" spans="1:11" x14ac:dyDescent="0.25">
      <c r="A223" s="79">
        <v>1207</v>
      </c>
      <c r="B223" s="80" t="s">
        <v>348</v>
      </c>
      <c r="C223" s="81" t="s">
        <v>125</v>
      </c>
      <c r="D223" s="76">
        <v>0</v>
      </c>
      <c r="E223" s="78">
        <v>0</v>
      </c>
      <c r="F223" s="78">
        <v>0</v>
      </c>
      <c r="G223" s="78">
        <v>0</v>
      </c>
      <c r="H223" s="77">
        <f t="shared" si="4"/>
        <v>0</v>
      </c>
      <c r="I223" s="77">
        <v>0</v>
      </c>
      <c r="J223" s="29"/>
      <c r="K223" s="67"/>
    </row>
    <row r="224" spans="1:11" x14ac:dyDescent="0.25">
      <c r="A224" s="79">
        <v>1208</v>
      </c>
      <c r="B224" s="80" t="s">
        <v>349</v>
      </c>
      <c r="C224" s="81" t="s">
        <v>125</v>
      </c>
      <c r="D224" s="76">
        <v>0</v>
      </c>
      <c r="E224" s="78">
        <v>0</v>
      </c>
      <c r="F224" s="78">
        <v>0</v>
      </c>
      <c r="G224" s="78">
        <v>0</v>
      </c>
      <c r="H224" s="77">
        <f t="shared" si="4"/>
        <v>0</v>
      </c>
      <c r="I224" s="77">
        <v>0</v>
      </c>
      <c r="J224" s="29"/>
      <c r="K224" s="67"/>
    </row>
    <row r="225" spans="1:11" x14ac:dyDescent="0.25">
      <c r="A225" s="79">
        <v>1213</v>
      </c>
      <c r="B225" s="80" t="s">
        <v>350</v>
      </c>
      <c r="C225" s="81" t="s">
        <v>125</v>
      </c>
      <c r="D225" s="76">
        <v>0</v>
      </c>
      <c r="E225" s="78">
        <v>0</v>
      </c>
      <c r="F225" s="78">
        <v>0</v>
      </c>
      <c r="G225" s="78">
        <v>0</v>
      </c>
      <c r="H225" s="77">
        <f t="shared" si="4"/>
        <v>0</v>
      </c>
      <c r="I225" s="77">
        <v>0</v>
      </c>
      <c r="J225" s="29"/>
      <c r="K225" s="67"/>
    </row>
    <row r="226" spans="1:11" x14ac:dyDescent="0.25">
      <c r="A226" s="79">
        <v>1214</v>
      </c>
      <c r="B226" s="80" t="s">
        <v>351</v>
      </c>
      <c r="C226" s="81" t="s">
        <v>125</v>
      </c>
      <c r="D226" s="76">
        <v>0</v>
      </c>
      <c r="E226" s="78">
        <v>0</v>
      </c>
      <c r="F226" s="78">
        <v>0</v>
      </c>
      <c r="G226" s="78">
        <v>0</v>
      </c>
      <c r="H226" s="77">
        <f t="shared" si="4"/>
        <v>0</v>
      </c>
      <c r="I226" s="77">
        <v>0</v>
      </c>
      <c r="J226" s="29"/>
      <c r="K226" s="67"/>
    </row>
    <row r="227" spans="1:11" x14ac:dyDescent="0.25">
      <c r="A227" s="79">
        <v>1215</v>
      </c>
      <c r="B227" s="80" t="s">
        <v>352</v>
      </c>
      <c r="C227" s="81" t="s">
        <v>125</v>
      </c>
      <c r="D227" s="76">
        <v>0</v>
      </c>
      <c r="E227" s="78">
        <v>0</v>
      </c>
      <c r="F227" s="78">
        <v>0</v>
      </c>
      <c r="G227" s="78">
        <v>0</v>
      </c>
      <c r="H227" s="77">
        <f t="shared" si="4"/>
        <v>0</v>
      </c>
      <c r="I227" s="77">
        <v>0</v>
      </c>
      <c r="J227" s="29"/>
      <c r="K227" s="67"/>
    </row>
    <row r="228" spans="1:11" x14ac:dyDescent="0.25">
      <c r="A228" s="79">
        <v>1216</v>
      </c>
      <c r="B228" s="80" t="s">
        <v>353</v>
      </c>
      <c r="C228" s="81" t="s">
        <v>125</v>
      </c>
      <c r="D228" s="76">
        <v>0</v>
      </c>
      <c r="E228" s="78">
        <v>0</v>
      </c>
      <c r="F228" s="78">
        <v>0</v>
      </c>
      <c r="G228" s="78">
        <v>0</v>
      </c>
      <c r="H228" s="77">
        <f t="shared" si="4"/>
        <v>0</v>
      </c>
      <c r="I228" s="77">
        <v>0</v>
      </c>
      <c r="J228" s="29"/>
      <c r="K228" s="67"/>
    </row>
    <row r="229" spans="1:11" x14ac:dyDescent="0.25">
      <c r="A229" s="79">
        <v>1209</v>
      </c>
      <c r="B229" s="80" t="s">
        <v>354</v>
      </c>
      <c r="C229" s="81" t="s">
        <v>125</v>
      </c>
      <c r="D229" s="76">
        <v>0</v>
      </c>
      <c r="E229" s="78">
        <v>0</v>
      </c>
      <c r="F229" s="78">
        <v>0</v>
      </c>
      <c r="G229" s="78">
        <v>0</v>
      </c>
      <c r="H229" s="77">
        <f t="shared" si="4"/>
        <v>0</v>
      </c>
      <c r="I229" s="77">
        <v>0</v>
      </c>
      <c r="J229" s="29"/>
      <c r="K229" s="67"/>
    </row>
    <row r="230" spans="1:11" x14ac:dyDescent="0.25">
      <c r="A230" s="79">
        <v>1210</v>
      </c>
      <c r="B230" s="80" t="s">
        <v>355</v>
      </c>
      <c r="C230" s="81" t="s">
        <v>125</v>
      </c>
      <c r="D230" s="76">
        <v>0</v>
      </c>
      <c r="E230" s="78">
        <v>0</v>
      </c>
      <c r="F230" s="78">
        <v>0</v>
      </c>
      <c r="G230" s="78">
        <v>0</v>
      </c>
      <c r="H230" s="77">
        <f t="shared" ref="H230:H274" si="5">E230*F230*G230/1000000</f>
        <v>0</v>
      </c>
      <c r="I230" s="77">
        <v>0</v>
      </c>
      <c r="J230" s="29"/>
      <c r="K230" s="67"/>
    </row>
    <row r="231" spans="1:11" x14ac:dyDescent="0.25">
      <c r="A231" s="79">
        <v>1211</v>
      </c>
      <c r="B231" s="80" t="s">
        <v>356</v>
      </c>
      <c r="C231" s="81" t="s">
        <v>125</v>
      </c>
      <c r="D231" s="76">
        <v>0</v>
      </c>
      <c r="E231" s="78">
        <v>0</v>
      </c>
      <c r="F231" s="78">
        <v>0</v>
      </c>
      <c r="G231" s="78">
        <v>0</v>
      </c>
      <c r="H231" s="77">
        <f t="shared" si="5"/>
        <v>0</v>
      </c>
      <c r="I231" s="77">
        <v>0</v>
      </c>
      <c r="J231" s="29"/>
      <c r="K231" s="67"/>
    </row>
    <row r="232" spans="1:11" x14ac:dyDescent="0.25">
      <c r="A232" s="79">
        <v>1212</v>
      </c>
      <c r="B232" s="80" t="s">
        <v>357</v>
      </c>
      <c r="C232" s="81" t="s">
        <v>125</v>
      </c>
      <c r="D232" s="76">
        <v>0</v>
      </c>
      <c r="E232" s="78">
        <v>0</v>
      </c>
      <c r="F232" s="78">
        <v>0</v>
      </c>
      <c r="G232" s="78">
        <v>0</v>
      </c>
      <c r="H232" s="77">
        <f t="shared" si="5"/>
        <v>0</v>
      </c>
      <c r="I232" s="77">
        <v>0</v>
      </c>
      <c r="J232" s="29"/>
      <c r="K232" s="67"/>
    </row>
    <row r="233" spans="1:11" x14ac:dyDescent="0.25">
      <c r="A233" s="79">
        <v>1217</v>
      </c>
      <c r="B233" s="80" t="s">
        <v>358</v>
      </c>
      <c r="C233" s="81" t="s">
        <v>125</v>
      </c>
      <c r="D233" s="76">
        <v>0</v>
      </c>
      <c r="E233" s="78">
        <v>0</v>
      </c>
      <c r="F233" s="78">
        <v>0</v>
      </c>
      <c r="G233" s="78">
        <v>0</v>
      </c>
      <c r="H233" s="77">
        <f t="shared" si="5"/>
        <v>0</v>
      </c>
      <c r="I233" s="77">
        <v>0</v>
      </c>
      <c r="J233" s="29"/>
      <c r="K233" s="67"/>
    </row>
    <row r="234" spans="1:11" x14ac:dyDescent="0.25">
      <c r="A234" s="79">
        <v>1218</v>
      </c>
      <c r="B234" s="80" t="s">
        <v>359</v>
      </c>
      <c r="C234" s="81" t="s">
        <v>125</v>
      </c>
      <c r="D234" s="76">
        <v>0</v>
      </c>
      <c r="E234" s="78">
        <v>0</v>
      </c>
      <c r="F234" s="78">
        <v>0</v>
      </c>
      <c r="G234" s="78">
        <v>0</v>
      </c>
      <c r="H234" s="77">
        <f t="shared" si="5"/>
        <v>0</v>
      </c>
      <c r="I234" s="77">
        <v>0</v>
      </c>
      <c r="J234" s="29"/>
      <c r="K234" s="67"/>
    </row>
    <row r="235" spans="1:11" x14ac:dyDescent="0.25">
      <c r="A235" s="79">
        <v>1219</v>
      </c>
      <c r="B235" s="80" t="s">
        <v>360</v>
      </c>
      <c r="C235" s="81" t="s">
        <v>125</v>
      </c>
      <c r="D235" s="76">
        <v>0</v>
      </c>
      <c r="E235" s="78">
        <v>0</v>
      </c>
      <c r="F235" s="78">
        <v>0</v>
      </c>
      <c r="G235" s="78">
        <v>0</v>
      </c>
      <c r="H235" s="77">
        <f t="shared" si="5"/>
        <v>0</v>
      </c>
      <c r="I235" s="77">
        <v>0</v>
      </c>
      <c r="J235" s="29"/>
      <c r="K235" s="67"/>
    </row>
    <row r="236" spans="1:11" x14ac:dyDescent="0.25">
      <c r="A236" s="79">
        <v>1220</v>
      </c>
      <c r="B236" s="80" t="s">
        <v>361</v>
      </c>
      <c r="C236" s="81" t="s">
        <v>125</v>
      </c>
      <c r="D236" s="76">
        <v>0</v>
      </c>
      <c r="E236" s="78">
        <v>0</v>
      </c>
      <c r="F236" s="78">
        <v>0</v>
      </c>
      <c r="G236" s="78">
        <v>0</v>
      </c>
      <c r="H236" s="77">
        <f t="shared" si="5"/>
        <v>0</v>
      </c>
      <c r="I236" s="77">
        <v>0</v>
      </c>
      <c r="J236" s="29"/>
      <c r="K236" s="67"/>
    </row>
    <row r="237" spans="1:11" x14ac:dyDescent="0.25">
      <c r="A237" s="79">
        <v>1225</v>
      </c>
      <c r="B237" s="80" t="s">
        <v>362</v>
      </c>
      <c r="C237" s="81" t="s">
        <v>125</v>
      </c>
      <c r="D237" s="76">
        <v>0</v>
      </c>
      <c r="E237" s="78">
        <v>0</v>
      </c>
      <c r="F237" s="78">
        <v>0</v>
      </c>
      <c r="G237" s="78">
        <v>0</v>
      </c>
      <c r="H237" s="77">
        <f t="shared" si="5"/>
        <v>0</v>
      </c>
      <c r="I237" s="77">
        <v>0</v>
      </c>
      <c r="J237" s="29"/>
      <c r="K237" s="67"/>
    </row>
    <row r="238" spans="1:11" x14ac:dyDescent="0.25">
      <c r="A238" s="79">
        <v>1226</v>
      </c>
      <c r="B238" s="80" t="s">
        <v>363</v>
      </c>
      <c r="C238" s="81" t="s">
        <v>125</v>
      </c>
      <c r="D238" s="76">
        <v>0</v>
      </c>
      <c r="E238" s="78">
        <v>0</v>
      </c>
      <c r="F238" s="78">
        <v>0</v>
      </c>
      <c r="G238" s="78">
        <v>0</v>
      </c>
      <c r="H238" s="77">
        <f t="shared" si="5"/>
        <v>0</v>
      </c>
      <c r="I238" s="77">
        <v>0</v>
      </c>
      <c r="J238" s="29"/>
      <c r="K238" s="67"/>
    </row>
    <row r="239" spans="1:11" x14ac:dyDescent="0.25">
      <c r="A239" s="79">
        <v>1227</v>
      </c>
      <c r="B239" s="80" t="s">
        <v>364</v>
      </c>
      <c r="C239" s="81" t="s">
        <v>125</v>
      </c>
      <c r="D239" s="76">
        <v>0</v>
      </c>
      <c r="E239" s="78">
        <v>0</v>
      </c>
      <c r="F239" s="78">
        <v>0</v>
      </c>
      <c r="G239" s="78">
        <v>0</v>
      </c>
      <c r="H239" s="77">
        <f t="shared" si="5"/>
        <v>0</v>
      </c>
      <c r="I239" s="77">
        <v>0</v>
      </c>
      <c r="J239" s="29"/>
      <c r="K239" s="67"/>
    </row>
    <row r="240" spans="1:11" x14ac:dyDescent="0.25">
      <c r="A240" s="79">
        <v>1228</v>
      </c>
      <c r="B240" s="80" t="s">
        <v>365</v>
      </c>
      <c r="C240" s="81" t="s">
        <v>125</v>
      </c>
      <c r="D240" s="76">
        <v>0</v>
      </c>
      <c r="E240" s="78">
        <v>0</v>
      </c>
      <c r="F240" s="78">
        <v>0</v>
      </c>
      <c r="G240" s="78">
        <v>0</v>
      </c>
      <c r="H240" s="77">
        <f t="shared" si="5"/>
        <v>0</v>
      </c>
      <c r="I240" s="77">
        <v>0</v>
      </c>
      <c r="J240" s="29"/>
      <c r="K240" s="67"/>
    </row>
    <row r="241" spans="1:11" x14ac:dyDescent="0.25">
      <c r="A241" s="79">
        <v>1221</v>
      </c>
      <c r="B241" s="80" t="s">
        <v>366</v>
      </c>
      <c r="C241" s="81" t="s">
        <v>125</v>
      </c>
      <c r="D241" s="76">
        <v>0</v>
      </c>
      <c r="E241" s="78">
        <v>0</v>
      </c>
      <c r="F241" s="78">
        <v>0</v>
      </c>
      <c r="G241" s="78">
        <v>0</v>
      </c>
      <c r="H241" s="77">
        <f t="shared" si="5"/>
        <v>0</v>
      </c>
      <c r="I241" s="77">
        <v>0</v>
      </c>
      <c r="J241" s="29"/>
      <c r="K241" s="67"/>
    </row>
    <row r="242" spans="1:11" x14ac:dyDescent="0.25">
      <c r="A242" s="79">
        <v>1222</v>
      </c>
      <c r="B242" s="80" t="s">
        <v>367</v>
      </c>
      <c r="C242" s="81" t="s">
        <v>125</v>
      </c>
      <c r="D242" s="76">
        <v>0</v>
      </c>
      <c r="E242" s="78">
        <v>0</v>
      </c>
      <c r="F242" s="78">
        <v>0</v>
      </c>
      <c r="G242" s="78">
        <v>0</v>
      </c>
      <c r="H242" s="77">
        <f t="shared" si="5"/>
        <v>0</v>
      </c>
      <c r="I242" s="77">
        <v>0</v>
      </c>
      <c r="J242" s="29"/>
      <c r="K242" s="67"/>
    </row>
    <row r="243" spans="1:11" x14ac:dyDescent="0.25">
      <c r="A243" s="79">
        <v>1223</v>
      </c>
      <c r="B243" s="80" t="s">
        <v>368</v>
      </c>
      <c r="C243" s="81" t="s">
        <v>125</v>
      </c>
      <c r="D243" s="76">
        <v>0</v>
      </c>
      <c r="E243" s="78">
        <v>0</v>
      </c>
      <c r="F243" s="78">
        <v>0</v>
      </c>
      <c r="G243" s="78">
        <v>0</v>
      </c>
      <c r="H243" s="77">
        <f t="shared" si="5"/>
        <v>0</v>
      </c>
      <c r="I243" s="77">
        <v>0</v>
      </c>
      <c r="J243" s="29"/>
      <c r="K243" s="67"/>
    </row>
    <row r="244" spans="1:11" x14ac:dyDescent="0.25">
      <c r="A244" s="79">
        <v>1224</v>
      </c>
      <c r="B244" s="80" t="s">
        <v>369</v>
      </c>
      <c r="C244" s="81" t="s">
        <v>125</v>
      </c>
      <c r="D244" s="76">
        <v>0</v>
      </c>
      <c r="E244" s="78">
        <v>0</v>
      </c>
      <c r="F244" s="78">
        <v>0</v>
      </c>
      <c r="G244" s="78">
        <v>0</v>
      </c>
      <c r="H244" s="77">
        <f t="shared" si="5"/>
        <v>0</v>
      </c>
      <c r="I244" s="77">
        <v>0</v>
      </c>
      <c r="J244" s="29"/>
      <c r="K244" s="67"/>
    </row>
    <row r="245" spans="1:11" x14ac:dyDescent="0.25">
      <c r="A245" s="79">
        <v>1229</v>
      </c>
      <c r="B245" s="80" t="s">
        <v>370</v>
      </c>
      <c r="C245" s="81" t="s">
        <v>125</v>
      </c>
      <c r="D245" s="76">
        <v>0</v>
      </c>
      <c r="E245" s="78">
        <v>0</v>
      </c>
      <c r="F245" s="78">
        <v>0</v>
      </c>
      <c r="G245" s="78">
        <v>0</v>
      </c>
      <c r="H245" s="77">
        <f t="shared" si="5"/>
        <v>0</v>
      </c>
      <c r="I245" s="77">
        <v>0</v>
      </c>
      <c r="J245" s="29"/>
    </row>
    <row r="246" spans="1:11" x14ac:dyDescent="0.25">
      <c r="A246" s="79">
        <v>1230</v>
      </c>
      <c r="B246" s="80" t="s">
        <v>371</v>
      </c>
      <c r="C246" s="81" t="s">
        <v>125</v>
      </c>
      <c r="D246" s="76">
        <v>0</v>
      </c>
      <c r="E246" s="78">
        <v>0</v>
      </c>
      <c r="F246" s="78">
        <v>0</v>
      </c>
      <c r="G246" s="78">
        <v>0</v>
      </c>
      <c r="H246" s="77">
        <f t="shared" si="5"/>
        <v>0</v>
      </c>
      <c r="I246" s="77">
        <v>0</v>
      </c>
      <c r="J246" s="29"/>
    </row>
    <row r="247" spans="1:11" x14ac:dyDescent="0.25">
      <c r="A247" s="79">
        <v>1231</v>
      </c>
      <c r="B247" s="80" t="s">
        <v>372</v>
      </c>
      <c r="C247" s="81" t="s">
        <v>125</v>
      </c>
      <c r="D247" s="76">
        <v>0</v>
      </c>
      <c r="E247" s="78">
        <v>0</v>
      </c>
      <c r="F247" s="78">
        <v>0</v>
      </c>
      <c r="G247" s="78">
        <v>0</v>
      </c>
      <c r="H247" s="77">
        <f t="shared" si="5"/>
        <v>0</v>
      </c>
      <c r="I247" s="77">
        <v>0</v>
      </c>
      <c r="J247" s="29"/>
    </row>
    <row r="248" spans="1:11" x14ac:dyDescent="0.25">
      <c r="A248" s="79">
        <v>1232</v>
      </c>
      <c r="B248" s="80" t="s">
        <v>373</v>
      </c>
      <c r="C248" s="81" t="s">
        <v>125</v>
      </c>
      <c r="D248" s="76">
        <v>0</v>
      </c>
      <c r="E248" s="78">
        <v>0</v>
      </c>
      <c r="F248" s="78">
        <v>0</v>
      </c>
      <c r="G248" s="78">
        <v>0</v>
      </c>
      <c r="H248" s="77">
        <f t="shared" si="5"/>
        <v>0</v>
      </c>
      <c r="I248" s="77">
        <v>0</v>
      </c>
      <c r="J248" s="29"/>
    </row>
    <row r="249" spans="1:11" x14ac:dyDescent="0.25">
      <c r="A249" s="79">
        <v>1233</v>
      </c>
      <c r="B249" s="80" t="s">
        <v>374</v>
      </c>
      <c r="C249" s="81" t="s">
        <v>125</v>
      </c>
      <c r="D249" s="76">
        <v>0</v>
      </c>
      <c r="E249" s="78">
        <v>0</v>
      </c>
      <c r="F249" s="78">
        <v>0</v>
      </c>
      <c r="G249" s="78">
        <v>0</v>
      </c>
      <c r="H249" s="77">
        <f t="shared" si="5"/>
        <v>0</v>
      </c>
      <c r="I249" s="77">
        <v>0</v>
      </c>
      <c r="J249" s="29"/>
    </row>
    <row r="250" spans="1:11" x14ac:dyDescent="0.25">
      <c r="A250" s="79">
        <v>1234</v>
      </c>
      <c r="B250" s="80" t="s">
        <v>375</v>
      </c>
      <c r="C250" s="81" t="s">
        <v>125</v>
      </c>
      <c r="D250" s="76">
        <v>0</v>
      </c>
      <c r="E250" s="78">
        <v>0</v>
      </c>
      <c r="F250" s="78">
        <v>0</v>
      </c>
      <c r="G250" s="78">
        <v>0</v>
      </c>
      <c r="H250" s="77">
        <f t="shared" si="5"/>
        <v>0</v>
      </c>
      <c r="I250" s="77">
        <v>0</v>
      </c>
      <c r="J250" s="29"/>
    </row>
    <row r="251" spans="1:11" x14ac:dyDescent="0.25">
      <c r="A251" s="79">
        <v>1235</v>
      </c>
      <c r="B251" s="80" t="s">
        <v>376</v>
      </c>
      <c r="C251" s="81" t="s">
        <v>125</v>
      </c>
      <c r="D251" s="76">
        <v>0</v>
      </c>
      <c r="E251" s="78">
        <v>0</v>
      </c>
      <c r="F251" s="78">
        <v>0</v>
      </c>
      <c r="G251" s="78">
        <v>0</v>
      </c>
      <c r="H251" s="77">
        <f t="shared" si="5"/>
        <v>0</v>
      </c>
      <c r="I251" s="77">
        <v>0</v>
      </c>
      <c r="J251" s="29"/>
    </row>
    <row r="252" spans="1:11" x14ac:dyDescent="0.25">
      <c r="A252" s="79">
        <v>1236</v>
      </c>
      <c r="B252" s="80" t="s">
        <v>377</v>
      </c>
      <c r="C252" s="81" t="s">
        <v>125</v>
      </c>
      <c r="D252" s="76">
        <v>0</v>
      </c>
      <c r="E252" s="78">
        <v>0</v>
      </c>
      <c r="F252" s="78">
        <v>0</v>
      </c>
      <c r="G252" s="78">
        <v>0</v>
      </c>
      <c r="H252" s="77">
        <f t="shared" si="5"/>
        <v>0</v>
      </c>
      <c r="I252" s="77">
        <v>0</v>
      </c>
      <c r="J252" s="29"/>
    </row>
    <row r="253" spans="1:11" x14ac:dyDescent="0.25">
      <c r="A253" s="79">
        <v>1237</v>
      </c>
      <c r="B253" s="80" t="s">
        <v>378</v>
      </c>
      <c r="C253" s="81" t="s">
        <v>125</v>
      </c>
      <c r="D253" s="76">
        <v>0</v>
      </c>
      <c r="E253" s="78">
        <v>0</v>
      </c>
      <c r="F253" s="78">
        <v>0</v>
      </c>
      <c r="G253" s="78">
        <v>0</v>
      </c>
      <c r="H253" s="77">
        <f t="shared" si="5"/>
        <v>0</v>
      </c>
      <c r="I253" s="77">
        <v>0</v>
      </c>
      <c r="J253" s="29"/>
    </row>
    <row r="254" spans="1:11" x14ac:dyDescent="0.25">
      <c r="A254" s="79">
        <v>1238</v>
      </c>
      <c r="B254" s="80" t="s">
        <v>379</v>
      </c>
      <c r="C254" s="81" t="s">
        <v>125</v>
      </c>
      <c r="D254" s="76">
        <v>0</v>
      </c>
      <c r="E254" s="78">
        <v>0</v>
      </c>
      <c r="F254" s="78">
        <v>0</v>
      </c>
      <c r="G254" s="78">
        <v>0</v>
      </c>
      <c r="H254" s="77">
        <f t="shared" si="5"/>
        <v>0</v>
      </c>
      <c r="I254" s="77">
        <v>0</v>
      </c>
      <c r="J254" s="29"/>
    </row>
    <row r="255" spans="1:11" x14ac:dyDescent="0.25">
      <c r="A255" s="79">
        <v>1239</v>
      </c>
      <c r="B255" s="80" t="s">
        <v>380</v>
      </c>
      <c r="C255" s="81" t="s">
        <v>125</v>
      </c>
      <c r="D255" s="76">
        <v>0</v>
      </c>
      <c r="E255" s="78">
        <v>0</v>
      </c>
      <c r="F255" s="78">
        <v>0</v>
      </c>
      <c r="G255" s="78">
        <v>0</v>
      </c>
      <c r="H255" s="77">
        <f t="shared" si="5"/>
        <v>0</v>
      </c>
      <c r="I255" s="77">
        <v>0</v>
      </c>
      <c r="J255" s="29"/>
    </row>
    <row r="256" spans="1:11" x14ac:dyDescent="0.25">
      <c r="A256" s="79">
        <v>1240</v>
      </c>
      <c r="B256" s="80" t="s">
        <v>381</v>
      </c>
      <c r="C256" s="81" t="s">
        <v>125</v>
      </c>
      <c r="D256" s="76">
        <v>0</v>
      </c>
      <c r="E256" s="78">
        <v>0</v>
      </c>
      <c r="F256" s="78">
        <v>0</v>
      </c>
      <c r="G256" s="78">
        <v>0</v>
      </c>
      <c r="H256" s="77">
        <f t="shared" si="5"/>
        <v>0</v>
      </c>
      <c r="I256" s="77">
        <v>0</v>
      </c>
      <c r="J256" s="29"/>
    </row>
    <row r="257" spans="1:10" x14ac:dyDescent="0.25">
      <c r="A257" s="79">
        <v>1241</v>
      </c>
      <c r="B257" s="80" t="s">
        <v>382</v>
      </c>
      <c r="C257" s="81" t="s">
        <v>125</v>
      </c>
      <c r="D257" s="76">
        <v>0</v>
      </c>
      <c r="E257" s="78">
        <v>0</v>
      </c>
      <c r="F257" s="78">
        <v>0</v>
      </c>
      <c r="G257" s="78">
        <v>0</v>
      </c>
      <c r="H257" s="77">
        <f t="shared" si="5"/>
        <v>0</v>
      </c>
      <c r="I257" s="77">
        <v>0</v>
      </c>
      <c r="J257" s="29"/>
    </row>
    <row r="258" spans="1:10" x14ac:dyDescent="0.25">
      <c r="A258" s="79">
        <v>1242</v>
      </c>
      <c r="B258" s="80" t="s">
        <v>383</v>
      </c>
      <c r="C258" s="81" t="s">
        <v>125</v>
      </c>
      <c r="D258" s="76">
        <v>0</v>
      </c>
      <c r="E258" s="78">
        <v>0</v>
      </c>
      <c r="F258" s="78">
        <v>0</v>
      </c>
      <c r="G258" s="78">
        <v>0</v>
      </c>
      <c r="H258" s="77">
        <f t="shared" si="5"/>
        <v>0</v>
      </c>
      <c r="I258" s="77">
        <v>0</v>
      </c>
      <c r="J258" s="29"/>
    </row>
    <row r="259" spans="1:10" x14ac:dyDescent="0.25">
      <c r="A259" s="79">
        <v>1243</v>
      </c>
      <c r="B259" s="80" t="s">
        <v>384</v>
      </c>
      <c r="C259" s="81" t="s">
        <v>125</v>
      </c>
      <c r="D259" s="76">
        <v>0</v>
      </c>
      <c r="E259" s="78">
        <v>0</v>
      </c>
      <c r="F259" s="78">
        <v>0</v>
      </c>
      <c r="G259" s="78">
        <v>0</v>
      </c>
      <c r="H259" s="77">
        <f t="shared" si="5"/>
        <v>0</v>
      </c>
      <c r="I259" s="77">
        <v>0</v>
      </c>
      <c r="J259" s="29"/>
    </row>
    <row r="260" spans="1:10" x14ac:dyDescent="0.25">
      <c r="A260" s="79">
        <v>1244</v>
      </c>
      <c r="B260" s="80" t="s">
        <v>385</v>
      </c>
      <c r="C260" s="81" t="s">
        <v>125</v>
      </c>
      <c r="D260" s="76">
        <v>0</v>
      </c>
      <c r="E260" s="78">
        <v>0</v>
      </c>
      <c r="F260" s="78">
        <v>0</v>
      </c>
      <c r="G260" s="78">
        <v>0</v>
      </c>
      <c r="H260" s="77">
        <f t="shared" si="5"/>
        <v>0</v>
      </c>
      <c r="I260" s="77">
        <v>0</v>
      </c>
      <c r="J260" s="29"/>
    </row>
    <row r="261" spans="1:10" x14ac:dyDescent="0.25">
      <c r="A261" s="79">
        <v>1245</v>
      </c>
      <c r="B261" s="80" t="s">
        <v>386</v>
      </c>
      <c r="C261" s="81" t="s">
        <v>125</v>
      </c>
      <c r="D261" s="76">
        <v>0</v>
      </c>
      <c r="E261" s="78">
        <v>0</v>
      </c>
      <c r="F261" s="78">
        <v>0</v>
      </c>
      <c r="G261" s="78">
        <v>0</v>
      </c>
      <c r="H261" s="77">
        <f t="shared" si="5"/>
        <v>0</v>
      </c>
      <c r="I261" s="77">
        <v>0</v>
      </c>
      <c r="J261" s="29"/>
    </row>
    <row r="262" spans="1:10" x14ac:dyDescent="0.25">
      <c r="A262" s="79">
        <v>1246</v>
      </c>
      <c r="B262" s="80" t="s">
        <v>387</v>
      </c>
      <c r="C262" s="81" t="s">
        <v>125</v>
      </c>
      <c r="D262" s="76">
        <v>0</v>
      </c>
      <c r="E262" s="78">
        <v>0</v>
      </c>
      <c r="F262" s="78">
        <v>0</v>
      </c>
      <c r="G262" s="78">
        <v>0</v>
      </c>
      <c r="H262" s="77">
        <f t="shared" si="5"/>
        <v>0</v>
      </c>
      <c r="I262" s="77">
        <v>0</v>
      </c>
      <c r="J262" s="29"/>
    </row>
    <row r="263" spans="1:10" x14ac:dyDescent="0.25">
      <c r="A263" s="79">
        <v>1247</v>
      </c>
      <c r="B263" s="80" t="s">
        <v>388</v>
      </c>
      <c r="C263" s="81" t="s">
        <v>125</v>
      </c>
      <c r="D263" s="76">
        <v>0</v>
      </c>
      <c r="E263" s="78">
        <v>0</v>
      </c>
      <c r="F263" s="78">
        <v>0</v>
      </c>
      <c r="G263" s="78">
        <v>0</v>
      </c>
      <c r="H263" s="77">
        <f t="shared" si="5"/>
        <v>0</v>
      </c>
      <c r="I263" s="77">
        <v>0</v>
      </c>
      <c r="J263" s="29"/>
    </row>
    <row r="264" spans="1:10" x14ac:dyDescent="0.25">
      <c r="A264" s="79">
        <v>1248</v>
      </c>
      <c r="B264" s="80" t="s">
        <v>389</v>
      </c>
      <c r="C264" s="81" t="s">
        <v>125</v>
      </c>
      <c r="D264" s="76">
        <v>0</v>
      </c>
      <c r="E264" s="78">
        <v>0</v>
      </c>
      <c r="F264" s="78">
        <v>0</v>
      </c>
      <c r="G264" s="78">
        <v>0</v>
      </c>
      <c r="H264" s="77">
        <f t="shared" si="5"/>
        <v>0</v>
      </c>
      <c r="I264" s="77">
        <v>0</v>
      </c>
      <c r="J264" s="29"/>
    </row>
    <row r="265" spans="1:10" x14ac:dyDescent="0.25">
      <c r="A265" s="79">
        <v>25714</v>
      </c>
      <c r="B265" s="80" t="s">
        <v>73</v>
      </c>
      <c r="C265" s="81" t="s">
        <v>125</v>
      </c>
      <c r="D265" s="76">
        <v>0</v>
      </c>
      <c r="E265" s="78">
        <v>0</v>
      </c>
      <c r="F265" s="78">
        <v>0</v>
      </c>
      <c r="G265" s="78">
        <v>0</v>
      </c>
      <c r="H265" s="77">
        <f t="shared" si="5"/>
        <v>0</v>
      </c>
      <c r="I265" s="77">
        <v>0</v>
      </c>
      <c r="J265" s="29"/>
    </row>
    <row r="266" spans="1:10" x14ac:dyDescent="0.25">
      <c r="A266" s="79">
        <v>25712</v>
      </c>
      <c r="B266" s="80" t="s">
        <v>74</v>
      </c>
      <c r="C266" s="81" t="s">
        <v>125</v>
      </c>
      <c r="D266" s="76">
        <v>0</v>
      </c>
      <c r="E266" s="78">
        <v>0</v>
      </c>
      <c r="F266" s="78">
        <v>0</v>
      </c>
      <c r="G266" s="78">
        <v>0</v>
      </c>
      <c r="H266" s="77">
        <f t="shared" si="5"/>
        <v>0</v>
      </c>
      <c r="I266" s="77">
        <v>0</v>
      </c>
      <c r="J266" s="29"/>
    </row>
    <row r="267" spans="1:10" x14ac:dyDescent="0.25">
      <c r="A267" s="79">
        <v>25713</v>
      </c>
      <c r="B267" s="80" t="s">
        <v>75</v>
      </c>
      <c r="C267" s="81" t="s">
        <v>125</v>
      </c>
      <c r="D267" s="76">
        <v>0</v>
      </c>
      <c r="E267" s="78">
        <v>0</v>
      </c>
      <c r="F267" s="78">
        <v>0</v>
      </c>
      <c r="G267" s="78">
        <v>0</v>
      </c>
      <c r="H267" s="77">
        <f t="shared" si="5"/>
        <v>0</v>
      </c>
      <c r="I267" s="77">
        <v>0</v>
      </c>
      <c r="J267" s="29"/>
    </row>
    <row r="268" spans="1:10" x14ac:dyDescent="0.25">
      <c r="A268" s="79">
        <v>1260</v>
      </c>
      <c r="B268" s="80" t="s">
        <v>77</v>
      </c>
      <c r="C268" s="81" t="s">
        <v>125</v>
      </c>
      <c r="D268" s="76">
        <v>0</v>
      </c>
      <c r="E268" s="78">
        <v>0</v>
      </c>
      <c r="F268" s="78">
        <v>0</v>
      </c>
      <c r="G268" s="78">
        <v>0</v>
      </c>
      <c r="H268" s="77">
        <f t="shared" si="5"/>
        <v>0</v>
      </c>
      <c r="I268" s="77">
        <v>0</v>
      </c>
      <c r="J268" s="29"/>
    </row>
    <row r="269" spans="1:10" x14ac:dyDescent="0.25">
      <c r="A269" s="79">
        <v>1261</v>
      </c>
      <c r="B269" s="80" t="s">
        <v>78</v>
      </c>
      <c r="C269" s="81" t="s">
        <v>125</v>
      </c>
      <c r="D269" s="76">
        <v>0</v>
      </c>
      <c r="E269" s="78">
        <v>0</v>
      </c>
      <c r="F269" s="78">
        <v>0</v>
      </c>
      <c r="G269" s="78">
        <v>0</v>
      </c>
      <c r="H269" s="77">
        <f t="shared" si="5"/>
        <v>0</v>
      </c>
      <c r="I269" s="77">
        <v>0</v>
      </c>
      <c r="J269" s="29"/>
    </row>
    <row r="270" spans="1:10" x14ac:dyDescent="0.25">
      <c r="A270" s="79">
        <v>1262</v>
      </c>
      <c r="B270" s="80" t="s">
        <v>79</v>
      </c>
      <c r="C270" s="81" t="s">
        <v>125</v>
      </c>
      <c r="D270" s="76">
        <v>0</v>
      </c>
      <c r="E270" s="78">
        <v>0</v>
      </c>
      <c r="F270" s="78">
        <v>0</v>
      </c>
      <c r="G270" s="78">
        <v>0</v>
      </c>
      <c r="H270" s="77">
        <f t="shared" si="5"/>
        <v>0</v>
      </c>
      <c r="I270" s="77">
        <v>0</v>
      </c>
      <c r="J270" s="29"/>
    </row>
    <row r="271" spans="1:10" x14ac:dyDescent="0.25">
      <c r="A271" s="79">
        <v>1263</v>
      </c>
      <c r="B271" s="80" t="s">
        <v>80</v>
      </c>
      <c r="C271" s="81" t="s">
        <v>125</v>
      </c>
      <c r="D271" s="76">
        <v>0</v>
      </c>
      <c r="E271" s="78">
        <v>0</v>
      </c>
      <c r="F271" s="78">
        <v>0</v>
      </c>
      <c r="G271" s="78">
        <v>0</v>
      </c>
      <c r="H271" s="77">
        <f t="shared" si="5"/>
        <v>0</v>
      </c>
      <c r="I271" s="77">
        <v>0</v>
      </c>
      <c r="J271" s="29"/>
    </row>
    <row r="272" spans="1:10" x14ac:dyDescent="0.25">
      <c r="A272" s="79">
        <v>1264</v>
      </c>
      <c r="B272" s="80" t="s">
        <v>85</v>
      </c>
      <c r="C272" s="81" t="s">
        <v>125</v>
      </c>
      <c r="D272" s="76">
        <v>0</v>
      </c>
      <c r="E272" s="78">
        <v>0</v>
      </c>
      <c r="F272" s="78">
        <v>0</v>
      </c>
      <c r="G272" s="78">
        <v>0</v>
      </c>
      <c r="H272" s="77">
        <f t="shared" si="5"/>
        <v>0</v>
      </c>
      <c r="I272" s="77">
        <v>0</v>
      </c>
      <c r="J272" s="29"/>
    </row>
    <row r="273" spans="1:10" x14ac:dyDescent="0.25">
      <c r="A273" s="79">
        <v>1265</v>
      </c>
      <c r="B273" s="80" t="s">
        <v>84</v>
      </c>
      <c r="C273" s="81" t="s">
        <v>125</v>
      </c>
      <c r="D273" s="76">
        <v>0</v>
      </c>
      <c r="E273" s="78">
        <v>0</v>
      </c>
      <c r="F273" s="78">
        <v>0</v>
      </c>
      <c r="G273" s="78">
        <v>0</v>
      </c>
      <c r="H273" s="77">
        <f t="shared" si="5"/>
        <v>0</v>
      </c>
      <c r="I273" s="77">
        <v>0</v>
      </c>
      <c r="J273" s="29"/>
    </row>
    <row r="274" spans="1:10" x14ac:dyDescent="0.25">
      <c r="A274" s="79">
        <v>1266</v>
      </c>
      <c r="B274" s="80" t="s">
        <v>86</v>
      </c>
      <c r="C274" s="81" t="s">
        <v>125</v>
      </c>
      <c r="D274" s="76">
        <v>0</v>
      </c>
      <c r="E274" s="78">
        <v>0</v>
      </c>
      <c r="F274" s="78">
        <v>0</v>
      </c>
      <c r="G274" s="78">
        <v>0</v>
      </c>
      <c r="H274" s="77">
        <f t="shared" si="5"/>
        <v>0</v>
      </c>
      <c r="I274" s="77">
        <v>0</v>
      </c>
      <c r="J274" s="29"/>
    </row>
    <row r="275" spans="1:10" x14ac:dyDescent="0.25">
      <c r="A275" s="62"/>
      <c r="B275"/>
      <c r="C275"/>
      <c r="D275" s="24"/>
    </row>
    <row r="276" spans="1:10" x14ac:dyDescent="0.25">
      <c r="A276" s="62"/>
      <c r="B276"/>
      <c r="C276"/>
      <c r="D276" s="24"/>
    </row>
    <row r="277" spans="1:10" x14ac:dyDescent="0.25">
      <c r="A277" s="62"/>
      <c r="B277"/>
      <c r="C277"/>
      <c r="D277" s="24"/>
    </row>
    <row r="278" spans="1:10" x14ac:dyDescent="0.25">
      <c r="A278" s="62"/>
      <c r="B278"/>
      <c r="C278"/>
      <c r="D278" s="24"/>
    </row>
    <row r="279" spans="1:10" x14ac:dyDescent="0.25">
      <c r="A279" s="62"/>
      <c r="B279"/>
      <c r="C279"/>
      <c r="D279" s="24"/>
    </row>
    <row r="280" spans="1:10" x14ac:dyDescent="0.25">
      <c r="A280" s="62"/>
      <c r="B280"/>
      <c r="C280"/>
      <c r="D280" s="24"/>
    </row>
    <row r="281" spans="1:10" x14ac:dyDescent="0.25">
      <c r="A281" s="62"/>
      <c r="B281"/>
      <c r="C281"/>
      <c r="D281" s="24"/>
    </row>
    <row r="282" spans="1:10" x14ac:dyDescent="0.25">
      <c r="A282" s="62"/>
      <c r="B282"/>
      <c r="C282"/>
      <c r="D282" s="24"/>
    </row>
    <row r="283" spans="1:10" x14ac:dyDescent="0.25">
      <c r="A283" s="62"/>
      <c r="B283"/>
      <c r="C283"/>
      <c r="D283" s="24"/>
    </row>
    <row r="284" spans="1:10" x14ac:dyDescent="0.25">
      <c r="A284" s="62"/>
      <c r="B284"/>
      <c r="C284"/>
      <c r="D284" s="24"/>
    </row>
    <row r="285" spans="1:10" x14ac:dyDescent="0.25">
      <c r="A285" s="62"/>
      <c r="B285"/>
      <c r="C285"/>
      <c r="D285" s="24"/>
    </row>
    <row r="286" spans="1:10" x14ac:dyDescent="0.25">
      <c r="A286" s="62"/>
      <c r="B286"/>
      <c r="C286"/>
      <c r="D286" s="24"/>
    </row>
    <row r="287" spans="1:10" x14ac:dyDescent="0.25">
      <c r="A287" s="62"/>
      <c r="B287"/>
      <c r="C287"/>
      <c r="D287" s="24"/>
    </row>
    <row r="288" spans="1:10" x14ac:dyDescent="0.25">
      <c r="A288" s="62"/>
      <c r="B288"/>
      <c r="C288"/>
      <c r="D288" s="24"/>
    </row>
    <row r="289" spans="1:4" x14ac:dyDescent="0.25">
      <c r="A289" s="62"/>
      <c r="B289"/>
      <c r="C289"/>
      <c r="D289" s="24"/>
    </row>
    <row r="290" spans="1:4" x14ac:dyDescent="0.25">
      <c r="A290" s="62"/>
      <c r="B290"/>
      <c r="C290"/>
      <c r="D290" s="24"/>
    </row>
    <row r="291" spans="1:4" x14ac:dyDescent="0.25">
      <c r="A291" s="62"/>
      <c r="B291"/>
      <c r="C291"/>
      <c r="D291" s="24"/>
    </row>
    <row r="292" spans="1:4" x14ac:dyDescent="0.25">
      <c r="A292" s="62"/>
      <c r="B292"/>
      <c r="C292"/>
      <c r="D292" s="24"/>
    </row>
    <row r="293" spans="1:4" x14ac:dyDescent="0.25">
      <c r="A293" s="62"/>
      <c r="B293"/>
      <c r="C293"/>
      <c r="D293" s="24"/>
    </row>
    <row r="294" spans="1:4" x14ac:dyDescent="0.25">
      <c r="A294" s="62"/>
      <c r="B294"/>
      <c r="C294"/>
      <c r="D294" s="24"/>
    </row>
    <row r="295" spans="1:4" x14ac:dyDescent="0.25">
      <c r="A295" s="62"/>
      <c r="B295"/>
      <c r="C295"/>
      <c r="D295" s="24"/>
    </row>
    <row r="296" spans="1:4" x14ac:dyDescent="0.25">
      <c r="A296" s="62"/>
      <c r="B296"/>
      <c r="C296"/>
      <c r="D296" s="24"/>
    </row>
    <row r="297" spans="1:4" x14ac:dyDescent="0.25">
      <c r="A297" s="62"/>
      <c r="B297"/>
      <c r="C297"/>
      <c r="D297" s="24"/>
    </row>
    <row r="298" spans="1:4" x14ac:dyDescent="0.25">
      <c r="A298" s="62"/>
      <c r="B298"/>
      <c r="C298"/>
      <c r="D298" s="24"/>
    </row>
    <row r="299" spans="1:4" x14ac:dyDescent="0.25">
      <c r="A299" s="62"/>
      <c r="B299"/>
      <c r="C299"/>
      <c r="D299" s="24"/>
    </row>
    <row r="300" spans="1:4" x14ac:dyDescent="0.25">
      <c r="A300" s="62"/>
      <c r="B300"/>
      <c r="C300"/>
      <c r="D300" s="24"/>
    </row>
    <row r="301" spans="1:4" x14ac:dyDescent="0.25">
      <c r="A301" s="62"/>
      <c r="B301"/>
      <c r="C301"/>
      <c r="D301" s="24"/>
    </row>
    <row r="302" spans="1:4" x14ac:dyDescent="0.25">
      <c r="A302" s="62"/>
      <c r="B302"/>
      <c r="C302"/>
      <c r="D302" s="24"/>
    </row>
    <row r="303" spans="1:4" x14ac:dyDescent="0.25">
      <c r="A303" s="62"/>
      <c r="B303"/>
      <c r="C303"/>
      <c r="D303" s="24"/>
    </row>
    <row r="304" spans="1:4" x14ac:dyDescent="0.25">
      <c r="A304" s="62"/>
      <c r="B304"/>
      <c r="C304"/>
      <c r="D304" s="24"/>
    </row>
    <row r="305" spans="1:4" x14ac:dyDescent="0.25">
      <c r="A305" s="62"/>
      <c r="B305"/>
      <c r="C305"/>
      <c r="D305" s="24"/>
    </row>
    <row r="306" spans="1:4" x14ac:dyDescent="0.25">
      <c r="A306" s="62"/>
      <c r="B306"/>
      <c r="C306"/>
      <c r="D306" s="24"/>
    </row>
    <row r="307" spans="1:4" x14ac:dyDescent="0.25">
      <c r="A307" s="62"/>
      <c r="B307"/>
      <c r="C307"/>
      <c r="D307" s="24"/>
    </row>
    <row r="308" spans="1:4" x14ac:dyDescent="0.25">
      <c r="A308" s="62"/>
      <c r="B308"/>
      <c r="C308"/>
      <c r="D308" s="24"/>
    </row>
    <row r="309" spans="1:4" x14ac:dyDescent="0.25">
      <c r="A309" s="62"/>
      <c r="B309"/>
      <c r="C309"/>
      <c r="D309" s="24"/>
    </row>
    <row r="310" spans="1:4" x14ac:dyDescent="0.25">
      <c r="A310" s="62"/>
      <c r="B310"/>
      <c r="C310"/>
      <c r="D310" s="24"/>
    </row>
    <row r="311" spans="1:4" x14ac:dyDescent="0.25">
      <c r="A311" s="62"/>
      <c r="B311"/>
      <c r="C311"/>
      <c r="D311" s="24"/>
    </row>
    <row r="312" spans="1:4" x14ac:dyDescent="0.25">
      <c r="A312" s="62"/>
      <c r="B312"/>
      <c r="C312"/>
      <c r="D312" s="24"/>
    </row>
    <row r="313" spans="1:4" x14ac:dyDescent="0.25">
      <c r="A313" s="62"/>
      <c r="B313"/>
      <c r="C313"/>
      <c r="D313" s="24"/>
    </row>
    <row r="314" spans="1:4" x14ac:dyDescent="0.25">
      <c r="A314" s="62"/>
      <c r="B314"/>
      <c r="C314"/>
      <c r="D314" s="24"/>
    </row>
    <row r="315" spans="1:4" x14ac:dyDescent="0.25">
      <c r="A315" s="62"/>
      <c r="B315"/>
      <c r="C315"/>
      <c r="D315" s="24"/>
    </row>
    <row r="316" spans="1:4" x14ac:dyDescent="0.25">
      <c r="A316" s="62"/>
      <c r="B316"/>
      <c r="C316"/>
      <c r="D316" s="24"/>
    </row>
    <row r="317" spans="1:4" x14ac:dyDescent="0.25">
      <c r="A317" s="62"/>
      <c r="B317"/>
      <c r="C317"/>
      <c r="D317" s="24"/>
    </row>
    <row r="318" spans="1:4" x14ac:dyDescent="0.25">
      <c r="A318" s="62"/>
      <c r="B318"/>
      <c r="C318"/>
      <c r="D318" s="24"/>
    </row>
    <row r="319" spans="1:4" x14ac:dyDescent="0.25">
      <c r="A319" s="62"/>
      <c r="B319"/>
      <c r="C319"/>
      <c r="D319" s="24"/>
    </row>
    <row r="320" spans="1:4" x14ac:dyDescent="0.25">
      <c r="A320" s="62"/>
      <c r="B320"/>
      <c r="C320"/>
      <c r="D320" s="24"/>
    </row>
    <row r="321" spans="1:4" x14ac:dyDescent="0.25">
      <c r="A321" s="62"/>
      <c r="B321"/>
      <c r="C321"/>
      <c r="D321" s="24"/>
    </row>
    <row r="322" spans="1:4" x14ac:dyDescent="0.25">
      <c r="A322" s="62"/>
      <c r="B322"/>
      <c r="C322"/>
      <c r="D322" s="24"/>
    </row>
    <row r="323" spans="1:4" x14ac:dyDescent="0.25">
      <c r="A323" s="62"/>
      <c r="B323"/>
      <c r="C323"/>
      <c r="D323" s="24"/>
    </row>
    <row r="324" spans="1:4" x14ac:dyDescent="0.25">
      <c r="A324" s="62"/>
      <c r="B324"/>
      <c r="C324"/>
      <c r="D324" s="24"/>
    </row>
    <row r="325" spans="1:4" x14ac:dyDescent="0.25">
      <c r="A325" s="62"/>
      <c r="B325"/>
      <c r="C325"/>
      <c r="D325" s="24"/>
    </row>
    <row r="326" spans="1:4" x14ac:dyDescent="0.25">
      <c r="A326" s="62"/>
      <c r="B326"/>
      <c r="C326"/>
      <c r="D326" s="24"/>
    </row>
    <row r="327" spans="1:4" x14ac:dyDescent="0.25">
      <c r="A327" s="62"/>
      <c r="B327"/>
      <c r="C327"/>
      <c r="D327" s="24"/>
    </row>
    <row r="328" spans="1:4" x14ac:dyDescent="0.25">
      <c r="A328" s="62"/>
      <c r="B328"/>
      <c r="C328"/>
      <c r="D328" s="24"/>
    </row>
    <row r="329" spans="1:4" x14ac:dyDescent="0.25">
      <c r="A329" s="62"/>
      <c r="B329"/>
      <c r="C329"/>
      <c r="D329" s="24"/>
    </row>
    <row r="330" spans="1:4" x14ac:dyDescent="0.25">
      <c r="A330" s="62"/>
      <c r="B330"/>
      <c r="C330"/>
      <c r="D330" s="24"/>
    </row>
    <row r="331" spans="1:4" x14ac:dyDescent="0.25">
      <c r="A331" s="62"/>
      <c r="B331"/>
      <c r="C331"/>
      <c r="D331" s="24"/>
    </row>
    <row r="332" spans="1:4" x14ac:dyDescent="0.25">
      <c r="A332" s="62"/>
      <c r="B332"/>
      <c r="C332"/>
      <c r="D332" s="24"/>
    </row>
    <row r="333" spans="1:4" x14ac:dyDescent="0.25">
      <c r="A333" s="62"/>
      <c r="B333"/>
      <c r="C333"/>
      <c r="D333" s="24"/>
    </row>
    <row r="334" spans="1:4" x14ac:dyDescent="0.25">
      <c r="A334" s="62"/>
      <c r="B334"/>
      <c r="C334"/>
      <c r="D334" s="24"/>
    </row>
    <row r="335" spans="1:4" x14ac:dyDescent="0.25">
      <c r="A335" s="62"/>
      <c r="B335"/>
      <c r="C335"/>
      <c r="D335" s="24"/>
    </row>
    <row r="336" spans="1:4" x14ac:dyDescent="0.25">
      <c r="A336" s="62"/>
      <c r="B336"/>
      <c r="C336"/>
      <c r="D336" s="24"/>
    </row>
    <row r="337" spans="1:4" x14ac:dyDescent="0.25">
      <c r="A337" s="62"/>
      <c r="B337"/>
      <c r="C337"/>
      <c r="D337" s="24"/>
    </row>
    <row r="338" spans="1:4" x14ac:dyDescent="0.25">
      <c r="A338" s="62"/>
      <c r="B338"/>
      <c r="C338"/>
      <c r="D338" s="24"/>
    </row>
    <row r="339" spans="1:4" x14ac:dyDescent="0.25">
      <c r="A339" s="62"/>
      <c r="B339"/>
      <c r="C339"/>
      <c r="D339" s="24"/>
    </row>
    <row r="340" spans="1:4" x14ac:dyDescent="0.25">
      <c r="A340" s="62"/>
      <c r="B340"/>
      <c r="C340"/>
      <c r="D340" s="24"/>
    </row>
    <row r="341" spans="1:4" x14ac:dyDescent="0.25">
      <c r="A341" s="62"/>
      <c r="B341"/>
      <c r="C341"/>
      <c r="D341" s="24"/>
    </row>
    <row r="342" spans="1:4" x14ac:dyDescent="0.25">
      <c r="A342" s="62"/>
      <c r="B342"/>
      <c r="C342"/>
      <c r="D342" s="24"/>
    </row>
    <row r="343" spans="1:4" x14ac:dyDescent="0.25">
      <c r="A343" s="62"/>
      <c r="B343"/>
      <c r="C343"/>
      <c r="D343" s="24"/>
    </row>
    <row r="344" spans="1:4" x14ac:dyDescent="0.25">
      <c r="A344" s="62"/>
      <c r="B344"/>
      <c r="C344"/>
      <c r="D344" s="24"/>
    </row>
    <row r="345" spans="1:4" x14ac:dyDescent="0.25">
      <c r="A345" s="62"/>
      <c r="B345"/>
      <c r="C345"/>
      <c r="D345" s="24"/>
    </row>
    <row r="346" spans="1:4" x14ac:dyDescent="0.25">
      <c r="A346" s="62"/>
      <c r="B346"/>
      <c r="C346"/>
      <c r="D346" s="24"/>
    </row>
    <row r="347" spans="1:4" x14ac:dyDescent="0.25">
      <c r="A347" s="62"/>
      <c r="B347"/>
      <c r="C347"/>
      <c r="D347" s="24"/>
    </row>
    <row r="348" spans="1:4" x14ac:dyDescent="0.25">
      <c r="A348" s="62"/>
      <c r="B348"/>
      <c r="C348"/>
      <c r="D348" s="24"/>
    </row>
    <row r="349" spans="1:4" x14ac:dyDescent="0.25">
      <c r="A349" s="62"/>
      <c r="B349"/>
      <c r="C349"/>
      <c r="D349" s="24"/>
    </row>
    <row r="350" spans="1:4" x14ac:dyDescent="0.25">
      <c r="A350" s="62"/>
      <c r="B350"/>
      <c r="C350"/>
      <c r="D350" s="24"/>
    </row>
    <row r="351" spans="1:4" x14ac:dyDescent="0.25">
      <c r="A351" s="62"/>
      <c r="B351"/>
      <c r="C351"/>
      <c r="D351" s="24"/>
    </row>
    <row r="352" spans="1:4" x14ac:dyDescent="0.25">
      <c r="A352" s="62"/>
      <c r="B352"/>
      <c r="C352"/>
      <c r="D352" s="24"/>
    </row>
    <row r="353" spans="1:4" x14ac:dyDescent="0.25">
      <c r="A353" s="62"/>
      <c r="B353"/>
      <c r="C353"/>
      <c r="D353" s="24"/>
    </row>
    <row r="354" spans="1:4" x14ac:dyDescent="0.25">
      <c r="A354" s="62"/>
      <c r="B354"/>
      <c r="C354"/>
      <c r="D354" s="24"/>
    </row>
    <row r="355" spans="1:4" x14ac:dyDescent="0.25">
      <c r="A355" s="62"/>
      <c r="B355"/>
      <c r="C355"/>
      <c r="D355" s="24"/>
    </row>
    <row r="356" spans="1:4" x14ac:dyDescent="0.25">
      <c r="A356" s="62"/>
      <c r="B356"/>
      <c r="C356"/>
      <c r="D356" s="24"/>
    </row>
    <row r="357" spans="1:4" x14ac:dyDescent="0.25">
      <c r="A357" s="62"/>
      <c r="B357"/>
      <c r="C357"/>
      <c r="D357" s="24"/>
    </row>
    <row r="358" spans="1:4" x14ac:dyDescent="0.25">
      <c r="A358" s="62"/>
      <c r="B358"/>
      <c r="C358"/>
      <c r="D358" s="24"/>
    </row>
    <row r="359" spans="1:4" x14ac:dyDescent="0.25">
      <c r="A359" s="62"/>
      <c r="B359"/>
      <c r="C359"/>
      <c r="D359" s="24"/>
    </row>
    <row r="360" spans="1:4" x14ac:dyDescent="0.25">
      <c r="A360" s="62"/>
      <c r="B360"/>
      <c r="C360"/>
      <c r="D360" s="24"/>
    </row>
    <row r="361" spans="1:4" x14ac:dyDescent="0.25">
      <c r="A361" s="62"/>
      <c r="B361"/>
      <c r="C361"/>
      <c r="D361" s="24"/>
    </row>
    <row r="362" spans="1:4" x14ac:dyDescent="0.25">
      <c r="A362" s="62"/>
      <c r="B362"/>
      <c r="C362"/>
      <c r="D362" s="24"/>
    </row>
    <row r="363" spans="1:4" x14ac:dyDescent="0.25">
      <c r="A363" s="62"/>
      <c r="B363"/>
      <c r="C363"/>
      <c r="D363" s="24"/>
    </row>
    <row r="364" spans="1:4" x14ac:dyDescent="0.25">
      <c r="A364" s="62"/>
      <c r="B364"/>
      <c r="C364"/>
      <c r="D364" s="24"/>
    </row>
    <row r="365" spans="1:4" x14ac:dyDescent="0.25">
      <c r="A365" s="62"/>
      <c r="B365"/>
      <c r="C365"/>
      <c r="D365" s="24"/>
    </row>
    <row r="366" spans="1:4" x14ac:dyDescent="0.25">
      <c r="A366" s="62"/>
      <c r="B366"/>
      <c r="C366"/>
      <c r="D366" s="24"/>
    </row>
    <row r="367" spans="1:4" x14ac:dyDescent="0.25">
      <c r="A367" s="62"/>
      <c r="B367"/>
      <c r="C367"/>
      <c r="D367" s="24"/>
    </row>
    <row r="368" spans="1:4" x14ac:dyDescent="0.25">
      <c r="A368" s="62"/>
      <c r="B368"/>
      <c r="C368"/>
      <c r="D368" s="24"/>
    </row>
    <row r="369" spans="1:4" x14ac:dyDescent="0.25">
      <c r="A369" s="62"/>
      <c r="B369"/>
      <c r="C369"/>
      <c r="D369" s="24"/>
    </row>
    <row r="370" spans="1:4" x14ac:dyDescent="0.25">
      <c r="A370" s="62"/>
      <c r="B370"/>
      <c r="C370"/>
      <c r="D370" s="24"/>
    </row>
    <row r="371" spans="1:4" x14ac:dyDescent="0.25">
      <c r="A371" s="62"/>
      <c r="B371"/>
      <c r="C371"/>
      <c r="D371" s="24"/>
    </row>
    <row r="372" spans="1:4" x14ac:dyDescent="0.25">
      <c r="A372" s="62"/>
      <c r="B372"/>
      <c r="C372"/>
      <c r="D372" s="24"/>
    </row>
    <row r="373" spans="1:4" x14ac:dyDescent="0.25">
      <c r="A373" s="62"/>
      <c r="B373"/>
      <c r="C373"/>
      <c r="D373" s="24"/>
    </row>
    <row r="374" spans="1:4" x14ac:dyDescent="0.25">
      <c r="A374" s="62"/>
      <c r="B374"/>
      <c r="C374"/>
      <c r="D374" s="24"/>
    </row>
    <row r="375" spans="1:4" x14ac:dyDescent="0.25">
      <c r="A375" s="62"/>
      <c r="B375"/>
      <c r="C375"/>
      <c r="D375" s="24"/>
    </row>
    <row r="376" spans="1:4" x14ac:dyDescent="0.25">
      <c r="A376" s="62"/>
      <c r="B376"/>
      <c r="C376"/>
      <c r="D376" s="24"/>
    </row>
    <row r="377" spans="1:4" x14ac:dyDescent="0.25">
      <c r="A377" s="62"/>
      <c r="B377"/>
      <c r="C377"/>
      <c r="D377" s="24"/>
    </row>
    <row r="378" spans="1:4" x14ac:dyDescent="0.25">
      <c r="A378" s="62"/>
      <c r="B378"/>
      <c r="C378"/>
      <c r="D378" s="24"/>
    </row>
    <row r="379" spans="1:4" x14ac:dyDescent="0.25">
      <c r="A379" s="62"/>
      <c r="B379"/>
      <c r="C379"/>
      <c r="D379" s="24"/>
    </row>
    <row r="380" spans="1:4" x14ac:dyDescent="0.25">
      <c r="A380" s="62"/>
      <c r="B380"/>
      <c r="C380"/>
      <c r="D380" s="24"/>
    </row>
    <row r="381" spans="1:4" x14ac:dyDescent="0.25">
      <c r="A381" s="62"/>
      <c r="B381"/>
      <c r="C381"/>
      <c r="D381" s="24"/>
    </row>
    <row r="382" spans="1:4" x14ac:dyDescent="0.25">
      <c r="A382" s="62"/>
      <c r="B382"/>
      <c r="C382"/>
      <c r="D382" s="24"/>
    </row>
    <row r="383" spans="1:4" x14ac:dyDescent="0.25">
      <c r="A383" s="62"/>
      <c r="B383"/>
      <c r="C383"/>
      <c r="D383" s="24"/>
    </row>
    <row r="384" spans="1:4" x14ac:dyDescent="0.25">
      <c r="A384" s="62"/>
      <c r="B384"/>
      <c r="C384"/>
      <c r="D384" s="24"/>
    </row>
    <row r="385" spans="1:4" x14ac:dyDescent="0.25">
      <c r="A385" s="62"/>
      <c r="B385"/>
      <c r="C385"/>
      <c r="D385" s="24"/>
    </row>
    <row r="386" spans="1:4" x14ac:dyDescent="0.25">
      <c r="A386" s="62"/>
      <c r="B386"/>
      <c r="C386"/>
      <c r="D386" s="24"/>
    </row>
    <row r="387" spans="1:4" x14ac:dyDescent="0.25">
      <c r="A387" s="62"/>
      <c r="B387"/>
      <c r="C387"/>
      <c r="D387" s="24"/>
    </row>
    <row r="388" spans="1:4" x14ac:dyDescent="0.25">
      <c r="A388" s="62"/>
      <c r="B388"/>
      <c r="C388"/>
      <c r="D388" s="24"/>
    </row>
    <row r="389" spans="1:4" x14ac:dyDescent="0.25">
      <c r="A389" s="62"/>
      <c r="B389"/>
      <c r="C389"/>
      <c r="D389" s="24"/>
    </row>
    <row r="390" spans="1:4" x14ac:dyDescent="0.25">
      <c r="A390" s="62"/>
      <c r="B390"/>
      <c r="C390"/>
      <c r="D390" s="24"/>
    </row>
    <row r="391" spans="1:4" x14ac:dyDescent="0.25">
      <c r="A391" s="62"/>
      <c r="B391"/>
      <c r="C391"/>
      <c r="D391" s="24"/>
    </row>
    <row r="392" spans="1:4" x14ac:dyDescent="0.25">
      <c r="A392" s="62"/>
      <c r="B392"/>
      <c r="C392"/>
      <c r="D392" s="24"/>
    </row>
    <row r="393" spans="1:4" x14ac:dyDescent="0.25">
      <c r="A393" s="62"/>
      <c r="B393"/>
      <c r="C393"/>
      <c r="D393" s="24"/>
    </row>
    <row r="394" spans="1:4" x14ac:dyDescent="0.25">
      <c r="A394" s="62"/>
      <c r="B394"/>
      <c r="C394"/>
      <c r="D394" s="24"/>
    </row>
    <row r="395" spans="1:4" x14ac:dyDescent="0.25">
      <c r="A395" s="62"/>
      <c r="B395"/>
      <c r="C395"/>
      <c r="D395" s="24"/>
    </row>
    <row r="396" spans="1:4" x14ac:dyDescent="0.25">
      <c r="A396" s="62"/>
      <c r="B396"/>
      <c r="C396"/>
      <c r="D396" s="24"/>
    </row>
    <row r="397" spans="1:4" x14ac:dyDescent="0.25">
      <c r="A397" s="62"/>
      <c r="B397"/>
      <c r="C397"/>
      <c r="D397" s="24"/>
    </row>
    <row r="398" spans="1:4" x14ac:dyDescent="0.25">
      <c r="A398" s="62"/>
      <c r="B398"/>
      <c r="C398"/>
      <c r="D398" s="24"/>
    </row>
    <row r="399" spans="1:4" x14ac:dyDescent="0.25">
      <c r="A399" s="62"/>
      <c r="B399"/>
      <c r="C399"/>
      <c r="D399" s="24"/>
    </row>
    <row r="400" spans="1:4" x14ac:dyDescent="0.25">
      <c r="A400" s="62"/>
      <c r="B400"/>
      <c r="C400"/>
      <c r="D400" s="24"/>
    </row>
    <row r="401" spans="1:4" x14ac:dyDescent="0.25">
      <c r="A401" s="62"/>
      <c r="B401"/>
      <c r="C401"/>
      <c r="D401" s="24"/>
    </row>
    <row r="402" spans="1:4" x14ac:dyDescent="0.25">
      <c r="A402" s="62"/>
      <c r="B402"/>
      <c r="C402"/>
      <c r="D402" s="24"/>
    </row>
    <row r="403" spans="1:4" x14ac:dyDescent="0.25">
      <c r="A403" s="62"/>
      <c r="B403"/>
      <c r="C403"/>
      <c r="D403" s="24"/>
    </row>
    <row r="404" spans="1:4" x14ac:dyDescent="0.25">
      <c r="A404" s="62"/>
      <c r="B404"/>
      <c r="C404"/>
      <c r="D404" s="24"/>
    </row>
    <row r="405" spans="1:4" x14ac:dyDescent="0.25">
      <c r="A405" s="62"/>
      <c r="B405"/>
      <c r="C405"/>
      <c r="D405" s="24"/>
    </row>
    <row r="406" spans="1:4" x14ac:dyDescent="0.25">
      <c r="A406" s="62"/>
      <c r="B406"/>
      <c r="C406"/>
      <c r="D406" s="24"/>
    </row>
    <row r="407" spans="1:4" x14ac:dyDescent="0.25">
      <c r="A407" s="62"/>
      <c r="B407"/>
      <c r="C407"/>
      <c r="D407" s="24"/>
    </row>
    <row r="408" spans="1:4" x14ac:dyDescent="0.25">
      <c r="A408" s="62"/>
      <c r="B408"/>
      <c r="C408"/>
      <c r="D408" s="24"/>
    </row>
    <row r="409" spans="1:4" x14ac:dyDescent="0.25">
      <c r="A409" s="62"/>
      <c r="B409"/>
      <c r="C409"/>
      <c r="D409" s="24"/>
    </row>
    <row r="410" spans="1:4" x14ac:dyDescent="0.25">
      <c r="A410" s="62"/>
      <c r="B410"/>
      <c r="C410"/>
      <c r="D410" s="24"/>
    </row>
    <row r="411" spans="1:4" x14ac:dyDescent="0.25">
      <c r="A411" s="62"/>
      <c r="B411"/>
      <c r="C411"/>
      <c r="D411" s="24"/>
    </row>
    <row r="412" spans="1:4" x14ac:dyDescent="0.25">
      <c r="A412" s="62"/>
      <c r="B412"/>
      <c r="C412"/>
      <c r="D412" s="24"/>
    </row>
    <row r="413" spans="1:4" x14ac:dyDescent="0.25">
      <c r="A413" s="62"/>
      <c r="B413"/>
      <c r="C413"/>
      <c r="D413" s="24"/>
    </row>
    <row r="414" spans="1:4" x14ac:dyDescent="0.25">
      <c r="A414" s="62"/>
      <c r="B414"/>
      <c r="C414"/>
      <c r="D414" s="24"/>
    </row>
    <row r="415" spans="1:4" x14ac:dyDescent="0.25">
      <c r="A415" s="62"/>
      <c r="B415"/>
      <c r="C415"/>
      <c r="D415" s="24"/>
    </row>
    <row r="416" spans="1:4" x14ac:dyDescent="0.25">
      <c r="A416" s="62"/>
      <c r="B416"/>
      <c r="C416"/>
      <c r="D416" s="24"/>
    </row>
    <row r="417" spans="1:4" x14ac:dyDescent="0.25">
      <c r="A417" s="62"/>
      <c r="B417"/>
      <c r="C417"/>
      <c r="D417" s="24"/>
    </row>
    <row r="418" spans="1:4" x14ac:dyDescent="0.25">
      <c r="A418" s="62"/>
      <c r="B418"/>
      <c r="C418"/>
      <c r="D418" s="24"/>
    </row>
    <row r="419" spans="1:4" x14ac:dyDescent="0.25">
      <c r="A419" s="62"/>
      <c r="B419"/>
      <c r="C419"/>
      <c r="D419" s="24"/>
    </row>
    <row r="420" spans="1:4" x14ac:dyDescent="0.25">
      <c r="A420" s="62"/>
      <c r="B420"/>
      <c r="C420"/>
      <c r="D420" s="24"/>
    </row>
    <row r="421" spans="1:4" x14ac:dyDescent="0.25">
      <c r="A421" s="62"/>
      <c r="B421"/>
      <c r="C421"/>
      <c r="D421" s="24"/>
    </row>
    <row r="422" spans="1:4" x14ac:dyDescent="0.25">
      <c r="A422" s="62"/>
      <c r="B422"/>
      <c r="C422"/>
      <c r="D422" s="24"/>
    </row>
    <row r="423" spans="1:4" x14ac:dyDescent="0.25">
      <c r="A423" s="62"/>
      <c r="B423"/>
      <c r="C423"/>
      <c r="D423" s="24"/>
    </row>
    <row r="424" spans="1:4" x14ac:dyDescent="0.25">
      <c r="A424" s="62"/>
      <c r="B424"/>
      <c r="C424"/>
      <c r="D424" s="24"/>
    </row>
    <row r="425" spans="1:4" x14ac:dyDescent="0.25">
      <c r="A425" s="62"/>
      <c r="B425"/>
      <c r="C425"/>
      <c r="D425" s="24"/>
    </row>
  </sheetData>
  <phoneticPr fontId="10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N4859"/>
  <sheetViews>
    <sheetView workbookViewId="0">
      <selection activeCell="G1" sqref="G1:G1048576"/>
    </sheetView>
  </sheetViews>
  <sheetFormatPr defaultRowHeight="15" x14ac:dyDescent="0.25"/>
  <cols>
    <col min="1" max="1" width="50.7109375" style="7" customWidth="1" collapsed="1"/>
    <col min="2" max="2" width="50.7109375" customWidth="1" collapsed="1"/>
    <col min="6" max="6" width="10.85546875" bestFit="1" customWidth="1" collapsed="1"/>
    <col min="7" max="7" width="10.85546875" hidden="1" customWidth="1" collapsed="1"/>
    <col min="8" max="8" width="50.7109375" customWidth="1" collapsed="1"/>
    <col min="14" max="14" width="13.5703125" customWidth="1" collapsed="1"/>
  </cols>
  <sheetData>
    <row r="1" spans="1:7" ht="20.25" x14ac:dyDescent="0.25">
      <c r="A1" s="6" t="s">
        <v>53</v>
      </c>
      <c r="B1" s="6" t="s">
        <v>55</v>
      </c>
      <c r="C1" s="2" t="s">
        <v>56</v>
      </c>
      <c r="D1" s="3" t="s">
        <v>0</v>
      </c>
      <c r="E1" s="4" t="s">
        <v>1</v>
      </c>
      <c r="F1" s="5" t="s">
        <v>2</v>
      </c>
      <c r="G1" s="6" t="s">
        <v>54</v>
      </c>
    </row>
    <row r="2" spans="1:7" ht="15.75" x14ac:dyDescent="0.25">
      <c r="A2" s="15" t="str">
        <f>'PEDIDO 1'!$B$2</f>
        <v>Tiete-Capricholar Moveis E Utensilios Ltda Me</v>
      </c>
      <c r="B2" s="12" t="s">
        <v>399</v>
      </c>
      <c r="C2" s="1">
        <f>IFERROR(VLOOKUP(1,'PEDIDO 1'!$C$2:$E$230,3,0),0)</f>
        <v>0</v>
      </c>
      <c r="D2" s="1">
        <f>IFERROR(VLOOKUP(2,'PEDIDO 1'!$C$2:$E$230,3,0),0)</f>
        <v>0</v>
      </c>
      <c r="E2" s="1">
        <f>IFERROR(VLOOKUP(3,'PEDIDO 1'!$C$2:$E$230,3,0),0)</f>
        <v>0</v>
      </c>
      <c r="F2" s="1">
        <f>IFERROR(VLOOKUP(282,'PEDIDO 1'!$C$2:$E$230,3,0),0)</f>
        <v>0</v>
      </c>
      <c r="G2" s="18">
        <f>SUM(C2+D2+E2+F2)</f>
        <v>0</v>
      </c>
    </row>
    <row r="3" spans="1:7" ht="15.75" x14ac:dyDescent="0.25">
      <c r="A3" s="15" t="str">
        <f>'PEDIDO 1'!$B$2</f>
        <v>Tiete-Capricholar Moveis E Utensilios Ltda Me</v>
      </c>
      <c r="B3" s="12" t="s">
        <v>400</v>
      </c>
      <c r="C3" s="1">
        <f>IFERROR(VLOOKUP(5,'PEDIDO 1'!$C$2:$E$230,3,0),0)</f>
        <v>0</v>
      </c>
      <c r="D3" s="1">
        <f>IFERROR(VLOOKUP(6,'PEDIDO 1'!$C$2:$E$230,3,0),0)</f>
        <v>0</v>
      </c>
      <c r="E3" s="1">
        <f>IFERROR(VLOOKUP(7,'PEDIDO 1'!$C$2:$E$230,3,0),0)</f>
        <v>0</v>
      </c>
      <c r="F3" s="1">
        <f>IFERROR(VLOOKUP(258,'PEDIDO 1'!$C$2:$E$230,3,0),0)</f>
        <v>0</v>
      </c>
      <c r="G3" s="18">
        <f t="shared" ref="G3:G66" si="0">SUM(C3+D3+E3+F3)</f>
        <v>0</v>
      </c>
    </row>
    <row r="4" spans="1:7" ht="15.75" x14ac:dyDescent="0.25">
      <c r="A4" s="15" t="str">
        <f>'PEDIDO 1'!$B$2</f>
        <v>Tiete-Capricholar Moveis E Utensilios Ltda Me</v>
      </c>
      <c r="B4" s="12" t="s">
        <v>401</v>
      </c>
      <c r="C4" s="1">
        <f>IFERROR(VLOOKUP(13,'PEDIDO 1'!$C$2:$E$230,3,0),0)</f>
        <v>0</v>
      </c>
      <c r="D4" s="1">
        <f>IFERROR(VLOOKUP(14,'PEDIDO 1'!$C$2:$E$230,3,0),0)</f>
        <v>0</v>
      </c>
      <c r="E4" s="1">
        <f>IFERROR(VLOOKUP(15,'PEDIDO 1'!$C$2:$E$230,3,0),0)</f>
        <v>0</v>
      </c>
      <c r="F4" s="1">
        <f>IFERROR(VLOOKUP(289,'PEDIDO 1'!$C$2:$E$230,3,0),0)</f>
        <v>0</v>
      </c>
      <c r="G4" s="18">
        <f t="shared" si="0"/>
        <v>0</v>
      </c>
    </row>
    <row r="5" spans="1:7" ht="15.75" x14ac:dyDescent="0.25">
      <c r="A5" s="15" t="str">
        <f>'PEDIDO 1'!$B$2</f>
        <v>Tiete-Capricholar Moveis E Utensilios Ltda Me</v>
      </c>
      <c r="B5" s="12" t="s">
        <v>402</v>
      </c>
      <c r="C5" s="1">
        <f>IFERROR(VLOOKUP(267,'PEDIDO 1'!$C$2:$E$230,3,0),0)</f>
        <v>0</v>
      </c>
      <c r="D5" s="1">
        <f>IFERROR(VLOOKUP(268,'PEDIDO 1'!$C$2:$E$230,3,0),0)</f>
        <v>0</v>
      </c>
      <c r="E5" s="1">
        <f>IFERROR(VLOOKUP(270,'PEDIDO 1'!$C$2:$E$230,3,0),0)</f>
        <v>0</v>
      </c>
      <c r="F5" s="1">
        <f>IFERROR(VLOOKUP(269,'PEDIDO 1'!$C$2:$E$230,3,0),0)</f>
        <v>0</v>
      </c>
      <c r="G5" s="18">
        <f t="shared" si="0"/>
        <v>0</v>
      </c>
    </row>
    <row r="6" spans="1:7" ht="15.75" x14ac:dyDescent="0.25">
      <c r="A6" s="15" t="str">
        <f>'PEDIDO 1'!$B$2</f>
        <v>Tiete-Capricholar Moveis E Utensilios Ltda Me</v>
      </c>
      <c r="B6" s="12" t="s">
        <v>403</v>
      </c>
      <c r="C6" s="1">
        <f>IFERROR(VLOOKUP(17,'PEDIDO 1'!$C$2:$E$230,3,0),0)</f>
        <v>0</v>
      </c>
      <c r="D6" s="1">
        <f>IFERROR(VLOOKUP(18,'PEDIDO 1'!$C$2:$E$230,3,0),0)</f>
        <v>0</v>
      </c>
      <c r="E6" s="1">
        <f>IFERROR(VLOOKUP(19,'PEDIDO 1'!$C$2:$E$230,3,0),0)</f>
        <v>0</v>
      </c>
      <c r="F6" s="1">
        <f>IFERROR(VLOOKUP(290,'PEDIDO 1'!$C$2:$E$230,3,0),0)</f>
        <v>0</v>
      </c>
      <c r="G6" s="18">
        <f t="shared" si="0"/>
        <v>0</v>
      </c>
    </row>
    <row r="7" spans="1:7" ht="15.75" x14ac:dyDescent="0.25">
      <c r="A7" s="15" t="str">
        <f>'PEDIDO 1'!$B$2</f>
        <v>Tiete-Capricholar Moveis E Utensilios Ltda Me</v>
      </c>
      <c r="B7" s="12" t="s">
        <v>404</v>
      </c>
      <c r="C7" s="1">
        <f>IFERROR(VLOOKUP(23,'PEDIDO 1'!$C$2:$E$230,3,0),0)</f>
        <v>0</v>
      </c>
      <c r="D7" s="1">
        <f>IFERROR(VLOOKUP(24,'PEDIDO 1'!$C$2:$E$230,3,0),0)</f>
        <v>0</v>
      </c>
      <c r="E7" s="1">
        <f>IFERROR(VLOOKUP(25,'PEDIDO 1'!$C$2:$E$230,3,0),0)</f>
        <v>0</v>
      </c>
      <c r="F7" s="1">
        <f>IFERROR(VLOOKUP(291,'PEDIDO 1'!$C$2:$E$230,3,0),0)</f>
        <v>0</v>
      </c>
      <c r="G7" s="18">
        <f t="shared" si="0"/>
        <v>0</v>
      </c>
    </row>
    <row r="8" spans="1:7" ht="15.75" x14ac:dyDescent="0.25">
      <c r="A8" s="15" t="str">
        <f>'PEDIDO 1'!$B$2</f>
        <v>Tiete-Capricholar Moveis E Utensilios Ltda Me</v>
      </c>
      <c r="B8" s="12" t="s">
        <v>405</v>
      </c>
      <c r="C8" s="1">
        <f>IFERROR(VLOOKUP(27,'PEDIDO 1'!$C$2:$E$230,3,0),0)</f>
        <v>0</v>
      </c>
      <c r="D8" s="1">
        <f>IFERROR(VLOOKUP(28,'PEDIDO 1'!$C$2:$E$230,3,0),0)</f>
        <v>0</v>
      </c>
      <c r="E8" s="1">
        <f>IFERROR(VLOOKUP(29,'PEDIDO 1'!$C$2:$E$230,3,0),0)</f>
        <v>0</v>
      </c>
      <c r="F8" s="1">
        <f>IFERROR(VLOOKUP(292,'PEDIDO 1'!$C$2:$E$230,3,0),0)</f>
        <v>0</v>
      </c>
      <c r="G8" s="18">
        <f t="shared" si="0"/>
        <v>0</v>
      </c>
    </row>
    <row r="9" spans="1:7" ht="15.75" x14ac:dyDescent="0.25">
      <c r="A9" s="15" t="str">
        <f>'PEDIDO 1'!$B$2</f>
        <v>Tiete-Capricholar Moveis E Utensilios Ltda Me</v>
      </c>
      <c r="B9" s="12" t="s">
        <v>406</v>
      </c>
      <c r="C9" s="1">
        <f>IFERROR(VLOOKUP(227,'PEDIDO 1'!$C$2:$E$230,3,0),0)</f>
        <v>0</v>
      </c>
      <c r="D9" s="1">
        <f>IFERROR(VLOOKUP(228,'PEDIDO 1'!$C$2:$E$230,3,0),0)</f>
        <v>0</v>
      </c>
      <c r="E9" s="1">
        <f>IFERROR(VLOOKUP(229,'PEDIDO 1'!$C$2:$E$230,3,0),0)</f>
        <v>0</v>
      </c>
      <c r="F9" s="1">
        <f>IFERROR(VLOOKUP(230,'PEDIDO 1'!$C$2:$E$230,3,0),0)</f>
        <v>0</v>
      </c>
      <c r="G9" s="18">
        <f t="shared" si="0"/>
        <v>0</v>
      </c>
    </row>
    <row r="10" spans="1:7" ht="15.75" x14ac:dyDescent="0.25">
      <c r="A10" s="15" t="str">
        <f>'PEDIDO 1'!$B$2</f>
        <v>Tiete-Capricholar Moveis E Utensilios Ltda Me</v>
      </c>
      <c r="B10" s="12" t="s">
        <v>407</v>
      </c>
      <c r="C10" s="1">
        <f>IFERROR(VLOOKUP(231,'PEDIDO 1'!$C$2:$E$230,3,0),0)</f>
        <v>0</v>
      </c>
      <c r="D10" s="1">
        <f>IFERROR(VLOOKUP(232,'PEDIDO 1'!$C$2:$E$230,3,0),0)</f>
        <v>0</v>
      </c>
      <c r="E10" s="1">
        <f>IFERROR(VLOOKUP(234,'PEDIDO 1'!$C$2:$E$230,3,0),0)</f>
        <v>0</v>
      </c>
      <c r="F10" s="1">
        <f>IFERROR(VLOOKUP(233,'PEDIDO 1'!$C$2:$E$230,3,0),0)</f>
        <v>0</v>
      </c>
      <c r="G10" s="18">
        <f t="shared" si="0"/>
        <v>0</v>
      </c>
    </row>
    <row r="11" spans="1:7" ht="15.75" x14ac:dyDescent="0.25">
      <c r="A11" s="15" t="str">
        <f>'PEDIDO 1'!$B$2</f>
        <v>Tiete-Capricholar Moveis E Utensilios Ltda Me</v>
      </c>
      <c r="B11" s="12" t="s">
        <v>408</v>
      </c>
      <c r="C11" s="1">
        <f>IFERROR(VLOOKUP(237,'PEDIDO 1'!$C$2:$E$230,3,0),0)</f>
        <v>0</v>
      </c>
      <c r="D11" s="1">
        <f>IFERROR(VLOOKUP(238,'PEDIDO 1'!$C$2:$E$230,3,0),0)</f>
        <v>0</v>
      </c>
      <c r="E11" s="1">
        <f>IFERROR(VLOOKUP(240,'PEDIDO 1'!$C$2:$E$230,3,0),0)</f>
        <v>0</v>
      </c>
      <c r="F11" s="1">
        <f>IFERROR(VLOOKUP(239,'PEDIDO 1'!$C$2:$E$230,3,0),0)</f>
        <v>0</v>
      </c>
      <c r="G11" s="18">
        <f t="shared" si="0"/>
        <v>0</v>
      </c>
    </row>
    <row r="12" spans="1:7" ht="15.75" x14ac:dyDescent="0.25">
      <c r="A12" s="15" t="str">
        <f>'PEDIDO 1'!$B$2</f>
        <v>Tiete-Capricholar Moveis E Utensilios Ltda Me</v>
      </c>
      <c r="B12" s="12" t="s">
        <v>409</v>
      </c>
      <c r="C12" s="1">
        <f>IFERROR(VLOOKUP(25707,'PEDIDO 1'!$C$2:$E$230,3,0),0)</f>
        <v>0</v>
      </c>
      <c r="D12" s="1">
        <f>IFERROR(VLOOKUP(25708,'PEDIDO 1'!$C$2:$E$230,3,0),0)</f>
        <v>0</v>
      </c>
      <c r="E12" s="1">
        <f>IFERROR(VLOOKUP(25710,'PEDIDO 1'!$C$2:$E$230,3,0),0)</f>
        <v>0</v>
      </c>
      <c r="F12" s="1">
        <f>IFERROR(VLOOKUP(25709,'PEDIDO 1'!$C$2:$E$230,3,0),0)</f>
        <v>0</v>
      </c>
      <c r="G12" s="18">
        <f t="shared" si="0"/>
        <v>0</v>
      </c>
    </row>
    <row r="13" spans="1:7" ht="15.75" x14ac:dyDescent="0.25">
      <c r="A13" s="15" t="str">
        <f>'PEDIDO 1'!$B$2</f>
        <v>Tiete-Capricholar Moveis E Utensilios Ltda Me</v>
      </c>
      <c r="B13" s="12" t="s">
        <v>410</v>
      </c>
      <c r="C13" s="1">
        <f>IFERROR(VLOOKUP(25711,'PEDIDO 1'!$C$2:$E$230,3,0),0)</f>
        <v>0</v>
      </c>
      <c r="D13" s="1"/>
      <c r="E13" s="1"/>
      <c r="F13" s="1"/>
      <c r="G13" s="18">
        <f t="shared" si="0"/>
        <v>0</v>
      </c>
    </row>
    <row r="14" spans="1:7" ht="15.75" x14ac:dyDescent="0.25">
      <c r="A14" s="15" t="str">
        <f>'PEDIDO 1'!$B$2</f>
        <v>Tiete-Capricholar Moveis E Utensilios Ltda Me</v>
      </c>
      <c r="B14" s="12" t="s">
        <v>411</v>
      </c>
      <c r="C14" s="1">
        <f>IFERROR(VLOOKUP(35,'PEDIDO 1'!$C$2:$E$230,3,0),0)</f>
        <v>0</v>
      </c>
      <c r="D14" s="1">
        <f>IFERROR(VLOOKUP(36,'PEDIDO 1'!$C$2:$E$230,3,0),0)</f>
        <v>0</v>
      </c>
      <c r="E14" s="1">
        <f>IFERROR(VLOOKUP(37,'PEDIDO 1'!$C$2:$E$230,3,0),0)</f>
        <v>0</v>
      </c>
      <c r="F14" s="1">
        <f>IFERROR(VLOOKUP(294,'PEDIDO 1'!$C$2:$E$230,3,0),0)</f>
        <v>0</v>
      </c>
      <c r="G14" s="18">
        <f t="shared" si="0"/>
        <v>0</v>
      </c>
    </row>
    <row r="15" spans="1:7" ht="15.75" x14ac:dyDescent="0.25">
      <c r="A15" s="15" t="str">
        <f>'PEDIDO 1'!$B$2</f>
        <v>Tiete-Capricholar Moveis E Utensilios Ltda Me</v>
      </c>
      <c r="B15" s="12" t="s">
        <v>412</v>
      </c>
      <c r="C15" s="1">
        <f>IFERROR(VLOOKUP(39,'PEDIDO 1'!$C$2:$E$230,3,0),0)</f>
        <v>0</v>
      </c>
      <c r="D15" s="1">
        <f>IFERROR(VLOOKUP(40,'PEDIDO 1'!$C$2:$E$230,3,0),0)</f>
        <v>0</v>
      </c>
      <c r="E15" s="1">
        <f>IFERROR(VLOOKUP(42,'PEDIDO 1'!$C$2:$E$230,3,0),0)</f>
        <v>0</v>
      </c>
      <c r="F15" s="1">
        <f>IFERROR(VLOOKUP(295,'PEDIDO 1'!$C$2:$E$230,3,0),0)</f>
        <v>0</v>
      </c>
      <c r="G15" s="18">
        <f t="shared" si="0"/>
        <v>0</v>
      </c>
    </row>
    <row r="16" spans="1:7" ht="15.75" x14ac:dyDescent="0.25">
      <c r="A16" s="15" t="str">
        <f>'PEDIDO 1'!$B$2</f>
        <v>Tiete-Capricholar Moveis E Utensilios Ltda Me</v>
      </c>
      <c r="B16" s="12" t="s">
        <v>413</v>
      </c>
      <c r="C16" s="1">
        <f>IFERROR(VLOOKUP(44,'PEDIDO 1'!$C$2:$E$230,3,0),0)</f>
        <v>0</v>
      </c>
      <c r="D16" s="1">
        <f>IFERROR(VLOOKUP(45,'PEDIDO 1'!$C$2:$E$230,3,0),0)</f>
        <v>0</v>
      </c>
      <c r="E16" s="1">
        <f>IFERROR(VLOOKUP(46,'PEDIDO 1'!$C$2:$E$230,3,0),0)</f>
        <v>0</v>
      </c>
      <c r="F16" s="1">
        <f>IFERROR(VLOOKUP(283,'PEDIDO 1'!$C$2:$E$230,3,0),0)</f>
        <v>0</v>
      </c>
      <c r="G16" s="18">
        <f t="shared" si="0"/>
        <v>0</v>
      </c>
    </row>
    <row r="17" spans="1:7" ht="15.75" x14ac:dyDescent="0.25">
      <c r="A17" s="15" t="str">
        <f>'PEDIDO 1'!$B$2</f>
        <v>Tiete-Capricholar Moveis E Utensilios Ltda Me</v>
      </c>
      <c r="B17" s="12" t="s">
        <v>414</v>
      </c>
      <c r="C17" s="1">
        <f>IFERROR(VLOOKUP(48,'PEDIDO 1'!$C$2:$E$230,3,0),0)</f>
        <v>0</v>
      </c>
      <c r="D17" s="1">
        <f>IFERROR(VLOOKUP(49,'PEDIDO 1'!$C$2:$E$230,3,0),0)</f>
        <v>0</v>
      </c>
      <c r="E17" s="1">
        <f>IFERROR(VLOOKUP(50,'PEDIDO 1'!$C$2:$E$230,3,0),0)</f>
        <v>0</v>
      </c>
      <c r="F17" s="1">
        <f>IFERROR(VLOOKUP(298,'PEDIDO 1'!$C$2:$E$230,3,0),0)</f>
        <v>0</v>
      </c>
      <c r="G17" s="18">
        <f t="shared" si="0"/>
        <v>0</v>
      </c>
    </row>
    <row r="18" spans="1:7" ht="15.75" x14ac:dyDescent="0.25">
      <c r="A18" s="15" t="str">
        <f>'PEDIDO 1'!$B$2</f>
        <v>Tiete-Capricholar Moveis E Utensilios Ltda Me</v>
      </c>
      <c r="B18" s="12" t="s">
        <v>415</v>
      </c>
      <c r="C18" s="1">
        <f>IFERROR(VLOOKUP(52,'PEDIDO 1'!$C$2:$E$230,3,0),0)</f>
        <v>0</v>
      </c>
      <c r="D18" s="1">
        <f>IFERROR(VLOOKUP(53,'PEDIDO 1'!$C$2:$E$230,3,0),0)</f>
        <v>0</v>
      </c>
      <c r="E18" s="1">
        <f>IFERROR(VLOOKUP(54,'PEDIDO 1'!$C$2:$E$230,3,0),0)</f>
        <v>0</v>
      </c>
      <c r="F18" s="1">
        <f>IFERROR(VLOOKUP(299,'PEDIDO 1'!$C$2:$E$230,3,0),0)</f>
        <v>0</v>
      </c>
      <c r="G18" s="18">
        <f t="shared" si="0"/>
        <v>0</v>
      </c>
    </row>
    <row r="19" spans="1:7" ht="15.75" x14ac:dyDescent="0.25">
      <c r="A19" s="15" t="str">
        <f>'PEDIDO 1'!$B$2</f>
        <v>Tiete-Capricholar Moveis E Utensilios Ltda Me</v>
      </c>
      <c r="B19" s="12" t="s">
        <v>416</v>
      </c>
      <c r="C19" s="1">
        <f>IFERROR(VLOOKUP(56,'PEDIDO 1'!$C$2:$E$230,3,0),0)</f>
        <v>0</v>
      </c>
      <c r="D19" s="1">
        <f>IFERROR(VLOOKUP(61,'PEDIDO 1'!$C$2:$E$230,3,0),0)</f>
        <v>0</v>
      </c>
      <c r="E19" s="1">
        <f>IFERROR(VLOOKUP(58,'PEDIDO 1'!$C$2:$E$230,3,0),0)</f>
        <v>0</v>
      </c>
      <c r="F19" s="1">
        <f>IFERROR(VLOOKUP(300,'PEDIDO 1'!$C$2:$E$230,3,0),0)</f>
        <v>0</v>
      </c>
      <c r="G19" s="18">
        <f t="shared" si="0"/>
        <v>0</v>
      </c>
    </row>
    <row r="20" spans="1:7" ht="15.75" x14ac:dyDescent="0.25">
      <c r="A20" s="15" t="str">
        <f>'PEDIDO 1'!$B$2</f>
        <v>Tiete-Capricholar Moveis E Utensilios Ltda Me</v>
      </c>
      <c r="B20" s="12" t="s">
        <v>417</v>
      </c>
      <c r="C20" s="1">
        <f>IFERROR(VLOOKUP(60,'PEDIDO 1'!$C$2:$E$230,3,0),0)</f>
        <v>0</v>
      </c>
      <c r="D20" s="1">
        <f>IFERROR(VLOOKUP(120,'PEDIDO 1'!$C$2:$E$230,3,0),0)</f>
        <v>0</v>
      </c>
      <c r="E20" s="1">
        <f>IFERROR(VLOOKUP(62,'PEDIDO 1'!$C$2:$E$230,3,0),0)</f>
        <v>0</v>
      </c>
      <c r="F20" s="1">
        <f>IFERROR(VLOOKUP(301,'PEDIDO 1'!$C$2:$E$230,3,0),0)</f>
        <v>0</v>
      </c>
      <c r="G20" s="18">
        <f t="shared" si="0"/>
        <v>0</v>
      </c>
    </row>
    <row r="21" spans="1:7" ht="15.75" x14ac:dyDescent="0.25">
      <c r="A21" s="15" t="str">
        <f>'PEDIDO 1'!$B$2</f>
        <v>Tiete-Capricholar Moveis E Utensilios Ltda Me</v>
      </c>
      <c r="B21" s="12" t="s">
        <v>426</v>
      </c>
      <c r="C21" s="1">
        <f>IFERROR(VLOOKUP(112,'PEDIDO 1'!$C$2:$E$230,3,0),0)</f>
        <v>0</v>
      </c>
      <c r="D21" s="1">
        <f>IFERROR(VLOOKUP(113,'PEDIDO 1'!$C$2:$E$230,3,0),0)</f>
        <v>0</v>
      </c>
      <c r="E21" s="1">
        <f>IFERROR(VLOOKUP(114,'PEDIDO 1'!$C$2:$E$230,3,0),0)</f>
        <v>0</v>
      </c>
      <c r="F21" s="1">
        <f>IFERROR(VLOOKUP(296,'PEDIDO 1'!$C$2:$E$230,3,0),0)</f>
        <v>0</v>
      </c>
      <c r="G21" s="18">
        <f t="shared" si="0"/>
        <v>0</v>
      </c>
    </row>
    <row r="22" spans="1:7" ht="15.75" x14ac:dyDescent="0.25">
      <c r="A22" s="15" t="str">
        <f>'PEDIDO 1'!$B$2</f>
        <v>Tiete-Capricholar Moveis E Utensilios Ltda Me</v>
      </c>
      <c r="B22" s="12" t="s">
        <v>427</v>
      </c>
      <c r="C22" s="1">
        <f>IFERROR(VLOOKUP(116,'PEDIDO 1'!$C$2:$E$230,3,0),0)</f>
        <v>0</v>
      </c>
      <c r="D22" s="1">
        <f>IFERROR(VLOOKUP(117,'PEDIDO 1'!$C$2:$E$230,3,0),0)</f>
        <v>0</v>
      </c>
      <c r="E22" s="1">
        <f>IFERROR(VLOOKUP(118,'PEDIDO 1'!$C$2:$E$230,3,0),0)</f>
        <v>0</v>
      </c>
      <c r="F22" s="1">
        <f>IFERROR(VLOOKUP(293,'PEDIDO 1'!$C$2:$E$230,3,0),0)</f>
        <v>0</v>
      </c>
      <c r="G22" s="18">
        <f t="shared" si="0"/>
        <v>0</v>
      </c>
    </row>
    <row r="23" spans="1:7" ht="15.75" x14ac:dyDescent="0.25">
      <c r="A23" s="15" t="str">
        <f>'PEDIDO 1'!$B$2</f>
        <v>Tiete-Capricholar Moveis E Utensilios Ltda Me</v>
      </c>
      <c r="B23" s="12" t="s">
        <v>418</v>
      </c>
      <c r="C23" s="1">
        <f>IFERROR(VLOOKUP(963,'PEDIDO 1'!$C$2:$E$230,3,0),0)</f>
        <v>0</v>
      </c>
      <c r="D23" s="1">
        <f>IFERROR(VLOOKUP(965,'PEDIDO 1'!$C$2:$E$230,3,0),0)</f>
        <v>0</v>
      </c>
      <c r="E23" s="1">
        <f>IFERROR(VLOOKUP(966,'PEDIDO 1'!$C$2:$E$230,3,0),0)</f>
        <v>0</v>
      </c>
      <c r="F23" s="1">
        <f>IFERROR(VLOOKUP(964,'PEDIDO 1'!$C$2:$E$230,3,0),0)</f>
        <v>0</v>
      </c>
      <c r="G23" s="18">
        <f t="shared" si="0"/>
        <v>0</v>
      </c>
    </row>
    <row r="24" spans="1:7" ht="15.75" x14ac:dyDescent="0.25">
      <c r="A24" s="15" t="str">
        <f>'PEDIDO 1'!$B$2</f>
        <v>Tiete-Capricholar Moveis E Utensilios Ltda Me</v>
      </c>
      <c r="B24" s="12" t="s">
        <v>419</v>
      </c>
      <c r="C24" s="1">
        <f>IFERROR(VLOOKUP(2042,'PEDIDO 1'!$C$2:$E$230,3,0),0)</f>
        <v>0</v>
      </c>
      <c r="D24" s="1">
        <f>IFERROR(VLOOKUP(2041,'PEDIDO 1'!$C$2:$E$230,3,0),0)</f>
        <v>0</v>
      </c>
      <c r="E24" s="1">
        <f>IFERROR(VLOOKUP(2043,'PEDIDO 1'!$C$2:$E$230,3,0),0)</f>
        <v>0</v>
      </c>
      <c r="F24" s="1">
        <f>IFERROR(VLOOKUP(2040,'PEDIDO 1'!$C$2:$E$230,3,0),0)</f>
        <v>0</v>
      </c>
      <c r="G24" s="18">
        <f t="shared" si="0"/>
        <v>0</v>
      </c>
    </row>
    <row r="25" spans="1:7" ht="15.75" x14ac:dyDescent="0.25">
      <c r="A25" s="15" t="str">
        <f>'PEDIDO 1'!$B$2</f>
        <v>Tiete-Capricholar Moveis E Utensilios Ltda Me</v>
      </c>
      <c r="B25" s="12" t="s">
        <v>420</v>
      </c>
      <c r="C25" s="1">
        <f>IFERROR(VLOOKUP(2045,'PEDIDO 1'!$C$2:$E$230,3,0),0)</f>
        <v>0</v>
      </c>
      <c r="D25" s="1">
        <f>IFERROR(VLOOKUP(2046,'PEDIDO 1'!$C$2:$E$230,3,0),0)</f>
        <v>0</v>
      </c>
      <c r="E25" s="1">
        <f>IFERROR(VLOOKUP(2047,'PEDIDO 1'!$C$2:$E$230,3,0),0)</f>
        <v>0</v>
      </c>
      <c r="F25" s="1">
        <f>IFERROR(VLOOKUP(2048,'PEDIDO 1'!$C$2:$E$230,3,0),0)</f>
        <v>0</v>
      </c>
      <c r="G25" s="18">
        <f t="shared" si="0"/>
        <v>0</v>
      </c>
    </row>
    <row r="26" spans="1:7" ht="15.75" x14ac:dyDescent="0.25">
      <c r="A26" s="15" t="str">
        <f>'PEDIDO 1'!$B$2</f>
        <v>Tiete-Capricholar Moveis E Utensilios Ltda Me</v>
      </c>
      <c r="B26" s="12" t="s">
        <v>421</v>
      </c>
      <c r="C26" s="1">
        <f>IFERROR(VLOOKUP(2050,'PEDIDO 1'!$C$2:$E$230,3,0),0)</f>
        <v>0</v>
      </c>
      <c r="D26" s="1">
        <f>IFERROR(VLOOKUP(2051,'PEDIDO 1'!$C$2:$E$230,3,0),0)</f>
        <v>0</v>
      </c>
      <c r="E26" s="1">
        <f>IFERROR(VLOOKUP(2052,'PEDIDO 1'!$C$2:$E$230,3,0),0)</f>
        <v>0</v>
      </c>
      <c r="F26" s="1">
        <f>IFERROR(VLOOKUP(2053,'PEDIDO 1'!$C$2:$E$230,3,0),0)</f>
        <v>0</v>
      </c>
      <c r="G26" s="18">
        <f t="shared" si="0"/>
        <v>0</v>
      </c>
    </row>
    <row r="27" spans="1:7" ht="15.75" x14ac:dyDescent="0.25">
      <c r="A27" s="15" t="str">
        <f>'PEDIDO 1'!$B$2</f>
        <v>Tiete-Capricholar Moveis E Utensilios Ltda Me</v>
      </c>
      <c r="B27" s="12" t="s">
        <v>422</v>
      </c>
      <c r="C27" s="1">
        <f>IFERROR(VLOOKUP(216,'PEDIDO 1'!$C$2:$E$230,3,0),0)</f>
        <v>0</v>
      </c>
      <c r="D27" s="1">
        <f>IFERROR(VLOOKUP(217,'PEDIDO 1'!$C$2:$E$230,3,0),0)</f>
        <v>0</v>
      </c>
      <c r="E27" s="1">
        <f>IFERROR(VLOOKUP(218,'PEDIDO 1'!$C$2:$E$230,3,0),0)</f>
        <v>0</v>
      </c>
      <c r="F27" s="1">
        <f>IFERROR(VLOOKUP(305,'PEDIDO 1'!$C$2:$E$230,3,0),0)</f>
        <v>0</v>
      </c>
      <c r="G27" s="18">
        <f t="shared" si="0"/>
        <v>0</v>
      </c>
    </row>
    <row r="28" spans="1:7" ht="15.75" x14ac:dyDescent="0.25">
      <c r="A28" s="15" t="str">
        <f>'PEDIDO 1'!$B$2</f>
        <v>Tiete-Capricholar Moveis E Utensilios Ltda Me</v>
      </c>
      <c r="B28" s="12" t="s">
        <v>423</v>
      </c>
      <c r="C28" s="1">
        <f>IFERROR(VLOOKUP(100,'PEDIDO 1'!$C$2:$E$230,3,0),0)</f>
        <v>0</v>
      </c>
      <c r="D28" s="1">
        <f>IFERROR(VLOOKUP(101,'PEDIDO 1'!$C$2:$E$230,3,0),0)</f>
        <v>0</v>
      </c>
      <c r="E28" s="1">
        <f>IFERROR(VLOOKUP(102,'PEDIDO 1'!$C$2:$E$230,3,0),0)</f>
        <v>0</v>
      </c>
      <c r="F28" s="1">
        <f>IFERROR(VLOOKUP(306,'PEDIDO 1'!$C$2:$E$230,3,0),0)</f>
        <v>0</v>
      </c>
      <c r="G28" s="18">
        <f t="shared" si="0"/>
        <v>0</v>
      </c>
    </row>
    <row r="29" spans="1:7" ht="15.75" x14ac:dyDescent="0.25">
      <c r="A29" s="15" t="str">
        <f>'PEDIDO 1'!$B$2</f>
        <v>Tiete-Capricholar Moveis E Utensilios Ltda Me</v>
      </c>
      <c r="B29" s="12" t="s">
        <v>424</v>
      </c>
      <c r="C29" s="1">
        <f>IFERROR(VLOOKUP(104,'PEDIDO 1'!$C$2:$E$230,3,0),0)</f>
        <v>0</v>
      </c>
      <c r="D29" s="1">
        <f>IFERROR(VLOOKUP(105,'PEDIDO 1'!$C$2:$E$230,3,0),0)</f>
        <v>0</v>
      </c>
      <c r="E29" s="1">
        <f>IFERROR(VLOOKUP(106,'PEDIDO 1'!$C$2:$E$230,3,0),0)</f>
        <v>0</v>
      </c>
      <c r="F29" s="1">
        <f>IFERROR(VLOOKUP(307,'PEDIDO 1'!$C$2:$E$230,3,0),0)</f>
        <v>0</v>
      </c>
      <c r="G29" s="18">
        <f t="shared" si="0"/>
        <v>0</v>
      </c>
    </row>
    <row r="30" spans="1:7" ht="15.75" x14ac:dyDescent="0.25">
      <c r="A30" s="15" t="str">
        <f>'PEDIDO 1'!$B$2</f>
        <v>Tiete-Capricholar Moveis E Utensilios Ltda Me</v>
      </c>
      <c r="B30" s="12" t="s">
        <v>425</v>
      </c>
      <c r="C30" s="1">
        <f>IFERROR(VLOOKUP(400,'PEDIDO 1'!$C$2:$E$230,3,0),0)</f>
        <v>0</v>
      </c>
      <c r="D30" s="1">
        <f>IFERROR(VLOOKUP(401,'PEDIDO 1'!$C$2:$E$230,3,0),0)</f>
        <v>0</v>
      </c>
      <c r="E30" s="1">
        <f>IFERROR(VLOOKUP(402,'PEDIDO 1'!$C$2:$E$230,3,0),0)</f>
        <v>0</v>
      </c>
      <c r="F30" s="1">
        <f>IFERROR(VLOOKUP(403,'PEDIDO 1'!$C$2:$E$230,3,0),0)</f>
        <v>0</v>
      </c>
      <c r="G30" s="18">
        <f t="shared" si="0"/>
        <v>0</v>
      </c>
    </row>
    <row r="31" spans="1:7" ht="15.75" x14ac:dyDescent="0.25">
      <c r="A31" s="15" t="str">
        <f>'PEDIDO 1'!$B$2</f>
        <v>Tiete-Capricholar Moveis E Utensilios Ltda Me</v>
      </c>
      <c r="B31" s="12" t="s">
        <v>428</v>
      </c>
      <c r="C31" s="1">
        <f>IFERROR(VLOOKUP(22,'PEDIDO 1'!$C$2:$E$230,3,0),0)</f>
        <v>0</v>
      </c>
      <c r="D31" s="1"/>
      <c r="E31" s="1"/>
      <c r="F31" s="1"/>
      <c r="G31" s="18">
        <f t="shared" si="0"/>
        <v>0</v>
      </c>
    </row>
    <row r="32" spans="1:7" ht="15.75" x14ac:dyDescent="0.25">
      <c r="A32" s="15" t="str">
        <f>'PEDIDO 1'!$B$2</f>
        <v>Tiete-Capricholar Moveis E Utensilios Ltda Me</v>
      </c>
      <c r="B32" s="12" t="s">
        <v>429</v>
      </c>
      <c r="C32" s="1">
        <f>IFERROR(VLOOKUP(21,'PEDIDO 1'!$C$2:$E$230,3,0),0)</f>
        <v>0</v>
      </c>
      <c r="D32" s="1"/>
      <c r="E32" s="1"/>
      <c r="F32" s="1"/>
      <c r="G32" s="18">
        <f t="shared" si="0"/>
        <v>0</v>
      </c>
    </row>
    <row r="33" spans="1:7" ht="15.75" x14ac:dyDescent="0.25">
      <c r="A33" s="15" t="str">
        <f>'PEDIDO 1'!$B$2</f>
        <v>Tiete-Capricholar Moveis E Utensilios Ltda Me</v>
      </c>
      <c r="B33" s="12" t="s">
        <v>430</v>
      </c>
      <c r="C33" s="1">
        <f>IFERROR(VLOOKUP(1125,'PEDIDO 1'!$C$2:$E$230,3,0),0)</f>
        <v>0</v>
      </c>
      <c r="D33" s="1">
        <f>IFERROR(VLOOKUP(1126,'PEDIDO 1'!$C$2:$E$230,3,0),0)</f>
        <v>0</v>
      </c>
      <c r="E33" s="1">
        <f>IFERROR(VLOOKUP(1127,'PEDIDO 1'!$C$2:$E$230,3,0),0)</f>
        <v>0</v>
      </c>
      <c r="F33" s="1">
        <f>IFERROR(VLOOKUP(1128,'PEDIDO 1'!$C$2:$E$230,3,0),0)</f>
        <v>0</v>
      </c>
      <c r="G33" s="18">
        <f t="shared" si="0"/>
        <v>0</v>
      </c>
    </row>
    <row r="34" spans="1:7" ht="15.75" x14ac:dyDescent="0.25">
      <c r="A34" s="15" t="str">
        <f>'PEDIDO 1'!$B$2</f>
        <v>Tiete-Capricholar Moveis E Utensilios Ltda Me</v>
      </c>
      <c r="B34" s="12" t="s">
        <v>431</v>
      </c>
      <c r="C34" s="1">
        <f>IFERROR(VLOOKUP(1133,'PEDIDO 1'!$C$2:$E$230,3,0),0)</f>
        <v>0</v>
      </c>
      <c r="D34" s="1">
        <f>IFERROR(VLOOKUP(1134,'PEDIDO 1'!$C$2:$E$230,3,0),0)</f>
        <v>0</v>
      </c>
      <c r="E34" s="1">
        <f>IFERROR(VLOOKUP(1135,'PEDIDO 1'!$C$2:$E$230,3,0),0)</f>
        <v>0</v>
      </c>
      <c r="F34" s="1">
        <f>IFERROR(VLOOKUP(1136,'PEDIDO 1'!$C$2:$E$230,3,0),0)</f>
        <v>0</v>
      </c>
      <c r="G34" s="18">
        <f t="shared" si="0"/>
        <v>0</v>
      </c>
    </row>
    <row r="35" spans="1:7" ht="15.75" x14ac:dyDescent="0.25">
      <c r="A35" s="15" t="str">
        <f>'PEDIDO 1'!$B$2</f>
        <v>Tiete-Capricholar Moveis E Utensilios Ltda Me</v>
      </c>
      <c r="B35" s="12" t="s">
        <v>432</v>
      </c>
      <c r="C35" s="1">
        <f>IFERROR(VLOOKUP(1105,'PEDIDO 1'!$C$2:$E$230,3,0),0)</f>
        <v>0</v>
      </c>
      <c r="D35" s="1">
        <f>IFERROR(VLOOKUP(1106,'PEDIDO 1'!$C$2:$E$230,3,0),0)</f>
        <v>0</v>
      </c>
      <c r="E35" s="1">
        <f>IFERROR(VLOOKUP(1107,'PEDIDO 1'!$C$2:$E$230,3,0),0)</f>
        <v>0</v>
      </c>
      <c r="F35" s="1">
        <f>IFERROR(VLOOKUP(1108,'PEDIDO 1'!$C$2:$E$230,3,0),0)</f>
        <v>0</v>
      </c>
      <c r="G35" s="18">
        <f t="shared" si="0"/>
        <v>0</v>
      </c>
    </row>
    <row r="36" spans="1:7" ht="15.75" x14ac:dyDescent="0.25">
      <c r="A36" s="15" t="str">
        <f>'PEDIDO 1'!$B$2</f>
        <v>Tiete-Capricholar Moveis E Utensilios Ltda Me</v>
      </c>
      <c r="B36" s="12" t="s">
        <v>433</v>
      </c>
      <c r="C36" s="1">
        <f>IFERROR(VLOOKUP(1109,'PEDIDO 1'!$C$2:$E$230,3,0),0)</f>
        <v>1</v>
      </c>
      <c r="D36" s="1">
        <f>IFERROR(VLOOKUP(1110,'PEDIDO 1'!$C$2:$E$230,3,0),0)</f>
        <v>0</v>
      </c>
      <c r="E36" s="1">
        <f>IFERROR(VLOOKUP(1111,'PEDIDO 1'!$C$2:$E$230,3,0),0)</f>
        <v>0</v>
      </c>
      <c r="F36" s="1">
        <f>IFERROR(VLOOKUP(1112,'PEDIDO 1'!$C$2:$E$230,3,0),0)</f>
        <v>0</v>
      </c>
      <c r="G36" s="18">
        <f t="shared" si="0"/>
        <v>1</v>
      </c>
    </row>
    <row r="37" spans="1:7" ht="15.75" x14ac:dyDescent="0.25">
      <c r="A37" s="15" t="str">
        <f>'PEDIDO 1'!$B$2</f>
        <v>Tiete-Capricholar Moveis E Utensilios Ltda Me</v>
      </c>
      <c r="B37" s="12" t="s">
        <v>434</v>
      </c>
      <c r="C37" s="1">
        <f>IFERROR(VLOOKUP(1113,'PEDIDO 1'!$C$2:$E$230,3,0),0)</f>
        <v>0</v>
      </c>
      <c r="D37" s="1">
        <f>IFERROR(VLOOKUP(1114,'PEDIDO 1'!$C$2:$E$230,3,0),0)</f>
        <v>0</v>
      </c>
      <c r="E37" s="1">
        <f>IFERROR(VLOOKUP(1115,'PEDIDO 1'!$C$2:$E$230,3,0),0)</f>
        <v>0</v>
      </c>
      <c r="F37" s="1">
        <f>IFERROR(VLOOKUP(1116,'PEDIDO 1'!$C$2:$E$230,3,0),0)</f>
        <v>0</v>
      </c>
      <c r="G37" s="18">
        <f t="shared" si="0"/>
        <v>0</v>
      </c>
    </row>
    <row r="38" spans="1:7" ht="15.75" x14ac:dyDescent="0.25">
      <c r="A38" s="15" t="str">
        <f>'PEDIDO 1'!$B$2</f>
        <v>Tiete-Capricholar Moveis E Utensilios Ltda Me</v>
      </c>
      <c r="B38" s="12" t="s">
        <v>435</v>
      </c>
      <c r="C38" s="1">
        <f>IFERROR(VLOOKUP(1117,'PEDIDO 1'!$C$2:$E$230,3,0),0)</f>
        <v>0</v>
      </c>
      <c r="D38" s="1">
        <f>IFERROR(VLOOKUP(1118,'PEDIDO 1'!$C$2:$E$230,3,0),0)</f>
        <v>0</v>
      </c>
      <c r="E38" s="1">
        <f>IFERROR(VLOOKUP(1119,'PEDIDO 1'!$C$2:$E$230,3,0),0)</f>
        <v>0</v>
      </c>
      <c r="F38" s="1">
        <f>IFERROR(VLOOKUP(1120,'PEDIDO 1'!$C$2:$E$230,3,0),0)</f>
        <v>0</v>
      </c>
      <c r="G38" s="18">
        <f t="shared" si="0"/>
        <v>0</v>
      </c>
    </row>
    <row r="39" spans="1:7" ht="15.75" x14ac:dyDescent="0.25">
      <c r="A39" s="15" t="str">
        <f>'PEDIDO 1'!$B$2</f>
        <v>Tiete-Capricholar Moveis E Utensilios Ltda Me</v>
      </c>
      <c r="B39" s="12" t="s">
        <v>436</v>
      </c>
      <c r="C39" s="1">
        <f>IFERROR(VLOOKUP(1121,'PEDIDO 1'!$C$2:$E$230,3,0),0)</f>
        <v>0</v>
      </c>
      <c r="D39" s="1">
        <f>IFERROR(VLOOKUP(1122,'PEDIDO 1'!$C$2:$E$230,3,0),0)</f>
        <v>0</v>
      </c>
      <c r="E39" s="1">
        <f>IFERROR(VLOOKUP(1123,'PEDIDO 1'!$C$2:$E$230,3,0),0)</f>
        <v>0</v>
      </c>
      <c r="F39" s="1">
        <f>IFERROR(VLOOKUP(1124,'PEDIDO 1'!$C$2:$E$230,3,0),0)</f>
        <v>0</v>
      </c>
      <c r="G39" s="18">
        <f t="shared" si="0"/>
        <v>0</v>
      </c>
    </row>
    <row r="40" spans="1:7" ht="15.75" x14ac:dyDescent="0.25">
      <c r="A40" s="15" t="str">
        <f>'PEDIDO 1'!$B$2</f>
        <v>Tiete-Capricholar Moveis E Utensilios Ltda Me</v>
      </c>
      <c r="B40" s="12" t="s">
        <v>437</v>
      </c>
      <c r="C40" s="1">
        <f>IFERROR(VLOOKUP(1129,'PEDIDO 1'!$C$2:$E$230,3,0),0)</f>
        <v>0</v>
      </c>
      <c r="D40" s="1">
        <f>IFERROR(VLOOKUP(1130,'PEDIDO 1'!$C$2:$E$230,3,0),0)</f>
        <v>0</v>
      </c>
      <c r="E40" s="1">
        <f>IFERROR(VLOOKUP(1131,'PEDIDO 1'!$C$2:$E$230,3,0),0)</f>
        <v>0</v>
      </c>
      <c r="F40" s="1">
        <f>IFERROR(VLOOKUP(1132,'PEDIDO 1'!$C$2:$E$230,3,0),0)</f>
        <v>0</v>
      </c>
      <c r="G40" s="18">
        <f t="shared" si="0"/>
        <v>0</v>
      </c>
    </row>
    <row r="41" spans="1:7" ht="15.75" x14ac:dyDescent="0.25">
      <c r="A41" s="15" t="str">
        <f>'PEDIDO 1'!$B$2</f>
        <v>Tiete-Capricholar Moveis E Utensilios Ltda Me</v>
      </c>
      <c r="B41" s="12" t="s">
        <v>438</v>
      </c>
      <c r="C41" s="1">
        <f>IFERROR(VLOOKUP(1137,'PEDIDO 1'!$C$2:$E$230,3,0),0)</f>
        <v>1</v>
      </c>
      <c r="D41" s="1">
        <f>IFERROR(VLOOKUP(1138,'PEDIDO 1'!$C$2:$E$230,3,0),0)</f>
        <v>0</v>
      </c>
      <c r="E41" s="1">
        <f>IFERROR(VLOOKUP(1139,'PEDIDO 1'!$C$2:$E$230,3,0),0)</f>
        <v>0</v>
      </c>
      <c r="F41" s="1">
        <f>IFERROR(VLOOKUP(1140,'PEDIDO 1'!$C$2:$E$230,3,0),0)</f>
        <v>0</v>
      </c>
      <c r="G41" s="18">
        <f t="shared" si="0"/>
        <v>1</v>
      </c>
    </row>
    <row r="42" spans="1:7" ht="15.75" x14ac:dyDescent="0.25">
      <c r="A42" s="15" t="str">
        <f>'PEDIDO 1'!$B$2</f>
        <v>Tiete-Capricholar Moveis E Utensilios Ltda Me</v>
      </c>
      <c r="B42" s="12" t="s">
        <v>439</v>
      </c>
      <c r="C42" s="1">
        <f>IFERROR(VLOOKUP(1141,'PEDIDO 1'!$C$2:$E$230,3,0),0)</f>
        <v>0</v>
      </c>
      <c r="D42" s="1">
        <f>IFERROR(VLOOKUP(1142,'PEDIDO 1'!$C$2:$E$230,3,0),0)</f>
        <v>0</v>
      </c>
      <c r="E42" s="1">
        <f>IFERROR(VLOOKUP(1143,'PEDIDO 1'!$C$2:$E$230,3,0),0)</f>
        <v>0</v>
      </c>
      <c r="F42" s="1">
        <f>IFERROR(VLOOKUP(1144,'PEDIDO 1'!$C$2:$E$230,3,0),0)</f>
        <v>0</v>
      </c>
      <c r="G42" s="18">
        <f t="shared" si="0"/>
        <v>0</v>
      </c>
    </row>
    <row r="43" spans="1:7" ht="15.75" x14ac:dyDescent="0.25">
      <c r="A43" s="15" t="str">
        <f>'PEDIDO 1'!$B$2</f>
        <v>Tiete-Capricholar Moveis E Utensilios Ltda Me</v>
      </c>
      <c r="B43" s="12" t="s">
        <v>440</v>
      </c>
      <c r="C43" s="1">
        <f>IFERROR(VLOOKUP(1145,'PEDIDO 1'!$C$2:$E$230,3,0),0)</f>
        <v>0</v>
      </c>
      <c r="D43" s="1">
        <f>IFERROR(VLOOKUP(1146,'PEDIDO 1'!$C$2:$E$230,3,0),0)</f>
        <v>0</v>
      </c>
      <c r="E43" s="1">
        <f>IFERROR(VLOOKUP(1147,'PEDIDO 1'!$C$2:$E$230,3,0),0)</f>
        <v>0</v>
      </c>
      <c r="F43" s="1">
        <f>IFERROR(VLOOKUP(1148,'PEDIDO 1'!$C$2:$E$230,3,0),0)</f>
        <v>0</v>
      </c>
      <c r="G43" s="18">
        <f t="shared" si="0"/>
        <v>0</v>
      </c>
    </row>
    <row r="44" spans="1:7" ht="15.75" x14ac:dyDescent="0.25">
      <c r="A44" s="15" t="str">
        <f>'PEDIDO 1'!$B$2</f>
        <v>Tiete-Capricholar Moveis E Utensilios Ltda Me</v>
      </c>
      <c r="B44" s="12" t="s">
        <v>441</v>
      </c>
      <c r="C44" s="1">
        <f>IFERROR(VLOOKUP(1149,'PEDIDO 1'!$C$2:$E$230,3,0),0)</f>
        <v>0</v>
      </c>
      <c r="D44" s="1">
        <f>IFERROR(VLOOKUP(1150,'PEDIDO 1'!$C$2:$E$230,3,0),0)</f>
        <v>0</v>
      </c>
      <c r="E44" s="1">
        <f>IFERROR(VLOOKUP(1151,'PEDIDO 1'!$C$2:$E$230,3,0),0)</f>
        <v>0</v>
      </c>
      <c r="F44" s="1">
        <f>IFERROR(VLOOKUP(1152,'PEDIDO 1'!$C$2:$E$230,3,0),0)</f>
        <v>0</v>
      </c>
      <c r="G44" s="18">
        <f t="shared" si="0"/>
        <v>0</v>
      </c>
    </row>
    <row r="45" spans="1:7" ht="15.75" x14ac:dyDescent="0.25">
      <c r="A45" s="15" t="str">
        <f>'PEDIDO 1'!$B$2</f>
        <v>Tiete-Capricholar Moveis E Utensilios Ltda Me</v>
      </c>
      <c r="B45" s="12" t="s">
        <v>442</v>
      </c>
      <c r="C45" s="1">
        <f>IFERROR(VLOOKUP(1153,'PEDIDO 1'!$C$2:$E$230,3,0),0)</f>
        <v>0</v>
      </c>
      <c r="D45" s="1">
        <f>IFERROR(VLOOKUP(1154,'PEDIDO 1'!$C$2:$E$230,3,0),0)</f>
        <v>0</v>
      </c>
      <c r="E45" s="1">
        <f>IFERROR(VLOOKUP(1155,'PEDIDO 1'!$C$2:$E$230,3,0),0)</f>
        <v>0</v>
      </c>
      <c r="F45" s="1">
        <f>IFERROR(VLOOKUP(1156,'PEDIDO 1'!$C$2:$E$230,3,0),0)</f>
        <v>0</v>
      </c>
      <c r="G45" s="18">
        <f t="shared" si="0"/>
        <v>0</v>
      </c>
    </row>
    <row r="46" spans="1:7" ht="15.75" x14ac:dyDescent="0.25">
      <c r="A46" s="15" t="str">
        <f>'PEDIDO 1'!$B$2</f>
        <v>Tiete-Capricholar Moveis E Utensilios Ltda Me</v>
      </c>
      <c r="B46" s="12" t="s">
        <v>443</v>
      </c>
      <c r="C46" s="1">
        <f>IFERROR(VLOOKUP(1157,'PEDIDO 1'!$C$2:$E$230,3,0),0)</f>
        <v>0</v>
      </c>
      <c r="D46" s="1">
        <f>IFERROR(VLOOKUP(1158,'PEDIDO 1'!$C$2:$E$230,3,0),0)</f>
        <v>0</v>
      </c>
      <c r="E46" s="1">
        <f>IFERROR(VLOOKUP(1159,'PEDIDO 1'!$C$2:$E$230,3,0),0)</f>
        <v>0</v>
      </c>
      <c r="F46" s="1">
        <f>IFERROR(VLOOKUP(1160,'PEDIDO 1'!$C$2:$E$230,3,0),0)</f>
        <v>0</v>
      </c>
      <c r="G46" s="18">
        <f t="shared" si="0"/>
        <v>0</v>
      </c>
    </row>
    <row r="47" spans="1:7" ht="15.75" x14ac:dyDescent="0.25">
      <c r="A47" s="15" t="str">
        <f>'PEDIDO 1'!$B$2</f>
        <v>Tiete-Capricholar Moveis E Utensilios Ltda Me</v>
      </c>
      <c r="B47" s="12" t="s">
        <v>444</v>
      </c>
      <c r="C47" s="1">
        <f>IFERROR(VLOOKUP(1161,'PEDIDO 1'!$C$2:$E$230,3,0),0)</f>
        <v>0</v>
      </c>
      <c r="D47" s="1">
        <f>IFERROR(VLOOKUP(1162,'PEDIDO 1'!$C$2:$E$230,3,0),0)</f>
        <v>0</v>
      </c>
      <c r="E47" s="1">
        <f>IFERROR(VLOOKUP(1163,'PEDIDO 1'!$C$2:$E$230,3,0),0)</f>
        <v>0</v>
      </c>
      <c r="F47" s="1">
        <f>IFERROR(VLOOKUP(1164,'PEDIDO 1'!$C$2:$E$230,3,0),0)</f>
        <v>0</v>
      </c>
      <c r="G47" s="18">
        <f t="shared" si="0"/>
        <v>0</v>
      </c>
    </row>
    <row r="48" spans="1:7" ht="15.75" x14ac:dyDescent="0.25">
      <c r="A48" s="15" t="str">
        <f>'PEDIDO 1'!$B$2</f>
        <v>Tiete-Capricholar Moveis E Utensilios Ltda Me</v>
      </c>
      <c r="B48" s="12" t="s">
        <v>445</v>
      </c>
      <c r="C48" s="1">
        <f>IFERROR(VLOOKUP(1165,'PEDIDO 1'!$C$2:$E$230,3,0),0)</f>
        <v>0</v>
      </c>
      <c r="D48" s="1">
        <f>IFERROR(VLOOKUP(1166,'PEDIDO 1'!$C$2:$E$230,3,0),0)</f>
        <v>0</v>
      </c>
      <c r="E48" s="1">
        <f>IFERROR(VLOOKUP(1167,'PEDIDO 1'!$C$2:$E$230,3,0),0)</f>
        <v>0</v>
      </c>
      <c r="F48" s="1">
        <f>IFERROR(VLOOKUP(1168,'PEDIDO 1'!$C$2:$E$230,3,0),0)</f>
        <v>0</v>
      </c>
      <c r="G48" s="18">
        <f t="shared" si="0"/>
        <v>0</v>
      </c>
    </row>
    <row r="49" spans="1:7" ht="15.75" x14ac:dyDescent="0.25">
      <c r="A49" s="15" t="str">
        <f>'PEDIDO 1'!$B$2</f>
        <v>Tiete-Capricholar Moveis E Utensilios Ltda Me</v>
      </c>
      <c r="B49" s="12" t="s">
        <v>446</v>
      </c>
      <c r="C49" s="1">
        <f>IFERROR(VLOOKUP(1169,'PEDIDO 1'!$C$2:$E$230,3,0),0)</f>
        <v>0</v>
      </c>
      <c r="D49" s="1">
        <f>IFERROR(VLOOKUP(1170,'PEDIDO 1'!$C$2:$E$230,3,0),0)</f>
        <v>0</v>
      </c>
      <c r="E49" s="1">
        <f>IFERROR(VLOOKUP(1171,'PEDIDO 1'!$C$2:$E$230,3,0),0)</f>
        <v>0</v>
      </c>
      <c r="F49" s="1">
        <f>IFERROR(VLOOKUP(1172,'PEDIDO 1'!$C$2:$E$230,3,0),0)</f>
        <v>0</v>
      </c>
      <c r="G49" s="18">
        <f t="shared" si="0"/>
        <v>0</v>
      </c>
    </row>
    <row r="50" spans="1:7" ht="15.75" x14ac:dyDescent="0.25">
      <c r="A50" s="15" t="str">
        <f>'PEDIDO 1'!$B$2</f>
        <v>Tiete-Capricholar Moveis E Utensilios Ltda Me</v>
      </c>
      <c r="B50" s="12" t="s">
        <v>447</v>
      </c>
      <c r="C50" s="1">
        <f>IFERROR(VLOOKUP(1173,'PEDIDO 1'!$C$2:$E$230,3,0),0)</f>
        <v>0</v>
      </c>
      <c r="D50" s="1">
        <f>IFERROR(VLOOKUP(1174,'PEDIDO 1'!$C$2:$E$230,3,0),0)</f>
        <v>0</v>
      </c>
      <c r="E50" s="1">
        <f>IFERROR(VLOOKUP(1175,'PEDIDO 1'!$C$2:$E$230,3,0),0)</f>
        <v>0</v>
      </c>
      <c r="F50" s="1">
        <f>IFERROR(VLOOKUP(1176,'PEDIDO 1'!$C$2:$E$230,3,0),0)</f>
        <v>0</v>
      </c>
      <c r="G50" s="18">
        <f t="shared" si="0"/>
        <v>0</v>
      </c>
    </row>
    <row r="51" spans="1:7" ht="15.75" x14ac:dyDescent="0.25">
      <c r="A51" s="15" t="str">
        <f>'PEDIDO 1'!$B$2</f>
        <v>Tiete-Capricholar Moveis E Utensilios Ltda Me</v>
      </c>
      <c r="B51" s="12" t="s">
        <v>448</v>
      </c>
      <c r="C51" s="1">
        <f>IFERROR(VLOOKUP(1249,'PEDIDO 1'!$C$2:$E$230,3,0),0)</f>
        <v>0</v>
      </c>
      <c r="D51" s="1">
        <f>IFERROR(VLOOKUP(1250,'PEDIDO 1'!$C$2:$E$230,3,0),0)</f>
        <v>0</v>
      </c>
      <c r="E51" s="1">
        <f>IFERROR(VLOOKUP(1251,'PEDIDO 1'!$C$2:$E$230,3,0),0)</f>
        <v>0</v>
      </c>
      <c r="F51" s="1">
        <f>IFERROR(VLOOKUP(1252,'PEDIDO 1'!$C$2:$E$230,3,0),0)</f>
        <v>0</v>
      </c>
      <c r="G51" s="18">
        <f t="shared" si="0"/>
        <v>0</v>
      </c>
    </row>
    <row r="52" spans="1:7" ht="15.75" x14ac:dyDescent="0.25">
      <c r="A52" s="15" t="str">
        <f>'PEDIDO 1'!$B$2</f>
        <v>Tiete-Capricholar Moveis E Utensilios Ltda Me</v>
      </c>
      <c r="B52" s="12" t="s">
        <v>449</v>
      </c>
      <c r="C52" s="1">
        <f>IFERROR(VLOOKUP(1177,'PEDIDO 1'!$C$2:$E$230,3,0),0)</f>
        <v>0</v>
      </c>
      <c r="D52" s="1">
        <f>IFERROR(VLOOKUP(1178,'PEDIDO 1'!$C$2:$E$230,3,0),0)</f>
        <v>0</v>
      </c>
      <c r="E52" s="1">
        <f>IFERROR(VLOOKUP(1179,'PEDIDO 1'!$C$2:$E$230,3,0),0)</f>
        <v>0</v>
      </c>
      <c r="F52" s="1">
        <f>IFERROR(VLOOKUP(1180,'PEDIDO 1'!$C$2:$E$230,3,0),0)</f>
        <v>0</v>
      </c>
      <c r="G52" s="18">
        <f t="shared" si="0"/>
        <v>0</v>
      </c>
    </row>
    <row r="53" spans="1:7" ht="15.75" x14ac:dyDescent="0.25">
      <c r="A53" s="15" t="str">
        <f>'PEDIDO 1'!$B$2</f>
        <v>Tiete-Capricholar Moveis E Utensilios Ltda Me</v>
      </c>
      <c r="B53" s="12" t="s">
        <v>450</v>
      </c>
      <c r="C53" s="1">
        <f>IFERROR(VLOOKUP(1181,'PEDIDO 1'!$C$2:$E$230,3,0),0)</f>
        <v>0</v>
      </c>
      <c r="D53" s="1">
        <f>IFERROR(VLOOKUP(1182,'PEDIDO 1'!$C$2:$E$230,3,0),0)</f>
        <v>0</v>
      </c>
      <c r="E53" s="1">
        <f>IFERROR(VLOOKUP(1183,'PEDIDO 1'!$C$2:$E$230,3,0),0)</f>
        <v>0</v>
      </c>
      <c r="F53" s="1">
        <f>IFERROR(VLOOKUP(1184,'PEDIDO 1'!$C$2:$E$230,3,0),0)</f>
        <v>0</v>
      </c>
      <c r="G53" s="18">
        <f t="shared" si="0"/>
        <v>0</v>
      </c>
    </row>
    <row r="54" spans="1:7" ht="15.75" x14ac:dyDescent="0.25">
      <c r="A54" s="15" t="str">
        <f>'PEDIDO 1'!$B$2</f>
        <v>Tiete-Capricholar Moveis E Utensilios Ltda Me</v>
      </c>
      <c r="B54" s="12" t="s">
        <v>451</v>
      </c>
      <c r="C54" s="1">
        <f>IFERROR(VLOOKUP(1185,'PEDIDO 1'!$C$2:$E$230,3,0),0)</f>
        <v>0</v>
      </c>
      <c r="D54" s="1">
        <f>IFERROR(VLOOKUP(1186,'PEDIDO 1'!$C$2:$E$230,3,0),0)</f>
        <v>0</v>
      </c>
      <c r="E54" s="1">
        <f>IFERROR(VLOOKUP(1187,'PEDIDO 1'!$C$2:$E$230,3,0),0)</f>
        <v>0</v>
      </c>
      <c r="F54" s="1">
        <f>IFERROR(VLOOKUP(1188,'PEDIDO 1'!$C$2:$E$230,3,0),0)</f>
        <v>0</v>
      </c>
      <c r="G54" s="18">
        <f t="shared" si="0"/>
        <v>0</v>
      </c>
    </row>
    <row r="55" spans="1:7" ht="15.75" x14ac:dyDescent="0.25">
      <c r="A55" s="15" t="str">
        <f>'PEDIDO 1'!$B$2</f>
        <v>Tiete-Capricholar Moveis E Utensilios Ltda Me</v>
      </c>
      <c r="B55" s="12" t="s">
        <v>452</v>
      </c>
      <c r="C55" s="1">
        <f>IFERROR(VLOOKUP(1189,'PEDIDO 1'!$C$2:$E$230,3,0),0)</f>
        <v>0</v>
      </c>
      <c r="D55" s="1">
        <f>IFERROR(VLOOKUP(1190,'PEDIDO 1'!$C$2:$E$230,3,0),0)</f>
        <v>0</v>
      </c>
      <c r="E55" s="1">
        <f>IFERROR(VLOOKUP(1191,'PEDIDO 1'!$C$2:$E$230,3,0),0)</f>
        <v>0</v>
      </c>
      <c r="F55" s="1">
        <f>IFERROR(VLOOKUP(1192,'PEDIDO 1'!$C$2:$E$230,3,0),0)</f>
        <v>0</v>
      </c>
      <c r="G55" s="18">
        <f t="shared" si="0"/>
        <v>0</v>
      </c>
    </row>
    <row r="56" spans="1:7" ht="15.75" x14ac:dyDescent="0.25">
      <c r="A56" s="15" t="str">
        <f>'PEDIDO 1'!$B$2</f>
        <v>Tiete-Capricholar Moveis E Utensilios Ltda Me</v>
      </c>
      <c r="B56" s="12" t="s">
        <v>453</v>
      </c>
      <c r="C56" s="1">
        <f>IFERROR(VLOOKUP(1193,'PEDIDO 1'!$C$2:$E$230,3,0),0)</f>
        <v>0</v>
      </c>
      <c r="D56" s="1">
        <f>IFERROR(VLOOKUP(1194,'PEDIDO 1'!$C$2:$E$230,3,0),0)</f>
        <v>0</v>
      </c>
      <c r="E56" s="1">
        <f>IFERROR(VLOOKUP(1195,'PEDIDO 1'!$C$2:$E$230,3,0),0)</f>
        <v>0</v>
      </c>
      <c r="F56" s="1">
        <f>IFERROR(VLOOKUP(1196,'PEDIDO 1'!$C$2:$E$230,3,0),0)</f>
        <v>0</v>
      </c>
      <c r="G56" s="18">
        <f t="shared" si="0"/>
        <v>0</v>
      </c>
    </row>
    <row r="57" spans="1:7" ht="15.75" x14ac:dyDescent="0.25">
      <c r="A57" s="15" t="str">
        <f>'PEDIDO 1'!$B$2</f>
        <v>Tiete-Capricholar Moveis E Utensilios Ltda Me</v>
      </c>
      <c r="B57" s="12" t="s">
        <v>454</v>
      </c>
      <c r="C57" s="1">
        <f>IFERROR(VLOOKUP(1197,'PEDIDO 1'!$C$2:$E$230,3,0),0)</f>
        <v>0</v>
      </c>
      <c r="D57" s="1">
        <f>IFERROR(VLOOKUP(1198,'PEDIDO 1'!$C$2:$E$230,3,0),0)</f>
        <v>0</v>
      </c>
      <c r="E57" s="1">
        <f>IFERROR(VLOOKUP(1199,'PEDIDO 1'!$C$2:$E$230,3,0),0)</f>
        <v>0</v>
      </c>
      <c r="F57" s="1">
        <f>IFERROR(VLOOKUP(1200,'PEDIDO 1'!$C$2:$E$230,3,0),0)</f>
        <v>0</v>
      </c>
      <c r="G57" s="18">
        <f t="shared" si="0"/>
        <v>0</v>
      </c>
    </row>
    <row r="58" spans="1:7" ht="15.75" x14ac:dyDescent="0.25">
      <c r="A58" s="15" t="str">
        <f>'PEDIDO 1'!$B$2</f>
        <v>Tiete-Capricholar Moveis E Utensilios Ltda Me</v>
      </c>
      <c r="B58" s="12" t="s">
        <v>455</v>
      </c>
      <c r="C58" s="1">
        <f>IFERROR(VLOOKUP(1201,'PEDIDO 1'!$C$2:$E$230,3,0),0)</f>
        <v>0</v>
      </c>
      <c r="D58" s="1">
        <f>IFERROR(VLOOKUP(1202,'PEDIDO 1'!$C$2:$E$230,3,0),0)</f>
        <v>0</v>
      </c>
      <c r="E58" s="1">
        <f>IFERROR(VLOOKUP(1203,'PEDIDO 1'!$C$2:$E$230,3,0),0)</f>
        <v>0</v>
      </c>
      <c r="F58" s="1">
        <f>IFERROR(VLOOKUP(1204,'PEDIDO 1'!$C$2:$E$230,3,0),0)</f>
        <v>0</v>
      </c>
      <c r="G58" s="18">
        <f t="shared" si="0"/>
        <v>0</v>
      </c>
    </row>
    <row r="59" spans="1:7" ht="15.75" x14ac:dyDescent="0.25">
      <c r="A59" s="15" t="str">
        <f>'PEDIDO 1'!$B$2</f>
        <v>Tiete-Capricholar Moveis E Utensilios Ltda Me</v>
      </c>
      <c r="B59" s="12" t="s">
        <v>456</v>
      </c>
      <c r="C59" s="1">
        <f>IFERROR(VLOOKUP(1205,'PEDIDO 1'!$C$2:$E$230,3,0),0)</f>
        <v>0</v>
      </c>
      <c r="D59" s="1">
        <f>IFERROR(VLOOKUP(1206,'PEDIDO 1'!$C$2:$E$230,3,0),0)</f>
        <v>0</v>
      </c>
      <c r="E59" s="1">
        <f>IFERROR(VLOOKUP(1207,'PEDIDO 1'!$C$2:$E$230,3,0),0)</f>
        <v>0</v>
      </c>
      <c r="F59" s="1">
        <f>IFERROR(VLOOKUP(1208,'PEDIDO 1'!$C$2:$E$230,3,0),0)</f>
        <v>0</v>
      </c>
      <c r="G59" s="18">
        <f t="shared" si="0"/>
        <v>0</v>
      </c>
    </row>
    <row r="60" spans="1:7" ht="15.75" x14ac:dyDescent="0.25">
      <c r="A60" s="15" t="str">
        <f>'PEDIDO 1'!$B$2</f>
        <v>Tiete-Capricholar Moveis E Utensilios Ltda Me</v>
      </c>
      <c r="B60" s="12" t="s">
        <v>457</v>
      </c>
      <c r="C60" s="1">
        <f>IFERROR(VLOOKUP(1213,'PEDIDO 1'!$C$2:$E$230,3,0),0)</f>
        <v>0</v>
      </c>
      <c r="D60" s="1">
        <f>IFERROR(VLOOKUP(1214,'PEDIDO 1'!$C$2:$E$230,3,0),0)</f>
        <v>0</v>
      </c>
      <c r="E60" s="1">
        <f>IFERROR(VLOOKUP(1215,'PEDIDO 1'!$C$2:$E$230,3,0),0)</f>
        <v>0</v>
      </c>
      <c r="F60" s="10">
        <f>IFERROR(VLOOKUP(1216,'PEDIDO 1'!$C$2:$E$230,3,0),0)</f>
        <v>0</v>
      </c>
      <c r="G60" s="18">
        <f t="shared" si="0"/>
        <v>0</v>
      </c>
    </row>
    <row r="61" spans="1:7" ht="15.75" x14ac:dyDescent="0.25">
      <c r="A61" s="15" t="str">
        <f>'PEDIDO 1'!$B$2</f>
        <v>Tiete-Capricholar Moveis E Utensilios Ltda Me</v>
      </c>
      <c r="B61" s="12" t="s">
        <v>458</v>
      </c>
      <c r="C61" s="1">
        <f>IFERROR(VLOOKUP(1209,'PEDIDO 1'!$C$2:$E$230,3,0),0)</f>
        <v>0</v>
      </c>
      <c r="D61" s="1">
        <f>IFERROR(VLOOKUP(1210,'PEDIDO 1'!$C$2:$E$230,3,0),0)</f>
        <v>0</v>
      </c>
      <c r="E61" s="1">
        <f>IFERROR(VLOOKUP(1211,'PEDIDO 1'!$C$2:$E$230,3,0),0)</f>
        <v>0</v>
      </c>
      <c r="F61" s="1">
        <f>IFERROR(VLOOKUP(1212,'PEDIDO 1'!$C$2:$E$230,3,0),0)</f>
        <v>0</v>
      </c>
      <c r="G61" s="18">
        <f t="shared" si="0"/>
        <v>0</v>
      </c>
    </row>
    <row r="62" spans="1:7" ht="15.75" x14ac:dyDescent="0.25">
      <c r="A62" s="15" t="str">
        <f>'PEDIDO 1'!$B$2</f>
        <v>Tiete-Capricholar Moveis E Utensilios Ltda Me</v>
      </c>
      <c r="B62" s="12" t="s">
        <v>459</v>
      </c>
      <c r="C62" s="1">
        <f>IFERROR(VLOOKUP(1217,'PEDIDO 1'!$C$2:$E$230,3,0),0)</f>
        <v>0</v>
      </c>
      <c r="D62" s="1">
        <f>IFERROR(VLOOKUP(1218,'PEDIDO 1'!$C$2:$E$230,3,0),0)</f>
        <v>0</v>
      </c>
      <c r="E62" s="1">
        <f>IFERROR(VLOOKUP(1219,'PEDIDO 1'!$C$2:$E$230,3,0),0)</f>
        <v>0</v>
      </c>
      <c r="F62" s="1">
        <f>IFERROR(VLOOKUP(1220,'PEDIDO 1'!$C$2:$E$230,3,0),0)</f>
        <v>0</v>
      </c>
      <c r="G62" s="18">
        <f t="shared" si="0"/>
        <v>0</v>
      </c>
    </row>
    <row r="63" spans="1:7" ht="15.75" x14ac:dyDescent="0.25">
      <c r="A63" s="15" t="str">
        <f>'PEDIDO 1'!$B$2</f>
        <v>Tiete-Capricholar Moveis E Utensilios Ltda Me</v>
      </c>
      <c r="B63" s="12" t="s">
        <v>461</v>
      </c>
      <c r="C63" s="1">
        <f>IFERROR(VLOOKUP(1225,'PEDIDO 1'!$C$2:$E$230,3,0),0)</f>
        <v>0</v>
      </c>
      <c r="D63" s="1">
        <f>IFERROR(VLOOKUP(1226,'PEDIDO 1'!$C$2:$E$230,3,0),0)</f>
        <v>0</v>
      </c>
      <c r="E63" s="1">
        <f>IFERROR(VLOOKUP(1227,'PEDIDO 1'!$C$2:$E$230,3,0),0)</f>
        <v>0</v>
      </c>
      <c r="F63" s="1">
        <f>IFERROR(VLOOKUP(1228,'PEDIDO 1'!$C$2:$E$230,3,0),0)</f>
        <v>0</v>
      </c>
      <c r="G63" s="18">
        <f t="shared" si="0"/>
        <v>0</v>
      </c>
    </row>
    <row r="64" spans="1:7" ht="15.75" x14ac:dyDescent="0.25">
      <c r="A64" s="15" t="str">
        <f>'PEDIDO 1'!$B$2</f>
        <v>Tiete-Capricholar Moveis E Utensilios Ltda Me</v>
      </c>
      <c r="B64" s="12" t="s">
        <v>462</v>
      </c>
      <c r="C64" s="1">
        <f>IFERROR(VLOOKUP(1221,'PEDIDO 1'!$C$2:$E$230,3,0),0)</f>
        <v>0</v>
      </c>
      <c r="D64" s="1">
        <f>IFERROR(VLOOKUP(1222,'PEDIDO 1'!$C$2:$E$230,3,0),0)</f>
        <v>0</v>
      </c>
      <c r="E64" s="1">
        <f>IFERROR(VLOOKUP(1223,'PEDIDO 1'!$C$2:$E$230,3,0),0)</f>
        <v>0</v>
      </c>
      <c r="F64" s="1">
        <f>IFERROR(VLOOKUP(1224,'PEDIDO 1'!$C$2:$E$230,3,0),0)</f>
        <v>0</v>
      </c>
      <c r="G64" s="18">
        <f t="shared" si="0"/>
        <v>0</v>
      </c>
    </row>
    <row r="65" spans="1:7" ht="15.75" x14ac:dyDescent="0.25">
      <c r="A65" s="15" t="str">
        <f>'PEDIDO 1'!$B$2</f>
        <v>Tiete-Capricholar Moveis E Utensilios Ltda Me</v>
      </c>
      <c r="B65" s="12" t="s">
        <v>460</v>
      </c>
      <c r="C65" s="1">
        <f>IFERROR(VLOOKUP(1229,'PEDIDO 1'!$C$2:$E$230,3,0),0)</f>
        <v>0</v>
      </c>
      <c r="D65" s="1">
        <f>IFERROR(VLOOKUP(1230,'PEDIDO 1'!$C$2:$E$230,3,0),0)</f>
        <v>0</v>
      </c>
      <c r="E65" s="1">
        <f>IFERROR(VLOOKUP(1231,'PEDIDO 1'!$C$2:$E$230,3,0),0)</f>
        <v>0</v>
      </c>
      <c r="F65" s="1">
        <f>IFERROR(VLOOKUP(1232,'PEDIDO 1'!$C$2:$E$230,3,0),0)</f>
        <v>0</v>
      </c>
      <c r="G65" s="18">
        <f t="shared" si="0"/>
        <v>0</v>
      </c>
    </row>
    <row r="66" spans="1:7" ht="15.75" x14ac:dyDescent="0.25">
      <c r="A66" s="15" t="str">
        <f>'PEDIDO 1'!$B$2</f>
        <v>Tiete-Capricholar Moveis E Utensilios Ltda Me</v>
      </c>
      <c r="B66" s="12" t="s">
        <v>463</v>
      </c>
      <c r="C66" s="1">
        <f>IFERROR(VLOOKUP(1233,'PEDIDO 1'!$C$2:$E$230,3,0),0)</f>
        <v>0</v>
      </c>
      <c r="D66" s="1">
        <f>IFERROR(VLOOKUP(1234,'PEDIDO 1'!$C$2:$E$230,3,0),0)</f>
        <v>0</v>
      </c>
      <c r="E66" s="1">
        <f>IFERROR(VLOOKUP(1235,'PEDIDO 1'!$C$2:$E$230,3,0),0)</f>
        <v>0</v>
      </c>
      <c r="F66" s="1">
        <f>IFERROR(VLOOKUP(1236,'PEDIDO 1'!$C$2:$E$230,3,0),0)</f>
        <v>0</v>
      </c>
      <c r="G66" s="18">
        <f t="shared" si="0"/>
        <v>0</v>
      </c>
    </row>
    <row r="67" spans="1:7" ht="15.75" x14ac:dyDescent="0.25">
      <c r="A67" s="15" t="str">
        <f>'PEDIDO 1'!$B$2</f>
        <v>Tiete-Capricholar Moveis E Utensilios Ltda Me</v>
      </c>
      <c r="B67" s="12" t="s">
        <v>464</v>
      </c>
      <c r="C67" s="1">
        <f>IFERROR(VLOOKUP(1237,'PEDIDO 1'!$C$2:$E$230,3,0),0)</f>
        <v>0</v>
      </c>
      <c r="D67" s="1">
        <f>IFERROR(VLOOKUP(1238,'PEDIDO 1'!$C$2:$E$230,3,0),0)</f>
        <v>0</v>
      </c>
      <c r="E67" s="1">
        <f>IFERROR(VLOOKUP(1239,'PEDIDO 1'!$C$2:$E$230,3,0),0)</f>
        <v>0</v>
      </c>
      <c r="F67" s="1">
        <f>IFERROR(VLOOKUP(1240,'PEDIDO 1'!$C$2:$E$230,3,0),0)</f>
        <v>0</v>
      </c>
      <c r="G67" s="18">
        <f t="shared" ref="G67:G79" si="1">SUM(C67+D67+E67+F67)</f>
        <v>0</v>
      </c>
    </row>
    <row r="68" spans="1:7" ht="15.75" x14ac:dyDescent="0.25">
      <c r="A68" s="15" t="str">
        <f>'PEDIDO 1'!$B$2</f>
        <v>Tiete-Capricholar Moveis E Utensilios Ltda Me</v>
      </c>
      <c r="B68" s="12" t="s">
        <v>465</v>
      </c>
      <c r="C68" s="1">
        <f>IFERROR(VLOOKUP(1241,'PEDIDO 1'!$C$2:$E$230,3,0),0)</f>
        <v>0</v>
      </c>
      <c r="D68" s="1">
        <f>IFERROR(VLOOKUP(1242,'PEDIDO 1'!$C$2:$E$230,3,0),0)</f>
        <v>0</v>
      </c>
      <c r="E68" s="1">
        <f>IFERROR(VLOOKUP(1243,'PEDIDO 1'!$C$2:$E$230,3,0),0)</f>
        <v>0</v>
      </c>
      <c r="F68" s="1">
        <f>IFERROR(VLOOKUP(1244,'PEDIDO 1'!$C$2:$E$230,3,0),0)</f>
        <v>0</v>
      </c>
      <c r="G68" s="18">
        <f t="shared" si="1"/>
        <v>0</v>
      </c>
    </row>
    <row r="69" spans="1:7" ht="15.75" x14ac:dyDescent="0.25">
      <c r="A69" s="15" t="str">
        <f>'PEDIDO 1'!$B$2</f>
        <v>Tiete-Capricholar Moveis E Utensilios Ltda Me</v>
      </c>
      <c r="B69" s="12" t="s">
        <v>466</v>
      </c>
      <c r="C69" s="1">
        <f>IFERROR(VLOOKUP(1245,'PEDIDO 1'!$C$2:$E$230,3,0),0)</f>
        <v>0</v>
      </c>
      <c r="D69" s="1">
        <f>IFERROR(VLOOKUP(1246,'PEDIDO 1'!$C$2:$E$230,3,0),0)</f>
        <v>0</v>
      </c>
      <c r="E69" s="1">
        <f>IFERROR(VLOOKUP(1247,'PEDIDO 1'!$C$2:$E$230,3,0),0)</f>
        <v>0</v>
      </c>
      <c r="F69" s="1">
        <f>IFERROR(VLOOKUP(1248,'PEDIDO 1'!$C$2:$E$230,3,0),0)</f>
        <v>0</v>
      </c>
      <c r="G69" s="18">
        <f t="shared" si="1"/>
        <v>0</v>
      </c>
    </row>
    <row r="70" spans="1:7" ht="15.75" x14ac:dyDescent="0.25">
      <c r="A70" s="15" t="str">
        <f>'PEDIDO 1'!$B$2</f>
        <v>Tiete-Capricholar Moveis E Utensilios Ltda Me</v>
      </c>
      <c r="B70" s="12" t="s">
        <v>467</v>
      </c>
      <c r="C70" s="1">
        <f>IFERROR(VLOOKUP(25714,'PEDIDO 1'!$C$2:$E$230,3,0),0)</f>
        <v>0</v>
      </c>
      <c r="D70" s="1"/>
      <c r="E70" s="1"/>
      <c r="F70" s="1"/>
      <c r="G70" s="18">
        <f t="shared" si="1"/>
        <v>0</v>
      </c>
    </row>
    <row r="71" spans="1:7" ht="15.75" x14ac:dyDescent="0.25">
      <c r="A71" s="15" t="str">
        <f>'PEDIDO 1'!$B$2</f>
        <v>Tiete-Capricholar Moveis E Utensilios Ltda Me</v>
      </c>
      <c r="B71" s="12" t="s">
        <v>468</v>
      </c>
      <c r="C71" s="1">
        <f>IFERROR(VLOOKUP(25712,'PEDIDO 1'!$C$2:$E$230,3,0),0)</f>
        <v>0</v>
      </c>
      <c r="D71" s="1"/>
      <c r="E71" s="1"/>
      <c r="F71" s="1"/>
      <c r="G71" s="18">
        <f t="shared" si="1"/>
        <v>0</v>
      </c>
    </row>
    <row r="72" spans="1:7" ht="15.75" x14ac:dyDescent="0.25">
      <c r="A72" s="15" t="str">
        <f>'PEDIDO 1'!$B$2</f>
        <v>Tiete-Capricholar Moveis E Utensilios Ltda Me</v>
      </c>
      <c r="B72" s="12" t="s">
        <v>469</v>
      </c>
      <c r="C72" s="1">
        <f>IFERROR(VLOOKUP(25713,'PEDIDO 1'!$C$2:$E$230,3,0),0)</f>
        <v>0</v>
      </c>
      <c r="D72" s="1"/>
      <c r="E72" s="1"/>
      <c r="F72" s="1"/>
      <c r="G72" s="18">
        <f t="shared" si="1"/>
        <v>0</v>
      </c>
    </row>
    <row r="73" spans="1:7" ht="15.75" x14ac:dyDescent="0.25">
      <c r="A73" s="15" t="str">
        <f>'PEDIDO 1'!$B$2</f>
        <v>Tiete-Capricholar Moveis E Utensilios Ltda Me</v>
      </c>
      <c r="B73" s="12" t="s">
        <v>470</v>
      </c>
      <c r="C73" s="1">
        <f>IFERROR(VLOOKUP(1260,'PEDIDO 1'!$C$2:$E$230,3,0),0)</f>
        <v>0</v>
      </c>
      <c r="D73" s="1"/>
      <c r="E73" s="1"/>
      <c r="F73" s="1"/>
      <c r="G73" s="18">
        <f t="shared" si="1"/>
        <v>0</v>
      </c>
    </row>
    <row r="74" spans="1:7" ht="15.75" x14ac:dyDescent="0.25">
      <c r="A74" s="15" t="str">
        <f>'PEDIDO 1'!$B$2</f>
        <v>Tiete-Capricholar Moveis E Utensilios Ltda Me</v>
      </c>
      <c r="B74" s="12" t="s">
        <v>471</v>
      </c>
      <c r="C74" s="1">
        <f>IFERROR(VLOOKUP(1261,'PEDIDO 1'!$C$2:$E$230,3,0),0)</f>
        <v>0</v>
      </c>
      <c r="D74" s="1"/>
      <c r="E74" s="1"/>
      <c r="F74" s="1"/>
      <c r="G74" s="18">
        <f t="shared" si="1"/>
        <v>0</v>
      </c>
    </row>
    <row r="75" spans="1:7" ht="15.75" x14ac:dyDescent="0.25">
      <c r="A75" s="15" t="str">
        <f>'PEDIDO 1'!$B$2</f>
        <v>Tiete-Capricholar Moveis E Utensilios Ltda Me</v>
      </c>
      <c r="B75" s="12" t="s">
        <v>472</v>
      </c>
      <c r="C75" s="1">
        <f>IFERROR(VLOOKUP(1262,'PEDIDO 1'!$C$2:$E$230,3,0),0)</f>
        <v>0</v>
      </c>
      <c r="D75" s="1"/>
      <c r="E75" s="1"/>
      <c r="F75" s="1"/>
      <c r="G75" s="18">
        <f t="shared" si="1"/>
        <v>0</v>
      </c>
    </row>
    <row r="76" spans="1:7" ht="15.75" x14ac:dyDescent="0.25">
      <c r="A76" s="15" t="str">
        <f>'PEDIDO 1'!$B$2</f>
        <v>Tiete-Capricholar Moveis E Utensilios Ltda Me</v>
      </c>
      <c r="B76" s="12" t="s">
        <v>473</v>
      </c>
      <c r="C76" s="1">
        <f>IFERROR(VLOOKUP(1263,'PEDIDO 1'!$C$2:$E$230,3,0),0)</f>
        <v>0</v>
      </c>
      <c r="D76" s="1"/>
      <c r="E76" s="1"/>
      <c r="F76" s="1"/>
      <c r="G76" s="18">
        <f t="shared" si="1"/>
        <v>0</v>
      </c>
    </row>
    <row r="77" spans="1:7" ht="15.75" x14ac:dyDescent="0.25">
      <c r="A77" s="15" t="str">
        <f>'PEDIDO 1'!$B$2</f>
        <v>Tiete-Capricholar Moveis E Utensilios Ltda Me</v>
      </c>
      <c r="B77" s="12" t="s">
        <v>474</v>
      </c>
      <c r="C77" s="1">
        <f>IFERROR(VLOOKUP(1264,'PEDIDO 1'!$C$2:$E$230,3,0),0)</f>
        <v>0</v>
      </c>
      <c r="D77" s="1"/>
      <c r="E77" s="1"/>
      <c r="F77" s="1"/>
      <c r="G77" s="18">
        <f t="shared" si="1"/>
        <v>0</v>
      </c>
    </row>
    <row r="78" spans="1:7" ht="15.75" x14ac:dyDescent="0.25">
      <c r="A78" s="15" t="str">
        <f>'PEDIDO 1'!$B$2</f>
        <v>Tiete-Capricholar Moveis E Utensilios Ltda Me</v>
      </c>
      <c r="B78" s="12" t="s">
        <v>475</v>
      </c>
      <c r="C78" s="1">
        <f>IFERROR(VLOOKUP(1265,'PEDIDO 1'!$C$2:$E$230,3,0),0)</f>
        <v>0</v>
      </c>
      <c r="D78" s="1"/>
      <c r="E78" s="1"/>
      <c r="F78" s="1"/>
      <c r="G78" s="18">
        <f t="shared" si="1"/>
        <v>0</v>
      </c>
    </row>
    <row r="79" spans="1:7" ht="15.75" x14ac:dyDescent="0.25">
      <c r="A79" s="15" t="str">
        <f>'PEDIDO 1'!$B$2</f>
        <v>Tiete-Capricholar Moveis E Utensilios Ltda Me</v>
      </c>
      <c r="B79" s="12" t="s">
        <v>476</v>
      </c>
      <c r="C79" s="1">
        <f>IFERROR(VLOOKUP(1266,'PEDIDO 1'!$C$2:$E$230,3,0),0)</f>
        <v>0</v>
      </c>
      <c r="D79" s="1"/>
      <c r="E79" s="1"/>
      <c r="F79" s="1"/>
      <c r="G79" s="18">
        <f t="shared" si="1"/>
        <v>0</v>
      </c>
    </row>
    <row r="80" spans="1:7" ht="15.75" x14ac:dyDescent="0.25">
      <c r="A80" s="15" t="str">
        <f>'PEDIDO 1'!$B$2</f>
        <v>Tiete-Capricholar Moveis E Utensilios Ltda Me</v>
      </c>
      <c r="B80" s="12" t="s">
        <v>477</v>
      </c>
      <c r="C80" s="1">
        <f>IFERROR(VLOOKUP(1268,'PEDIDO 1'!$C$2:$E$230,3,0),0)</f>
        <v>0</v>
      </c>
      <c r="D80" s="1">
        <f>IFERROR(VLOOKUP(1269,'PEDIDO 1'!$C$2:$E$230,3,0),0)</f>
        <v>0</v>
      </c>
      <c r="E80" s="1">
        <f>IFERROR(VLOOKUP(1270,'PEDIDO 1'!$C$2:$E$230,3,0),0)</f>
        <v>0</v>
      </c>
      <c r="F80" s="1">
        <f>IFERROR(VLOOKUP(1271,'PEDIDO 1'!$C$2:$E$230,3,0),0)</f>
        <v>0</v>
      </c>
      <c r="G80" s="18">
        <f>SUM(C80+D80+E80+F80)</f>
        <v>0</v>
      </c>
    </row>
    <row r="81" spans="1:7" ht="15.75" x14ac:dyDescent="0.25">
      <c r="A81" s="16"/>
      <c r="B81" s="13"/>
      <c r="C81" s="13"/>
      <c r="D81" s="13"/>
      <c r="E81" s="13"/>
      <c r="F81" s="13"/>
      <c r="G81" s="19"/>
    </row>
    <row r="82" spans="1:7" ht="15.75" x14ac:dyDescent="0.25">
      <c r="A82" s="16"/>
      <c r="B82" s="13"/>
      <c r="C82" s="13"/>
      <c r="D82" s="13"/>
      <c r="E82" s="13"/>
      <c r="F82" s="13"/>
      <c r="G82" s="19"/>
    </row>
    <row r="83" spans="1:7" ht="15.75" x14ac:dyDescent="0.25">
      <c r="A83" s="15" t="str">
        <f>'PEDIDO 2'!$B$2</f>
        <v>Tiete-Capricholar Moveis E Utensilios Ltda Me</v>
      </c>
      <c r="B83" s="12" t="s">
        <v>399</v>
      </c>
      <c r="C83" s="1">
        <f>IFERROR(VLOOKUP(1,'PEDIDO 2'!$C$2:$E$230,3,0),0)</f>
        <v>16</v>
      </c>
      <c r="D83" s="1">
        <f>IFERROR(VLOOKUP(2,'PEDIDO 2'!$C$2:$E$230,3,0),0)</f>
        <v>0</v>
      </c>
      <c r="E83" s="1">
        <f>IFERROR(VLOOKUP(3,'PEDIDO 2'!$C$2:$E$230,3,0),0)</f>
        <v>0</v>
      </c>
      <c r="F83" s="1">
        <f>IFERROR(VLOOKUP(282,'PEDIDO 2'!$C$2:$E$230,3,0),0)</f>
        <v>0</v>
      </c>
      <c r="G83" s="18">
        <f>SUM(C83+D83+E83+F83)</f>
        <v>16</v>
      </c>
    </row>
    <row r="84" spans="1:7" ht="15.75" x14ac:dyDescent="0.25">
      <c r="A84" s="15" t="str">
        <f>'PEDIDO 2'!$B$2</f>
        <v>Tiete-Capricholar Moveis E Utensilios Ltda Me</v>
      </c>
      <c r="B84" s="12" t="s">
        <v>400</v>
      </c>
      <c r="C84" s="1">
        <f>IFERROR(VLOOKUP(5,'PEDIDO 2'!$C$2:$E$230,3,0),0)</f>
        <v>28</v>
      </c>
      <c r="D84" s="1">
        <f>IFERROR(VLOOKUP(6,'PEDIDO 2'!$C$2:$E$230,3,0),0)</f>
        <v>0</v>
      </c>
      <c r="E84" s="1">
        <f>IFERROR(VLOOKUP(7,'PEDIDO 2'!$C$2:$E$230,3,0),0)</f>
        <v>0</v>
      </c>
      <c r="F84" s="1">
        <f>IFERROR(VLOOKUP(258,'PEDIDO 2'!$C$2:$E$230,3,0),0)</f>
        <v>0</v>
      </c>
      <c r="G84" s="18">
        <f t="shared" ref="G84:G147" si="2">SUM(C84+D84+E84+F84)</f>
        <v>28</v>
      </c>
    </row>
    <row r="85" spans="1:7" ht="15.75" x14ac:dyDescent="0.25">
      <c r="A85" s="15" t="str">
        <f>'PEDIDO 2'!$B$2</f>
        <v>Tiete-Capricholar Moveis E Utensilios Ltda Me</v>
      </c>
      <c r="B85" s="12" t="s">
        <v>401</v>
      </c>
      <c r="C85" s="1">
        <f>IFERROR(VLOOKUP(13,'PEDIDO 2'!$C$2:$E$230,3,0),0)</f>
        <v>0</v>
      </c>
      <c r="D85" s="1">
        <f>IFERROR(VLOOKUP(14,'PEDIDO 2'!$C$2:$E$230,3,0),0)</f>
        <v>0</v>
      </c>
      <c r="E85" s="1">
        <f>IFERROR(VLOOKUP(15,'PEDIDO 2'!$C$2:$E$230,3,0),0)</f>
        <v>0</v>
      </c>
      <c r="F85" s="1">
        <f>IFERROR(VLOOKUP(289,'PEDIDO 2'!$C$2:$E$230,3,0),0)</f>
        <v>0</v>
      </c>
      <c r="G85" s="18">
        <f t="shared" si="2"/>
        <v>0</v>
      </c>
    </row>
    <row r="86" spans="1:7" ht="15.75" x14ac:dyDescent="0.25">
      <c r="A86" s="15" t="str">
        <f>'PEDIDO 2'!$B$2</f>
        <v>Tiete-Capricholar Moveis E Utensilios Ltda Me</v>
      </c>
      <c r="B86" s="12" t="s">
        <v>402</v>
      </c>
      <c r="C86" s="1">
        <f>IFERROR(VLOOKUP(267,'PEDIDO 2'!$C$2:$E$230,3,0),0)</f>
        <v>0</v>
      </c>
      <c r="D86" s="1">
        <f>IFERROR(VLOOKUP(268,'PEDIDO 2'!$C$2:$E$230,3,0),0)</f>
        <v>0</v>
      </c>
      <c r="E86" s="1">
        <f>IFERROR(VLOOKUP(270,'PEDIDO 2'!$C$2:$E$230,3,0),0)</f>
        <v>0</v>
      </c>
      <c r="F86" s="1">
        <f>IFERROR(VLOOKUP(269,'PEDIDO 2'!$C$2:$E$230,3,0),0)</f>
        <v>0</v>
      </c>
      <c r="G86" s="18">
        <f t="shared" si="2"/>
        <v>0</v>
      </c>
    </row>
    <row r="87" spans="1:7" ht="15.75" x14ac:dyDescent="0.25">
      <c r="A87" s="15" t="str">
        <f>'PEDIDO 2'!$B$2</f>
        <v>Tiete-Capricholar Moveis E Utensilios Ltda Me</v>
      </c>
      <c r="B87" s="12" t="s">
        <v>403</v>
      </c>
      <c r="C87" s="1">
        <f>IFERROR(VLOOKUP(17,'PEDIDO 2'!$C$2:$E$230,3,0),0)</f>
        <v>0</v>
      </c>
      <c r="D87" s="1">
        <f>IFERROR(VLOOKUP(18,'PEDIDO 2'!$C$2:$E$230,3,0),0)</f>
        <v>0</v>
      </c>
      <c r="E87" s="1">
        <f>IFERROR(VLOOKUP(19,'PEDIDO 2'!$C$2:$E$230,3,0),0)</f>
        <v>0</v>
      </c>
      <c r="F87" s="1">
        <f>IFERROR(VLOOKUP(290,'PEDIDO 2'!$C$2:$E$230,3,0),0)</f>
        <v>0</v>
      </c>
      <c r="G87" s="18">
        <f t="shared" si="2"/>
        <v>0</v>
      </c>
    </row>
    <row r="88" spans="1:7" ht="15.75" x14ac:dyDescent="0.25">
      <c r="A88" s="15" t="str">
        <f>'PEDIDO 2'!$B$2</f>
        <v>Tiete-Capricholar Moveis E Utensilios Ltda Me</v>
      </c>
      <c r="B88" s="12" t="s">
        <v>404</v>
      </c>
      <c r="C88" s="1">
        <f>IFERROR(VLOOKUP(23,'PEDIDO 2'!$C$2:$E$230,3,0),0)</f>
        <v>0</v>
      </c>
      <c r="D88" s="1">
        <f>IFERROR(VLOOKUP(24,'PEDIDO 2'!$C$2:$E$230,3,0),0)</f>
        <v>0</v>
      </c>
      <c r="E88" s="1">
        <f>IFERROR(VLOOKUP(25,'PEDIDO 2'!$C$2:$E$230,3,0),0)</f>
        <v>0</v>
      </c>
      <c r="F88" s="1">
        <f>IFERROR(VLOOKUP(291,'PEDIDO 2'!$C$2:$E$230,3,0),0)</f>
        <v>0</v>
      </c>
      <c r="G88" s="18">
        <f t="shared" si="2"/>
        <v>0</v>
      </c>
    </row>
    <row r="89" spans="1:7" ht="15.75" x14ac:dyDescent="0.25">
      <c r="A89" s="15" t="str">
        <f>'PEDIDO 2'!$B$2</f>
        <v>Tiete-Capricholar Moveis E Utensilios Ltda Me</v>
      </c>
      <c r="B89" s="12" t="s">
        <v>405</v>
      </c>
      <c r="C89" s="1">
        <f>IFERROR(VLOOKUP(27,'PEDIDO 2'!$C$2:$E$230,3,0),0)</f>
        <v>0</v>
      </c>
      <c r="D89" s="1">
        <f>IFERROR(VLOOKUP(28,'PEDIDO 2'!$C$2:$E$230,3,0),0)</f>
        <v>0</v>
      </c>
      <c r="E89" s="1">
        <f>IFERROR(VLOOKUP(29,'PEDIDO 2'!$C$2:$E$230,3,0),0)</f>
        <v>0</v>
      </c>
      <c r="F89" s="1">
        <f>IFERROR(VLOOKUP(292,'PEDIDO 2'!$C$2:$E$230,3,0),0)</f>
        <v>0</v>
      </c>
      <c r="G89" s="18">
        <f t="shared" si="2"/>
        <v>0</v>
      </c>
    </row>
    <row r="90" spans="1:7" ht="15.75" x14ac:dyDescent="0.25">
      <c r="A90" s="15" t="str">
        <f>'PEDIDO 2'!$B$2</f>
        <v>Tiete-Capricholar Moveis E Utensilios Ltda Me</v>
      </c>
      <c r="B90" s="12" t="s">
        <v>406</v>
      </c>
      <c r="C90" s="1">
        <f>IFERROR(VLOOKUP(227,'PEDIDO 2'!$C$2:$E$230,3,0),0)</f>
        <v>0</v>
      </c>
      <c r="D90" s="1">
        <f>IFERROR(VLOOKUP(228,'PEDIDO 2'!$C$2:$E$230,3,0),0)</f>
        <v>0</v>
      </c>
      <c r="E90" s="1">
        <f>IFERROR(VLOOKUP(229,'PEDIDO 2'!$C$2:$E$230,3,0),0)</f>
        <v>0</v>
      </c>
      <c r="F90" s="1">
        <f>IFERROR(VLOOKUP(230,'PEDIDO 2'!$C$2:$E$230,3,0),0)</f>
        <v>0</v>
      </c>
      <c r="G90" s="18">
        <f t="shared" si="2"/>
        <v>0</v>
      </c>
    </row>
    <row r="91" spans="1:7" ht="15.75" x14ac:dyDescent="0.25">
      <c r="A91" s="15" t="str">
        <f>'PEDIDO 2'!$B$2</f>
        <v>Tiete-Capricholar Moveis E Utensilios Ltda Me</v>
      </c>
      <c r="B91" s="12" t="s">
        <v>407</v>
      </c>
      <c r="C91" s="1">
        <f>IFERROR(VLOOKUP(231,'PEDIDO 2'!$C$2:$E$230,3,0),0)</f>
        <v>0</v>
      </c>
      <c r="D91" s="1">
        <f>IFERROR(VLOOKUP(232,'PEDIDO 2'!$C$2:$E$230,3,0),0)</f>
        <v>0</v>
      </c>
      <c r="E91" s="1">
        <f>IFERROR(VLOOKUP(234,'PEDIDO 2'!$C$2:$E$230,3,0),0)</f>
        <v>0</v>
      </c>
      <c r="F91" s="1">
        <f>IFERROR(VLOOKUP(233,'PEDIDO 2'!$C$2:$E$230,3,0),0)</f>
        <v>0</v>
      </c>
      <c r="G91" s="18">
        <f t="shared" si="2"/>
        <v>0</v>
      </c>
    </row>
    <row r="92" spans="1:7" ht="15.75" x14ac:dyDescent="0.25">
      <c r="A92" s="15" t="str">
        <f>'PEDIDO 2'!$B$2</f>
        <v>Tiete-Capricholar Moveis E Utensilios Ltda Me</v>
      </c>
      <c r="B92" s="12" t="s">
        <v>408</v>
      </c>
      <c r="C92" s="1">
        <f>IFERROR(VLOOKUP(237,'PEDIDO 2'!$C$2:$E$230,3,0),0)</f>
        <v>0</v>
      </c>
      <c r="D92" s="1">
        <f>IFERROR(VLOOKUP(238,'PEDIDO 2'!$C$2:$E$230,3,0),0)</f>
        <v>0</v>
      </c>
      <c r="E92" s="1">
        <f>IFERROR(VLOOKUP(240,'PEDIDO 2'!$C$2:$E$230,3,0),0)</f>
        <v>0</v>
      </c>
      <c r="F92" s="1">
        <f>IFERROR(VLOOKUP(239,'PEDIDO 2'!$C$2:$E$230,3,0),0)</f>
        <v>0</v>
      </c>
      <c r="G92" s="18">
        <f t="shared" si="2"/>
        <v>0</v>
      </c>
    </row>
    <row r="93" spans="1:7" ht="15.75" x14ac:dyDescent="0.25">
      <c r="A93" s="15" t="str">
        <f>'PEDIDO 2'!$B$2</f>
        <v>Tiete-Capricholar Moveis E Utensilios Ltda Me</v>
      </c>
      <c r="B93" s="12" t="s">
        <v>409</v>
      </c>
      <c r="C93" s="1">
        <f>IFERROR(VLOOKUP(25707,'PEDIDO 2'!$C$2:$E$230,3,0),0)</f>
        <v>0</v>
      </c>
      <c r="D93" s="1">
        <f>IFERROR(VLOOKUP(25708,'PEDIDO 2'!$C$2:$E$230,3,0),0)</f>
        <v>0</v>
      </c>
      <c r="E93" s="1">
        <f>IFERROR(VLOOKUP(25710,'PEDIDO 2'!$C$2:$E$230,3,0),0)</f>
        <v>0</v>
      </c>
      <c r="F93" s="1">
        <f>IFERROR(VLOOKUP(25709,'PEDIDO 2'!$C$2:$E$230,3,0),0)</f>
        <v>0</v>
      </c>
      <c r="G93" s="18">
        <f t="shared" si="2"/>
        <v>0</v>
      </c>
    </row>
    <row r="94" spans="1:7" ht="15.75" x14ac:dyDescent="0.25">
      <c r="A94" s="15" t="str">
        <f>'PEDIDO 2'!$B$2</f>
        <v>Tiete-Capricholar Moveis E Utensilios Ltda Me</v>
      </c>
      <c r="B94" s="12" t="s">
        <v>410</v>
      </c>
      <c r="C94" s="1">
        <f>IFERROR(VLOOKUP(25711,'PEDIDO 2'!$C$2:$E$230,3,0),0)</f>
        <v>0</v>
      </c>
      <c r="D94" s="1"/>
      <c r="E94" s="1"/>
      <c r="F94" s="1"/>
      <c r="G94" s="18">
        <f t="shared" si="2"/>
        <v>0</v>
      </c>
    </row>
    <row r="95" spans="1:7" ht="15.75" x14ac:dyDescent="0.25">
      <c r="A95" s="15" t="str">
        <f>'PEDIDO 2'!$B$2</f>
        <v>Tiete-Capricholar Moveis E Utensilios Ltda Me</v>
      </c>
      <c r="B95" s="12" t="s">
        <v>411</v>
      </c>
      <c r="C95" s="1">
        <f>IFERROR(VLOOKUP(35,'PEDIDO 2'!$C$2:$E$230,3,0),0)</f>
        <v>4</v>
      </c>
      <c r="D95" s="1">
        <f>IFERROR(VLOOKUP(36,'PEDIDO 2'!$C$2:$E$230,3,0),0)</f>
        <v>0</v>
      </c>
      <c r="E95" s="1">
        <f>IFERROR(VLOOKUP(37,'PEDIDO 2'!$C$2:$E$230,3,0),0)</f>
        <v>0</v>
      </c>
      <c r="F95" s="1">
        <f>IFERROR(VLOOKUP(294,'PEDIDO 2'!$C$2:$E$230,3,0),0)</f>
        <v>0</v>
      </c>
      <c r="G95" s="18">
        <f t="shared" si="2"/>
        <v>4</v>
      </c>
    </row>
    <row r="96" spans="1:7" ht="15.75" x14ac:dyDescent="0.25">
      <c r="A96" s="15" t="str">
        <f>'PEDIDO 2'!$B$2</f>
        <v>Tiete-Capricholar Moveis E Utensilios Ltda Me</v>
      </c>
      <c r="B96" s="12" t="s">
        <v>412</v>
      </c>
      <c r="C96" s="1">
        <f>IFERROR(VLOOKUP(39,'PEDIDO 2'!$C$2:$E$230,3,0),0)</f>
        <v>0</v>
      </c>
      <c r="D96" s="1">
        <f>IFERROR(VLOOKUP(40,'PEDIDO 2'!$C$2:$E$230,3,0),0)</f>
        <v>0</v>
      </c>
      <c r="E96" s="1">
        <f>IFERROR(VLOOKUP(42,'PEDIDO 2'!$C$2:$E$230,3,0),0)</f>
        <v>0</v>
      </c>
      <c r="F96" s="1">
        <f>IFERROR(VLOOKUP(295,'PEDIDO 2'!$C$2:$E$230,3,0),0)</f>
        <v>0</v>
      </c>
      <c r="G96" s="18">
        <f t="shared" si="2"/>
        <v>0</v>
      </c>
    </row>
    <row r="97" spans="1:7" ht="15.75" x14ac:dyDescent="0.25">
      <c r="A97" s="15" t="str">
        <f>'PEDIDO 2'!$B$2</f>
        <v>Tiete-Capricholar Moveis E Utensilios Ltda Me</v>
      </c>
      <c r="B97" s="12" t="s">
        <v>413</v>
      </c>
      <c r="C97" s="1">
        <f>IFERROR(VLOOKUP(44,'PEDIDO 2'!$C$2:$E$230,3,0),0)</f>
        <v>3</v>
      </c>
      <c r="D97" s="1">
        <f>IFERROR(VLOOKUP(45,'PEDIDO 2'!$C$2:$E$230,3,0),0)</f>
        <v>0</v>
      </c>
      <c r="E97" s="1">
        <f>IFERROR(VLOOKUP(46,'PEDIDO 2'!$C$2:$E$230,3,0),0)</f>
        <v>0</v>
      </c>
      <c r="F97" s="1">
        <f>IFERROR(VLOOKUP(283,'PEDIDO 2'!$C$2:$E$230,3,0),0)</f>
        <v>0</v>
      </c>
      <c r="G97" s="18">
        <f t="shared" si="2"/>
        <v>3</v>
      </c>
    </row>
    <row r="98" spans="1:7" ht="15.75" x14ac:dyDescent="0.25">
      <c r="A98" s="15" t="str">
        <f>'PEDIDO 2'!$B$2</f>
        <v>Tiete-Capricholar Moveis E Utensilios Ltda Me</v>
      </c>
      <c r="B98" s="12" t="s">
        <v>414</v>
      </c>
      <c r="C98" s="1">
        <f>IFERROR(VLOOKUP(48,'PEDIDO 2'!$C$2:$E$230,3,0),0)</f>
        <v>2</v>
      </c>
      <c r="D98" s="1">
        <f>IFERROR(VLOOKUP(49,'PEDIDO 2'!$C$2:$E$230,3,0),0)</f>
        <v>0</v>
      </c>
      <c r="E98" s="1">
        <f>IFERROR(VLOOKUP(50,'PEDIDO 2'!$C$2:$E$230,3,0),0)</f>
        <v>0</v>
      </c>
      <c r="F98" s="1">
        <f>IFERROR(VLOOKUP(298,'PEDIDO 2'!$C$2:$E$230,3,0),0)</f>
        <v>0</v>
      </c>
      <c r="G98" s="18">
        <f t="shared" si="2"/>
        <v>2</v>
      </c>
    </row>
    <row r="99" spans="1:7" ht="15.75" x14ac:dyDescent="0.25">
      <c r="A99" s="15" t="str">
        <f>'PEDIDO 2'!$B$2</f>
        <v>Tiete-Capricholar Moveis E Utensilios Ltda Me</v>
      </c>
      <c r="B99" s="12" t="s">
        <v>415</v>
      </c>
      <c r="C99" s="1">
        <f>IFERROR(VLOOKUP(52,'PEDIDO 2'!$C$2:$E$230,3,0),0)</f>
        <v>0</v>
      </c>
      <c r="D99" s="1">
        <f>IFERROR(VLOOKUP(53,'PEDIDO 2'!$C$2:$E$230,3,0),0)</f>
        <v>0</v>
      </c>
      <c r="E99" s="1">
        <f>IFERROR(VLOOKUP(54,'PEDIDO 2'!$C$2:$E$230,3,0),0)</f>
        <v>0</v>
      </c>
      <c r="F99" s="1">
        <f>IFERROR(VLOOKUP(299,'PEDIDO 2'!$C$2:$E$230,3,0),0)</f>
        <v>0</v>
      </c>
      <c r="G99" s="18">
        <f t="shared" si="2"/>
        <v>0</v>
      </c>
    </row>
    <row r="100" spans="1:7" ht="15.75" x14ac:dyDescent="0.25">
      <c r="A100" s="15" t="str">
        <f>'PEDIDO 2'!$B$2</f>
        <v>Tiete-Capricholar Moveis E Utensilios Ltda Me</v>
      </c>
      <c r="B100" s="12" t="s">
        <v>416</v>
      </c>
      <c r="C100" s="1">
        <f>IFERROR(VLOOKUP(56,'PEDIDO 2'!$C$2:$E$230,3,0),0)</f>
        <v>0</v>
      </c>
      <c r="D100" s="1">
        <f>IFERROR(VLOOKUP(61,'PEDIDO 2'!$C$2:$E$230,3,0),0)</f>
        <v>0</v>
      </c>
      <c r="E100" s="1">
        <f>IFERROR(VLOOKUP(58,'PEDIDO 2'!$C$2:$E$230,3,0),0)</f>
        <v>0</v>
      </c>
      <c r="F100" s="1">
        <f>IFERROR(VLOOKUP(300,'PEDIDO 2'!$C$2:$E$230,3,0),0)</f>
        <v>0</v>
      </c>
      <c r="G100" s="18">
        <f t="shared" si="2"/>
        <v>0</v>
      </c>
    </row>
    <row r="101" spans="1:7" ht="15.75" x14ac:dyDescent="0.25">
      <c r="A101" s="15" t="str">
        <f>'PEDIDO 2'!$B$2</f>
        <v>Tiete-Capricholar Moveis E Utensilios Ltda Me</v>
      </c>
      <c r="B101" s="12" t="s">
        <v>417</v>
      </c>
      <c r="C101" s="1">
        <f>IFERROR(VLOOKUP(60,'PEDIDO 2'!$C$2:$E$230,3,0),0)</f>
        <v>0</v>
      </c>
      <c r="D101" s="1">
        <f>IFERROR(VLOOKUP(120,'PEDIDO 2'!$C$2:$E$230,3,0),0)</f>
        <v>0</v>
      </c>
      <c r="E101" s="1">
        <f>IFERROR(VLOOKUP(62,'PEDIDO 2'!$C$2:$E$230,3,0),0)</f>
        <v>0</v>
      </c>
      <c r="F101" s="1">
        <f>IFERROR(VLOOKUP(301,'PEDIDO 2'!$C$2:$E$230,3,0),0)</f>
        <v>0</v>
      </c>
      <c r="G101" s="18">
        <f t="shared" si="2"/>
        <v>0</v>
      </c>
    </row>
    <row r="102" spans="1:7" ht="15.75" x14ac:dyDescent="0.25">
      <c r="A102" s="15" t="str">
        <f>'PEDIDO 2'!$B$2</f>
        <v>Tiete-Capricholar Moveis E Utensilios Ltda Me</v>
      </c>
      <c r="B102" s="12" t="s">
        <v>426</v>
      </c>
      <c r="C102" s="1">
        <f>IFERROR(VLOOKUP(112,'PEDIDO 2'!$C$2:$E$230,3,0),0)</f>
        <v>0</v>
      </c>
      <c r="D102" s="1">
        <f>IFERROR(VLOOKUP(113,'PEDIDO 2'!$C$2:$E$230,3,0),0)</f>
        <v>0</v>
      </c>
      <c r="E102" s="1">
        <f>IFERROR(VLOOKUP(114,'PEDIDO 2'!$C$2:$E$230,3,0),0)</f>
        <v>0</v>
      </c>
      <c r="F102" s="1">
        <f>IFERROR(VLOOKUP(296,'PEDIDO 2'!$C$2:$E$230,3,0),0)</f>
        <v>0</v>
      </c>
      <c r="G102" s="18">
        <f t="shared" si="2"/>
        <v>0</v>
      </c>
    </row>
    <row r="103" spans="1:7" ht="15.75" x14ac:dyDescent="0.25">
      <c r="A103" s="15" t="str">
        <f>'PEDIDO 2'!$B$2</f>
        <v>Tiete-Capricholar Moveis E Utensilios Ltda Me</v>
      </c>
      <c r="B103" s="12" t="s">
        <v>427</v>
      </c>
      <c r="C103" s="1">
        <f>IFERROR(VLOOKUP(116,'PEDIDO 2'!$C$2:$E$230,3,0),0)</f>
        <v>0</v>
      </c>
      <c r="D103" s="1">
        <f>IFERROR(VLOOKUP(117,'PEDIDO 2'!$C$2:$E$230,3,0),0)</f>
        <v>0</v>
      </c>
      <c r="E103" s="1">
        <f>IFERROR(VLOOKUP(118,'PEDIDO 2'!$C$2:$E$230,3,0),0)</f>
        <v>0</v>
      </c>
      <c r="F103" s="1">
        <f>IFERROR(VLOOKUP(293,'PEDIDO 2'!$C$2:$E$230,3,0),0)</f>
        <v>0</v>
      </c>
      <c r="G103" s="18">
        <f t="shared" si="2"/>
        <v>0</v>
      </c>
    </row>
    <row r="104" spans="1:7" ht="15.75" x14ac:dyDescent="0.25">
      <c r="A104" s="15" t="str">
        <f>'PEDIDO 2'!$B$2</f>
        <v>Tiete-Capricholar Moveis E Utensilios Ltda Me</v>
      </c>
      <c r="B104" s="12" t="s">
        <v>418</v>
      </c>
      <c r="C104" s="1">
        <f>IFERROR(VLOOKUP(963,'PEDIDO 2'!$C$2:$E$230,3,0),0)</f>
        <v>0</v>
      </c>
      <c r="D104" s="1">
        <f>IFERROR(VLOOKUP(965,'PEDIDO 2'!$C$2:$E$230,3,0),0)</f>
        <v>0</v>
      </c>
      <c r="E104" s="1">
        <f>IFERROR(VLOOKUP(966,'PEDIDO 2'!$C$2:$E$230,3,0),0)</f>
        <v>0</v>
      </c>
      <c r="F104" s="1">
        <f>IFERROR(VLOOKUP(964,'PEDIDO 2'!$C$2:$E$230,3,0),0)</f>
        <v>0</v>
      </c>
      <c r="G104" s="18">
        <f t="shared" si="2"/>
        <v>0</v>
      </c>
    </row>
    <row r="105" spans="1:7" ht="15.75" x14ac:dyDescent="0.25">
      <c r="A105" s="15" t="str">
        <f>'PEDIDO 2'!$B$2</f>
        <v>Tiete-Capricholar Moveis E Utensilios Ltda Me</v>
      </c>
      <c r="B105" s="12" t="s">
        <v>419</v>
      </c>
      <c r="C105" s="1">
        <f>IFERROR(VLOOKUP(2042,'PEDIDO 2'!$C$2:$E$230,3,0),0)</f>
        <v>0</v>
      </c>
      <c r="D105" s="1">
        <f>IFERROR(VLOOKUP(2041,'PEDIDO 2'!$C$2:$E$230,3,0),0)</f>
        <v>0</v>
      </c>
      <c r="E105" s="1">
        <f>IFERROR(VLOOKUP(2043,'PEDIDO 2'!$C$2:$E$230,3,0),0)</f>
        <v>0</v>
      </c>
      <c r="F105" s="1">
        <f>IFERROR(VLOOKUP(2040,'PEDIDO 2'!$C$2:$E$230,3,0),0)</f>
        <v>0</v>
      </c>
      <c r="G105" s="18">
        <f t="shared" si="2"/>
        <v>0</v>
      </c>
    </row>
    <row r="106" spans="1:7" ht="15.75" x14ac:dyDescent="0.25">
      <c r="A106" s="15" t="str">
        <f>'PEDIDO 2'!$B$2</f>
        <v>Tiete-Capricholar Moveis E Utensilios Ltda Me</v>
      </c>
      <c r="B106" s="12" t="s">
        <v>420</v>
      </c>
      <c r="C106" s="1">
        <f>IFERROR(VLOOKUP(2045,'PEDIDO 2'!$C$2:$E$230,3,0),0)</f>
        <v>0</v>
      </c>
      <c r="D106" s="1">
        <f>IFERROR(VLOOKUP(2046,'PEDIDO 2'!$C$2:$E$230,3,0),0)</f>
        <v>0</v>
      </c>
      <c r="E106" s="1">
        <f>IFERROR(VLOOKUP(2047,'PEDIDO 2'!$C$2:$E$230,3,0),0)</f>
        <v>0</v>
      </c>
      <c r="F106" s="1">
        <f>IFERROR(VLOOKUP(2048,'PEDIDO 2'!$C$2:$E$230,3,0),0)</f>
        <v>0</v>
      </c>
      <c r="G106" s="18">
        <f t="shared" si="2"/>
        <v>0</v>
      </c>
    </row>
    <row r="107" spans="1:7" ht="15.75" x14ac:dyDescent="0.25">
      <c r="A107" s="15" t="str">
        <f>'PEDIDO 2'!$B$2</f>
        <v>Tiete-Capricholar Moveis E Utensilios Ltda Me</v>
      </c>
      <c r="B107" s="12" t="s">
        <v>421</v>
      </c>
      <c r="C107" s="1">
        <f>IFERROR(VLOOKUP(2050,'PEDIDO 2'!$C$2:$E$230,3,0),0)</f>
        <v>0</v>
      </c>
      <c r="D107" s="1">
        <f>IFERROR(VLOOKUP(2051,'PEDIDO 2'!$C$2:$E$230,3,0),0)</f>
        <v>0</v>
      </c>
      <c r="E107" s="1">
        <f>IFERROR(VLOOKUP(2052,'PEDIDO 2'!$C$2:$E$230,3,0),0)</f>
        <v>0</v>
      </c>
      <c r="F107" s="1">
        <f>IFERROR(VLOOKUP(2053,'PEDIDO 2'!$C$2:$E$230,3,0),0)</f>
        <v>0</v>
      </c>
      <c r="G107" s="18">
        <f t="shared" si="2"/>
        <v>0</v>
      </c>
    </row>
    <row r="108" spans="1:7" ht="15.75" x14ac:dyDescent="0.25">
      <c r="A108" s="15" t="str">
        <f>'PEDIDO 2'!$B$2</f>
        <v>Tiete-Capricholar Moveis E Utensilios Ltda Me</v>
      </c>
      <c r="B108" s="12" t="s">
        <v>422</v>
      </c>
      <c r="C108" s="1">
        <f>IFERROR(VLOOKUP(216,'PEDIDO 2'!$C$2:$E$230,3,0),0)</f>
        <v>0</v>
      </c>
      <c r="D108" s="1">
        <f>IFERROR(VLOOKUP(217,'PEDIDO 2'!$C$2:$E$230,3,0),0)</f>
        <v>0</v>
      </c>
      <c r="E108" s="1">
        <f>IFERROR(VLOOKUP(218,'PEDIDO 2'!$C$2:$E$230,3,0),0)</f>
        <v>0</v>
      </c>
      <c r="F108" s="1">
        <f>IFERROR(VLOOKUP(305,'PEDIDO 2'!$C$2:$E$230,3,0),0)</f>
        <v>0</v>
      </c>
      <c r="G108" s="18">
        <f t="shared" si="2"/>
        <v>0</v>
      </c>
    </row>
    <row r="109" spans="1:7" ht="15.75" x14ac:dyDescent="0.25">
      <c r="A109" s="15" t="str">
        <f>'PEDIDO 2'!$B$2</f>
        <v>Tiete-Capricholar Moveis E Utensilios Ltda Me</v>
      </c>
      <c r="B109" s="12" t="s">
        <v>423</v>
      </c>
      <c r="C109" s="1">
        <f>IFERROR(VLOOKUP(100,'PEDIDO 2'!$C$2:$E$230,3,0),0)</f>
        <v>2</v>
      </c>
      <c r="D109" s="1">
        <f>IFERROR(VLOOKUP(101,'PEDIDO 2'!$C$2:$E$230,3,0),0)</f>
        <v>0</v>
      </c>
      <c r="E109" s="1">
        <f>IFERROR(VLOOKUP(102,'PEDIDO 2'!$C$2:$E$230,3,0),0)</f>
        <v>0</v>
      </c>
      <c r="F109" s="1">
        <f>IFERROR(VLOOKUP(306,'PEDIDO 2'!$C$2:$E$230,3,0),0)</f>
        <v>0</v>
      </c>
      <c r="G109" s="18">
        <f t="shared" si="2"/>
        <v>2</v>
      </c>
    </row>
    <row r="110" spans="1:7" ht="15.75" x14ac:dyDescent="0.25">
      <c r="A110" s="15" t="str">
        <f>'PEDIDO 2'!$B$2</f>
        <v>Tiete-Capricholar Moveis E Utensilios Ltda Me</v>
      </c>
      <c r="B110" s="12" t="s">
        <v>424</v>
      </c>
      <c r="C110" s="1">
        <f>IFERROR(VLOOKUP(104,'PEDIDO 2'!$C$2:$E$230,3,0),0)</f>
        <v>0</v>
      </c>
      <c r="D110" s="1">
        <f>IFERROR(VLOOKUP(105,'PEDIDO 2'!$C$2:$E$230,3,0),0)</f>
        <v>0</v>
      </c>
      <c r="E110" s="1">
        <f>IFERROR(VLOOKUP(106,'PEDIDO 2'!$C$2:$E$230,3,0),0)</f>
        <v>0</v>
      </c>
      <c r="F110" s="1">
        <f>IFERROR(VLOOKUP(307,'PEDIDO 2'!$C$2:$E$230,3,0),0)</f>
        <v>0</v>
      </c>
      <c r="G110" s="18">
        <f t="shared" si="2"/>
        <v>0</v>
      </c>
    </row>
    <row r="111" spans="1:7" ht="15.75" x14ac:dyDescent="0.25">
      <c r="A111" s="15" t="str">
        <f>'PEDIDO 2'!$B$2</f>
        <v>Tiete-Capricholar Moveis E Utensilios Ltda Me</v>
      </c>
      <c r="B111" s="12" t="s">
        <v>425</v>
      </c>
      <c r="C111" s="1">
        <f>IFERROR(VLOOKUP(400,'PEDIDO 2'!$C$2:$E$230,3,0),0)</f>
        <v>0</v>
      </c>
      <c r="D111" s="1">
        <f>IFERROR(VLOOKUP(401,'PEDIDO 2'!$C$2:$E$230,3,0),0)</f>
        <v>0</v>
      </c>
      <c r="E111" s="1">
        <f>IFERROR(VLOOKUP(402,'PEDIDO 2'!$C$2:$E$230,3,0),0)</f>
        <v>0</v>
      </c>
      <c r="F111" s="1">
        <f>IFERROR(VLOOKUP(403,'PEDIDO 2'!$C$2:$E$230,3,0),0)</f>
        <v>0</v>
      </c>
      <c r="G111" s="18">
        <f t="shared" si="2"/>
        <v>0</v>
      </c>
    </row>
    <row r="112" spans="1:7" ht="15.75" x14ac:dyDescent="0.25">
      <c r="A112" s="15" t="str">
        <f>'PEDIDO 2'!$B$2</f>
        <v>Tiete-Capricholar Moveis E Utensilios Ltda Me</v>
      </c>
      <c r="B112" s="12" t="s">
        <v>428</v>
      </c>
      <c r="C112" s="1">
        <f>IFERROR(VLOOKUP(22,'PEDIDO 2'!$C$2:$E$230,3,0),0)</f>
        <v>0</v>
      </c>
      <c r="D112" s="1"/>
      <c r="E112" s="1"/>
      <c r="F112" s="1"/>
      <c r="G112" s="18">
        <f t="shared" si="2"/>
        <v>0</v>
      </c>
    </row>
    <row r="113" spans="1:7" ht="15.75" x14ac:dyDescent="0.25">
      <c r="A113" s="15" t="str">
        <f>'PEDIDO 2'!$B$2</f>
        <v>Tiete-Capricholar Moveis E Utensilios Ltda Me</v>
      </c>
      <c r="B113" s="12" t="s">
        <v>429</v>
      </c>
      <c r="C113" s="1">
        <f>IFERROR(VLOOKUP(21,'PEDIDO 2'!$C$2:$E$230,3,0),0)</f>
        <v>0</v>
      </c>
      <c r="D113" s="1"/>
      <c r="E113" s="1"/>
      <c r="F113" s="1"/>
      <c r="G113" s="18">
        <f t="shared" si="2"/>
        <v>0</v>
      </c>
    </row>
    <row r="114" spans="1:7" ht="15.75" x14ac:dyDescent="0.25">
      <c r="A114" s="15" t="str">
        <f>'PEDIDO 2'!$B$2</f>
        <v>Tiete-Capricholar Moveis E Utensilios Ltda Me</v>
      </c>
      <c r="B114" s="12" t="s">
        <v>430</v>
      </c>
      <c r="C114" s="1">
        <f>IFERROR(VLOOKUP(1125,'PEDIDO 2'!$C$2:$E$230,3,0),0)</f>
        <v>0</v>
      </c>
      <c r="D114" s="1">
        <f>IFERROR(VLOOKUP(1126,'PEDIDO 2'!$C$2:$E$230,3,0),0)</f>
        <v>0</v>
      </c>
      <c r="E114" s="1">
        <f>IFERROR(VLOOKUP(1127,'PEDIDO 2'!$C$2:$E$230,3,0),0)</f>
        <v>0</v>
      </c>
      <c r="F114" s="1">
        <f>IFERROR(VLOOKUP(1128,'PEDIDO 2'!$C$2:$E$230,3,0),0)</f>
        <v>0</v>
      </c>
      <c r="G114" s="18">
        <f t="shared" si="2"/>
        <v>0</v>
      </c>
    </row>
    <row r="115" spans="1:7" ht="15.75" x14ac:dyDescent="0.25">
      <c r="A115" s="15" t="str">
        <f>'PEDIDO 2'!$B$2</f>
        <v>Tiete-Capricholar Moveis E Utensilios Ltda Me</v>
      </c>
      <c r="B115" s="12" t="s">
        <v>431</v>
      </c>
      <c r="C115" s="1">
        <f>IFERROR(VLOOKUP(1133,'PEDIDO 2'!$C$2:$E$230,3,0),0)</f>
        <v>0</v>
      </c>
      <c r="D115" s="1">
        <f>IFERROR(VLOOKUP(1134,'PEDIDO 2'!$C$2:$E$230,3,0),0)</f>
        <v>0</v>
      </c>
      <c r="E115" s="1">
        <f>IFERROR(VLOOKUP(1135,'PEDIDO 2'!$C$2:$E$230,3,0),0)</f>
        <v>0</v>
      </c>
      <c r="F115" s="1">
        <f>IFERROR(VLOOKUP(1136,'PEDIDO 2'!$C$2:$E$230,3,0),0)</f>
        <v>0</v>
      </c>
      <c r="G115" s="18">
        <f t="shared" si="2"/>
        <v>0</v>
      </c>
    </row>
    <row r="116" spans="1:7" ht="15.75" x14ac:dyDescent="0.25">
      <c r="A116" s="15" t="str">
        <f>'PEDIDO 2'!$B$2</f>
        <v>Tiete-Capricholar Moveis E Utensilios Ltda Me</v>
      </c>
      <c r="B116" s="12" t="s">
        <v>432</v>
      </c>
      <c r="C116" s="1">
        <f>IFERROR(VLOOKUP(1105,'PEDIDO 2'!$C$2:$E$230,3,0),0)</f>
        <v>0</v>
      </c>
      <c r="D116" s="1">
        <f>IFERROR(VLOOKUP(1106,'PEDIDO 2'!$C$2:$E$230,3,0),0)</f>
        <v>0</v>
      </c>
      <c r="E116" s="1">
        <f>IFERROR(VLOOKUP(1107,'PEDIDO 2'!$C$2:$E$230,3,0),0)</f>
        <v>0</v>
      </c>
      <c r="F116" s="1">
        <f>IFERROR(VLOOKUP(1108,'PEDIDO 2'!$C$2:$E$230,3,0),0)</f>
        <v>0</v>
      </c>
      <c r="G116" s="18">
        <f t="shared" si="2"/>
        <v>0</v>
      </c>
    </row>
    <row r="117" spans="1:7" ht="15.75" x14ac:dyDescent="0.25">
      <c r="A117" s="15" t="str">
        <f>'PEDIDO 2'!$B$2</f>
        <v>Tiete-Capricholar Moveis E Utensilios Ltda Me</v>
      </c>
      <c r="B117" s="12" t="s">
        <v>433</v>
      </c>
      <c r="C117" s="1">
        <f>IFERROR(VLOOKUP(1109,'PEDIDO 2'!$C$2:$E$230,3,0),0)</f>
        <v>0</v>
      </c>
      <c r="D117" s="1">
        <f>IFERROR(VLOOKUP(1110,'PEDIDO 2'!$C$2:$E$230,3,0),0)</f>
        <v>0</v>
      </c>
      <c r="E117" s="1">
        <f>IFERROR(VLOOKUP(1111,'PEDIDO 2'!$C$2:$E$230,3,0),0)</f>
        <v>0</v>
      </c>
      <c r="F117" s="1">
        <f>IFERROR(VLOOKUP(1112,'PEDIDO 2'!$C$2:$E$230,3,0),0)</f>
        <v>0</v>
      </c>
      <c r="G117" s="18">
        <f t="shared" si="2"/>
        <v>0</v>
      </c>
    </row>
    <row r="118" spans="1:7" ht="15.75" x14ac:dyDescent="0.25">
      <c r="A118" s="15" t="str">
        <f>'PEDIDO 2'!$B$2</f>
        <v>Tiete-Capricholar Moveis E Utensilios Ltda Me</v>
      </c>
      <c r="B118" s="12" t="s">
        <v>434</v>
      </c>
      <c r="C118" s="1">
        <f>IFERROR(VLOOKUP(1113,'PEDIDO 2'!$C$2:$E$230,3,0),0)</f>
        <v>0</v>
      </c>
      <c r="D118" s="1">
        <f>IFERROR(VLOOKUP(1114,'PEDIDO 2'!$C$2:$E$230,3,0),0)</f>
        <v>0</v>
      </c>
      <c r="E118" s="1">
        <f>IFERROR(VLOOKUP(1115,'PEDIDO 2'!$C$2:$E$230,3,0),0)</f>
        <v>0</v>
      </c>
      <c r="F118" s="1">
        <f>IFERROR(VLOOKUP(1116,'PEDIDO 2'!$C$2:$E$230,3,0),0)</f>
        <v>0</v>
      </c>
      <c r="G118" s="18">
        <f t="shared" si="2"/>
        <v>0</v>
      </c>
    </row>
    <row r="119" spans="1:7" ht="15.75" x14ac:dyDescent="0.25">
      <c r="A119" s="15" t="str">
        <f>'PEDIDO 2'!$B$2</f>
        <v>Tiete-Capricholar Moveis E Utensilios Ltda Me</v>
      </c>
      <c r="B119" s="12" t="s">
        <v>435</v>
      </c>
      <c r="C119" s="1">
        <f>IFERROR(VLOOKUP(1117,'PEDIDO 2'!$C$2:$E$230,3,0),0)</f>
        <v>0</v>
      </c>
      <c r="D119" s="1">
        <f>IFERROR(VLOOKUP(1118,'PEDIDO 2'!$C$2:$E$230,3,0),0)</f>
        <v>0</v>
      </c>
      <c r="E119" s="1">
        <f>IFERROR(VLOOKUP(1119,'PEDIDO 2'!$C$2:$E$230,3,0),0)</f>
        <v>0</v>
      </c>
      <c r="F119" s="1">
        <f>IFERROR(VLOOKUP(1120,'PEDIDO 2'!$C$2:$E$230,3,0),0)</f>
        <v>0</v>
      </c>
      <c r="G119" s="18">
        <f t="shared" si="2"/>
        <v>0</v>
      </c>
    </row>
    <row r="120" spans="1:7" ht="15.75" x14ac:dyDescent="0.25">
      <c r="A120" s="15" t="str">
        <f>'PEDIDO 2'!$B$2</f>
        <v>Tiete-Capricholar Moveis E Utensilios Ltda Me</v>
      </c>
      <c r="B120" s="12" t="s">
        <v>436</v>
      </c>
      <c r="C120" s="1">
        <f>IFERROR(VLOOKUP(1121,'PEDIDO 2'!$C$2:$E$230,3,0),0)</f>
        <v>0</v>
      </c>
      <c r="D120" s="1">
        <f>IFERROR(VLOOKUP(1122,'PEDIDO 2'!$C$2:$E$230,3,0),0)</f>
        <v>0</v>
      </c>
      <c r="E120" s="1">
        <f>IFERROR(VLOOKUP(1123,'PEDIDO 2'!$C$2:$E$230,3,0),0)</f>
        <v>0</v>
      </c>
      <c r="F120" s="1">
        <f>IFERROR(VLOOKUP(1124,'PEDIDO 2'!$C$2:$E$230,3,0),0)</f>
        <v>0</v>
      </c>
      <c r="G120" s="18">
        <f t="shared" si="2"/>
        <v>0</v>
      </c>
    </row>
    <row r="121" spans="1:7" ht="15.75" x14ac:dyDescent="0.25">
      <c r="A121" s="15" t="str">
        <f>'PEDIDO 2'!$B$2</f>
        <v>Tiete-Capricholar Moveis E Utensilios Ltda Me</v>
      </c>
      <c r="B121" s="12" t="s">
        <v>437</v>
      </c>
      <c r="C121" s="1">
        <f>IFERROR(VLOOKUP(1129,'PEDIDO 2'!$C$2:$E$230,3,0),0)</f>
        <v>0</v>
      </c>
      <c r="D121" s="1">
        <f>IFERROR(VLOOKUP(1130,'PEDIDO 2'!$C$2:$E$230,3,0),0)</f>
        <v>0</v>
      </c>
      <c r="E121" s="1">
        <f>IFERROR(VLOOKUP(1131,'PEDIDO 2'!$C$2:$E$230,3,0),0)</f>
        <v>0</v>
      </c>
      <c r="F121" s="1">
        <f>IFERROR(VLOOKUP(1132,'PEDIDO 2'!$C$2:$E$230,3,0),0)</f>
        <v>0</v>
      </c>
      <c r="G121" s="18">
        <f t="shared" si="2"/>
        <v>0</v>
      </c>
    </row>
    <row r="122" spans="1:7" ht="15.75" x14ac:dyDescent="0.25">
      <c r="A122" s="15" t="str">
        <f>'PEDIDO 2'!$B$2</f>
        <v>Tiete-Capricholar Moveis E Utensilios Ltda Me</v>
      </c>
      <c r="B122" s="12" t="s">
        <v>438</v>
      </c>
      <c r="C122" s="1">
        <f>IFERROR(VLOOKUP(1137,'PEDIDO 2'!$C$2:$E$230,3,0),0)</f>
        <v>0</v>
      </c>
      <c r="D122" s="1">
        <f>IFERROR(VLOOKUP(1138,'PEDIDO 2'!$C$2:$E$230,3,0),0)</f>
        <v>0</v>
      </c>
      <c r="E122" s="1">
        <f>IFERROR(VLOOKUP(1139,'PEDIDO 2'!$C$2:$E$230,3,0),0)</f>
        <v>0</v>
      </c>
      <c r="F122" s="1">
        <f>IFERROR(VLOOKUP(1140,'PEDIDO 2'!$C$2:$E$230,3,0),0)</f>
        <v>0</v>
      </c>
      <c r="G122" s="18">
        <f t="shared" si="2"/>
        <v>0</v>
      </c>
    </row>
    <row r="123" spans="1:7" ht="15.75" x14ac:dyDescent="0.25">
      <c r="A123" s="15" t="str">
        <f>'PEDIDO 2'!$B$2</f>
        <v>Tiete-Capricholar Moveis E Utensilios Ltda Me</v>
      </c>
      <c r="B123" s="12" t="s">
        <v>439</v>
      </c>
      <c r="C123" s="1">
        <f>IFERROR(VLOOKUP(1141,'PEDIDO 2'!$C$2:$E$230,3,0),0)</f>
        <v>0</v>
      </c>
      <c r="D123" s="1">
        <f>IFERROR(VLOOKUP(1142,'PEDIDO 2'!$C$2:$E$230,3,0),0)</f>
        <v>0</v>
      </c>
      <c r="E123" s="1">
        <f>IFERROR(VLOOKUP(1143,'PEDIDO 2'!$C$2:$E$230,3,0),0)</f>
        <v>0</v>
      </c>
      <c r="F123" s="1">
        <f>IFERROR(VLOOKUP(1144,'PEDIDO 2'!$C$2:$E$230,3,0),0)</f>
        <v>0</v>
      </c>
      <c r="G123" s="18">
        <f t="shared" si="2"/>
        <v>0</v>
      </c>
    </row>
    <row r="124" spans="1:7" ht="15.75" x14ac:dyDescent="0.25">
      <c r="A124" s="15" t="str">
        <f>'PEDIDO 2'!$B$2</f>
        <v>Tiete-Capricholar Moveis E Utensilios Ltda Me</v>
      </c>
      <c r="B124" s="12" t="s">
        <v>440</v>
      </c>
      <c r="C124" s="1">
        <f>IFERROR(VLOOKUP(1145,'PEDIDO 2'!$C$2:$E$230,3,0),0)</f>
        <v>0</v>
      </c>
      <c r="D124" s="1">
        <f>IFERROR(VLOOKUP(1146,'PEDIDO 2'!$C$2:$E$230,3,0),0)</f>
        <v>0</v>
      </c>
      <c r="E124" s="1">
        <f>IFERROR(VLOOKUP(1147,'PEDIDO 2'!$C$2:$E$230,3,0),0)</f>
        <v>0</v>
      </c>
      <c r="F124" s="1">
        <f>IFERROR(VLOOKUP(1148,'PEDIDO 2'!$C$2:$E$230,3,0),0)</f>
        <v>0</v>
      </c>
      <c r="G124" s="18">
        <f t="shared" si="2"/>
        <v>0</v>
      </c>
    </row>
    <row r="125" spans="1:7" ht="15.75" x14ac:dyDescent="0.25">
      <c r="A125" s="15" t="str">
        <f>'PEDIDO 2'!$B$2</f>
        <v>Tiete-Capricholar Moveis E Utensilios Ltda Me</v>
      </c>
      <c r="B125" s="12" t="s">
        <v>441</v>
      </c>
      <c r="C125" s="1">
        <f>IFERROR(VLOOKUP(1149,'PEDIDO 2'!$C$2:$E$230,3,0),0)</f>
        <v>0</v>
      </c>
      <c r="D125" s="1">
        <f>IFERROR(VLOOKUP(1150,'PEDIDO 2'!$C$2:$E$230,3,0),0)</f>
        <v>0</v>
      </c>
      <c r="E125" s="1">
        <f>IFERROR(VLOOKUP(1151,'PEDIDO 2'!$C$2:$E$230,3,0),0)</f>
        <v>0</v>
      </c>
      <c r="F125" s="1">
        <f>IFERROR(VLOOKUP(1152,'PEDIDO 2'!$C$2:$E$230,3,0),0)</f>
        <v>0</v>
      </c>
      <c r="G125" s="18">
        <f t="shared" si="2"/>
        <v>0</v>
      </c>
    </row>
    <row r="126" spans="1:7" ht="15.75" x14ac:dyDescent="0.25">
      <c r="A126" s="15" t="str">
        <f>'PEDIDO 2'!$B$2</f>
        <v>Tiete-Capricholar Moveis E Utensilios Ltda Me</v>
      </c>
      <c r="B126" s="12" t="s">
        <v>442</v>
      </c>
      <c r="C126" s="1">
        <f>IFERROR(VLOOKUP(1153,'PEDIDO 2'!$C$2:$E$230,3,0),0)</f>
        <v>0</v>
      </c>
      <c r="D126" s="1">
        <f>IFERROR(VLOOKUP(1154,'PEDIDO 2'!$C$2:$E$230,3,0),0)</f>
        <v>0</v>
      </c>
      <c r="E126" s="1">
        <f>IFERROR(VLOOKUP(1155,'PEDIDO 2'!$C$2:$E$230,3,0),0)</f>
        <v>0</v>
      </c>
      <c r="F126" s="1">
        <f>IFERROR(VLOOKUP(1156,'PEDIDO 2'!$C$2:$E$230,3,0),0)</f>
        <v>0</v>
      </c>
      <c r="G126" s="18">
        <f t="shared" si="2"/>
        <v>0</v>
      </c>
    </row>
    <row r="127" spans="1:7" ht="15.75" x14ac:dyDescent="0.25">
      <c r="A127" s="15" t="str">
        <f>'PEDIDO 2'!$B$2</f>
        <v>Tiete-Capricholar Moveis E Utensilios Ltda Me</v>
      </c>
      <c r="B127" s="12" t="s">
        <v>443</v>
      </c>
      <c r="C127" s="1">
        <f>IFERROR(VLOOKUP(1157,'PEDIDO 2'!$C$2:$E$230,3,0),0)</f>
        <v>0</v>
      </c>
      <c r="D127" s="1">
        <f>IFERROR(VLOOKUP(1158,'PEDIDO 2'!$C$2:$E$230,3,0),0)</f>
        <v>0</v>
      </c>
      <c r="E127" s="1">
        <f>IFERROR(VLOOKUP(1159,'PEDIDO 2'!$C$2:$E$230,3,0),0)</f>
        <v>0</v>
      </c>
      <c r="F127" s="1">
        <f>IFERROR(VLOOKUP(1160,'PEDIDO 2'!$C$2:$E$230,3,0),0)</f>
        <v>0</v>
      </c>
      <c r="G127" s="18">
        <f t="shared" si="2"/>
        <v>0</v>
      </c>
    </row>
    <row r="128" spans="1:7" ht="15.75" x14ac:dyDescent="0.25">
      <c r="A128" s="15" t="str">
        <f>'PEDIDO 2'!$B$2</f>
        <v>Tiete-Capricholar Moveis E Utensilios Ltda Me</v>
      </c>
      <c r="B128" s="12" t="s">
        <v>444</v>
      </c>
      <c r="C128" s="1">
        <f>IFERROR(VLOOKUP(1161,'PEDIDO 2'!$C$2:$E$230,3,0),0)</f>
        <v>0</v>
      </c>
      <c r="D128" s="1">
        <f>IFERROR(VLOOKUP(1162,'PEDIDO 2'!$C$2:$E$230,3,0),0)</f>
        <v>0</v>
      </c>
      <c r="E128" s="1">
        <f>IFERROR(VLOOKUP(1163,'PEDIDO 2'!$C$2:$E$230,3,0),0)</f>
        <v>0</v>
      </c>
      <c r="F128" s="1">
        <f>IFERROR(VLOOKUP(1164,'PEDIDO 2'!$C$2:$E$230,3,0),0)</f>
        <v>0</v>
      </c>
      <c r="G128" s="18">
        <f t="shared" si="2"/>
        <v>0</v>
      </c>
    </row>
    <row r="129" spans="1:7" ht="15.75" x14ac:dyDescent="0.25">
      <c r="A129" s="15" t="str">
        <f>'PEDIDO 2'!$B$2</f>
        <v>Tiete-Capricholar Moveis E Utensilios Ltda Me</v>
      </c>
      <c r="B129" s="12" t="s">
        <v>445</v>
      </c>
      <c r="C129" s="1">
        <f>IFERROR(VLOOKUP(1165,'PEDIDO 2'!$C$2:$E$230,3,0),0)</f>
        <v>0</v>
      </c>
      <c r="D129" s="1">
        <f>IFERROR(VLOOKUP(1166,'PEDIDO 2'!$C$2:$E$230,3,0),0)</f>
        <v>0</v>
      </c>
      <c r="E129" s="1">
        <f>IFERROR(VLOOKUP(1167,'PEDIDO 2'!$C$2:$E$230,3,0),0)</f>
        <v>0</v>
      </c>
      <c r="F129" s="1">
        <f>IFERROR(VLOOKUP(1168,'PEDIDO 2'!$C$2:$E$230,3,0),0)</f>
        <v>0</v>
      </c>
      <c r="G129" s="18">
        <f t="shared" si="2"/>
        <v>0</v>
      </c>
    </row>
    <row r="130" spans="1:7" ht="15.75" x14ac:dyDescent="0.25">
      <c r="A130" s="15" t="str">
        <f>'PEDIDO 2'!$B$2</f>
        <v>Tiete-Capricholar Moveis E Utensilios Ltda Me</v>
      </c>
      <c r="B130" s="12" t="s">
        <v>446</v>
      </c>
      <c r="C130" s="1">
        <f>IFERROR(VLOOKUP(1169,'PEDIDO 2'!$C$2:$E$230,3,0),0)</f>
        <v>0</v>
      </c>
      <c r="D130" s="1">
        <f>IFERROR(VLOOKUP(1170,'PEDIDO 2'!$C$2:$E$230,3,0),0)</f>
        <v>0</v>
      </c>
      <c r="E130" s="1">
        <f>IFERROR(VLOOKUP(1171,'PEDIDO 2'!$C$2:$E$230,3,0),0)</f>
        <v>0</v>
      </c>
      <c r="F130" s="1">
        <f>IFERROR(VLOOKUP(1172,'PEDIDO 2'!$C$2:$E$230,3,0),0)</f>
        <v>0</v>
      </c>
      <c r="G130" s="18">
        <f t="shared" si="2"/>
        <v>0</v>
      </c>
    </row>
    <row r="131" spans="1:7" ht="15.75" x14ac:dyDescent="0.25">
      <c r="A131" s="15" t="str">
        <f>'PEDIDO 2'!$B$2</f>
        <v>Tiete-Capricholar Moveis E Utensilios Ltda Me</v>
      </c>
      <c r="B131" s="12" t="s">
        <v>447</v>
      </c>
      <c r="C131" s="1">
        <f>IFERROR(VLOOKUP(1173,'PEDIDO 2'!$C$2:$E$230,3,0),0)</f>
        <v>0</v>
      </c>
      <c r="D131" s="1">
        <f>IFERROR(VLOOKUP(1174,'PEDIDO 2'!$C$2:$E$230,3,0),0)</f>
        <v>0</v>
      </c>
      <c r="E131" s="1">
        <f>IFERROR(VLOOKUP(1175,'PEDIDO 2'!$C$2:$E$230,3,0),0)</f>
        <v>0</v>
      </c>
      <c r="F131" s="1">
        <f>IFERROR(VLOOKUP(1176,'PEDIDO 2'!$C$2:$E$230,3,0),0)</f>
        <v>0</v>
      </c>
      <c r="G131" s="18">
        <f t="shared" si="2"/>
        <v>0</v>
      </c>
    </row>
    <row r="132" spans="1:7" ht="15.75" x14ac:dyDescent="0.25">
      <c r="A132" s="15" t="str">
        <f>'PEDIDO 2'!$B$2</f>
        <v>Tiete-Capricholar Moveis E Utensilios Ltda Me</v>
      </c>
      <c r="B132" s="12" t="s">
        <v>448</v>
      </c>
      <c r="C132" s="1">
        <f>IFERROR(VLOOKUP(1249,'PEDIDO 2'!$C$2:$E$230,3,0),0)</f>
        <v>0</v>
      </c>
      <c r="D132" s="1">
        <f>IFERROR(VLOOKUP(1250,'PEDIDO 2'!$C$2:$E$230,3,0),0)</f>
        <v>0</v>
      </c>
      <c r="E132" s="1">
        <f>IFERROR(VLOOKUP(1251,'PEDIDO 2'!$C$2:$E$230,3,0),0)</f>
        <v>0</v>
      </c>
      <c r="F132" s="1">
        <f>IFERROR(VLOOKUP(1252,'PEDIDO 2'!$C$2:$E$230,3,0),0)</f>
        <v>0</v>
      </c>
      <c r="G132" s="18">
        <f t="shared" si="2"/>
        <v>0</v>
      </c>
    </row>
    <row r="133" spans="1:7" ht="15.75" x14ac:dyDescent="0.25">
      <c r="A133" s="15" t="str">
        <f>'PEDIDO 2'!$B$2</f>
        <v>Tiete-Capricholar Moveis E Utensilios Ltda Me</v>
      </c>
      <c r="B133" s="12" t="s">
        <v>449</v>
      </c>
      <c r="C133" s="1">
        <f>IFERROR(VLOOKUP(1177,'PEDIDO 2'!$C$2:$E$230,3,0),0)</f>
        <v>0</v>
      </c>
      <c r="D133" s="1">
        <f>IFERROR(VLOOKUP(1178,'PEDIDO 2'!$C$2:$E$230,3,0),0)</f>
        <v>0</v>
      </c>
      <c r="E133" s="1">
        <f>IFERROR(VLOOKUP(1179,'PEDIDO 2'!$C$2:$E$230,3,0),0)</f>
        <v>0</v>
      </c>
      <c r="F133" s="1">
        <f>IFERROR(VLOOKUP(1180,'PEDIDO 2'!$C$2:$E$230,3,0),0)</f>
        <v>0</v>
      </c>
      <c r="G133" s="18">
        <f t="shared" si="2"/>
        <v>0</v>
      </c>
    </row>
    <row r="134" spans="1:7" ht="15.75" x14ac:dyDescent="0.25">
      <c r="A134" s="15" t="str">
        <f>'PEDIDO 2'!$B$2</f>
        <v>Tiete-Capricholar Moveis E Utensilios Ltda Me</v>
      </c>
      <c r="B134" s="12" t="s">
        <v>450</v>
      </c>
      <c r="C134" s="1">
        <f>IFERROR(VLOOKUP(1181,'PEDIDO 2'!$C$2:$E$230,3,0),0)</f>
        <v>0</v>
      </c>
      <c r="D134" s="1">
        <f>IFERROR(VLOOKUP(1182,'PEDIDO 2'!$C$2:$E$230,3,0),0)</f>
        <v>0</v>
      </c>
      <c r="E134" s="1">
        <f>IFERROR(VLOOKUP(1183,'PEDIDO 2'!$C$2:$E$230,3,0),0)</f>
        <v>0</v>
      </c>
      <c r="F134" s="1">
        <f>IFERROR(VLOOKUP(1184,'PEDIDO 2'!$C$2:$E$230,3,0),0)</f>
        <v>0</v>
      </c>
      <c r="G134" s="18">
        <f t="shared" si="2"/>
        <v>0</v>
      </c>
    </row>
    <row r="135" spans="1:7" ht="15.75" x14ac:dyDescent="0.25">
      <c r="A135" s="15" t="str">
        <f>'PEDIDO 2'!$B$2</f>
        <v>Tiete-Capricholar Moveis E Utensilios Ltda Me</v>
      </c>
      <c r="B135" s="12" t="s">
        <v>451</v>
      </c>
      <c r="C135" s="1">
        <f>IFERROR(VLOOKUP(1185,'PEDIDO 2'!$C$2:$E$230,3,0),0)</f>
        <v>0</v>
      </c>
      <c r="D135" s="1">
        <f>IFERROR(VLOOKUP(1186,'PEDIDO 2'!$C$2:$E$230,3,0),0)</f>
        <v>0</v>
      </c>
      <c r="E135" s="1">
        <f>IFERROR(VLOOKUP(1187,'PEDIDO 2'!$C$2:$E$230,3,0),0)</f>
        <v>0</v>
      </c>
      <c r="F135" s="1">
        <f>IFERROR(VLOOKUP(1188,'PEDIDO 2'!$C$2:$E$230,3,0),0)</f>
        <v>0</v>
      </c>
      <c r="G135" s="18">
        <f t="shared" si="2"/>
        <v>0</v>
      </c>
    </row>
    <row r="136" spans="1:7" ht="15.75" x14ac:dyDescent="0.25">
      <c r="A136" s="15" t="str">
        <f>'PEDIDO 2'!$B$2</f>
        <v>Tiete-Capricholar Moveis E Utensilios Ltda Me</v>
      </c>
      <c r="B136" s="12" t="s">
        <v>452</v>
      </c>
      <c r="C136" s="1">
        <f>IFERROR(VLOOKUP(1189,'PEDIDO 2'!$C$2:$E$230,3,0),0)</f>
        <v>0</v>
      </c>
      <c r="D136" s="1">
        <f>IFERROR(VLOOKUP(1190,'PEDIDO 2'!$C$2:$E$230,3,0),0)</f>
        <v>0</v>
      </c>
      <c r="E136" s="1">
        <f>IFERROR(VLOOKUP(1191,'PEDIDO 2'!$C$2:$E$230,3,0),0)</f>
        <v>0</v>
      </c>
      <c r="F136" s="1">
        <f>IFERROR(VLOOKUP(1192,'PEDIDO 2'!$C$2:$E$230,3,0),0)</f>
        <v>0</v>
      </c>
      <c r="G136" s="18">
        <f t="shared" si="2"/>
        <v>0</v>
      </c>
    </row>
    <row r="137" spans="1:7" ht="15.75" x14ac:dyDescent="0.25">
      <c r="A137" s="15" t="str">
        <f>'PEDIDO 2'!$B$2</f>
        <v>Tiete-Capricholar Moveis E Utensilios Ltda Me</v>
      </c>
      <c r="B137" s="12" t="s">
        <v>453</v>
      </c>
      <c r="C137" s="1">
        <f>IFERROR(VLOOKUP(1193,'PEDIDO 2'!$C$2:$E$230,3,0),0)</f>
        <v>0</v>
      </c>
      <c r="D137" s="1">
        <f>IFERROR(VLOOKUP(1194,'PEDIDO 2'!$C$2:$E$230,3,0),0)</f>
        <v>0</v>
      </c>
      <c r="E137" s="1">
        <f>IFERROR(VLOOKUP(1195,'PEDIDO 2'!$C$2:$E$230,3,0),0)</f>
        <v>0</v>
      </c>
      <c r="F137" s="1">
        <f>IFERROR(VLOOKUP(1196,'PEDIDO 2'!$C$2:$E$230,3,0),0)</f>
        <v>0</v>
      </c>
      <c r="G137" s="18">
        <f t="shared" si="2"/>
        <v>0</v>
      </c>
    </row>
    <row r="138" spans="1:7" ht="15.75" x14ac:dyDescent="0.25">
      <c r="A138" s="15" t="str">
        <f>'PEDIDO 2'!$B$2</f>
        <v>Tiete-Capricholar Moveis E Utensilios Ltda Me</v>
      </c>
      <c r="B138" s="12" t="s">
        <v>454</v>
      </c>
      <c r="C138" s="1">
        <f>IFERROR(VLOOKUP(1197,'PEDIDO 2'!$C$2:$E$230,3,0),0)</f>
        <v>0</v>
      </c>
      <c r="D138" s="1">
        <f>IFERROR(VLOOKUP(1198,'PEDIDO 2'!$C$2:$E$230,3,0),0)</f>
        <v>0</v>
      </c>
      <c r="E138" s="1">
        <f>IFERROR(VLOOKUP(1199,'PEDIDO 2'!$C$2:$E$230,3,0),0)</f>
        <v>0</v>
      </c>
      <c r="F138" s="1">
        <f>IFERROR(VLOOKUP(1200,'PEDIDO 2'!$C$2:$E$230,3,0),0)</f>
        <v>0</v>
      </c>
      <c r="G138" s="18">
        <f t="shared" si="2"/>
        <v>0</v>
      </c>
    </row>
    <row r="139" spans="1:7" ht="15.75" x14ac:dyDescent="0.25">
      <c r="A139" s="15" t="str">
        <f>'PEDIDO 2'!$B$2</f>
        <v>Tiete-Capricholar Moveis E Utensilios Ltda Me</v>
      </c>
      <c r="B139" s="12" t="s">
        <v>455</v>
      </c>
      <c r="C139" s="1">
        <f>IFERROR(VLOOKUP(1201,'PEDIDO 2'!$C$2:$E$230,3,0),0)</f>
        <v>0</v>
      </c>
      <c r="D139" s="1">
        <f>IFERROR(VLOOKUP(1202,'PEDIDO 2'!$C$2:$E$230,3,0),0)</f>
        <v>0</v>
      </c>
      <c r="E139" s="1">
        <f>IFERROR(VLOOKUP(1203,'PEDIDO 2'!$C$2:$E$230,3,0),0)</f>
        <v>0</v>
      </c>
      <c r="F139" s="1">
        <f>IFERROR(VLOOKUP(1204,'PEDIDO 2'!$C$2:$E$230,3,0),0)</f>
        <v>0</v>
      </c>
      <c r="G139" s="18">
        <f t="shared" si="2"/>
        <v>0</v>
      </c>
    </row>
    <row r="140" spans="1:7" ht="15.75" x14ac:dyDescent="0.25">
      <c r="A140" s="15" t="str">
        <f>'PEDIDO 2'!$B$2</f>
        <v>Tiete-Capricholar Moveis E Utensilios Ltda Me</v>
      </c>
      <c r="B140" s="12" t="s">
        <v>456</v>
      </c>
      <c r="C140" s="1">
        <f>IFERROR(VLOOKUP(1205,'PEDIDO 2'!$C$2:$E$230,3,0),0)</f>
        <v>0</v>
      </c>
      <c r="D140" s="1">
        <f>IFERROR(VLOOKUP(1206,'PEDIDO 2'!$C$2:$E$230,3,0),0)</f>
        <v>0</v>
      </c>
      <c r="E140" s="1">
        <f>IFERROR(VLOOKUP(1207,'PEDIDO 2'!$C$2:$E$230,3,0),0)</f>
        <v>0</v>
      </c>
      <c r="F140" s="1">
        <f>IFERROR(VLOOKUP(1208,'PEDIDO 2'!$C$2:$E$230,3,0),0)</f>
        <v>0</v>
      </c>
      <c r="G140" s="18">
        <f t="shared" si="2"/>
        <v>0</v>
      </c>
    </row>
    <row r="141" spans="1:7" ht="15.75" x14ac:dyDescent="0.25">
      <c r="A141" s="15" t="str">
        <f>'PEDIDO 2'!$B$2</f>
        <v>Tiete-Capricholar Moveis E Utensilios Ltda Me</v>
      </c>
      <c r="B141" s="12" t="s">
        <v>457</v>
      </c>
      <c r="C141" s="1">
        <f>IFERROR(VLOOKUP(1213,'PEDIDO 2'!$C$2:$E$230,3,0),0)</f>
        <v>0</v>
      </c>
      <c r="D141" s="1">
        <f>IFERROR(VLOOKUP(1214,'PEDIDO 2'!$C$2:$E$230,3,0),0)</f>
        <v>0</v>
      </c>
      <c r="E141" s="1">
        <f>IFERROR(VLOOKUP(1215,'PEDIDO 2'!$C$2:$E$230,3,0),0)</f>
        <v>0</v>
      </c>
      <c r="F141" s="10">
        <f>IFERROR(VLOOKUP(1216,'PEDIDO 2'!$C$2:$E$230,3,0),0)</f>
        <v>0</v>
      </c>
      <c r="G141" s="18">
        <f t="shared" si="2"/>
        <v>0</v>
      </c>
    </row>
    <row r="142" spans="1:7" ht="15.75" x14ac:dyDescent="0.25">
      <c r="A142" s="15" t="str">
        <f>'PEDIDO 2'!$B$2</f>
        <v>Tiete-Capricholar Moveis E Utensilios Ltda Me</v>
      </c>
      <c r="B142" s="12" t="s">
        <v>458</v>
      </c>
      <c r="C142" s="1">
        <f>IFERROR(VLOOKUP(1209,'PEDIDO 2'!$C$2:$E$230,3,0),0)</f>
        <v>0</v>
      </c>
      <c r="D142" s="1">
        <f>IFERROR(VLOOKUP(1210,'PEDIDO 2'!$C$2:$E$230,3,0),0)</f>
        <v>0</v>
      </c>
      <c r="E142" s="1">
        <f>IFERROR(VLOOKUP(1211,'PEDIDO 2'!$C$2:$E$230,3,0),0)</f>
        <v>0</v>
      </c>
      <c r="F142" s="1">
        <f>IFERROR(VLOOKUP(1212,'PEDIDO 2'!$C$2:$E$230,3,0),0)</f>
        <v>0</v>
      </c>
      <c r="G142" s="18">
        <f t="shared" si="2"/>
        <v>0</v>
      </c>
    </row>
    <row r="143" spans="1:7" ht="15.75" x14ac:dyDescent="0.25">
      <c r="A143" s="15" t="str">
        <f>'PEDIDO 2'!$B$2</f>
        <v>Tiete-Capricholar Moveis E Utensilios Ltda Me</v>
      </c>
      <c r="B143" s="12" t="s">
        <v>459</v>
      </c>
      <c r="C143" s="1">
        <f>IFERROR(VLOOKUP(1217,'PEDIDO 2'!$C$2:$E$230,3,0),0)</f>
        <v>0</v>
      </c>
      <c r="D143" s="1">
        <f>IFERROR(VLOOKUP(1218,'PEDIDO 2'!$C$2:$E$230,3,0),0)</f>
        <v>0</v>
      </c>
      <c r="E143" s="1">
        <f>IFERROR(VLOOKUP(1219,'PEDIDO 2'!$C$2:$E$230,3,0),0)</f>
        <v>0</v>
      </c>
      <c r="F143" s="1">
        <f>IFERROR(VLOOKUP(1220,'PEDIDO 2'!$C$2:$E$230,3,0),0)</f>
        <v>0</v>
      </c>
      <c r="G143" s="18">
        <f t="shared" si="2"/>
        <v>0</v>
      </c>
    </row>
    <row r="144" spans="1:7" ht="15.75" x14ac:dyDescent="0.25">
      <c r="A144" s="15" t="str">
        <f>'PEDIDO 2'!$B$2</f>
        <v>Tiete-Capricholar Moveis E Utensilios Ltda Me</v>
      </c>
      <c r="B144" s="12" t="s">
        <v>461</v>
      </c>
      <c r="C144" s="1">
        <f>IFERROR(VLOOKUP(1225,'PEDIDO 2'!$C$2:$E$230,3,0),0)</f>
        <v>0</v>
      </c>
      <c r="D144" s="1">
        <f>IFERROR(VLOOKUP(1226,'PEDIDO 2'!$C$2:$E$230,3,0),0)</f>
        <v>0</v>
      </c>
      <c r="E144" s="1">
        <f>IFERROR(VLOOKUP(1227,'PEDIDO 2'!$C$2:$E$230,3,0),0)</f>
        <v>0</v>
      </c>
      <c r="F144" s="1">
        <f>IFERROR(VLOOKUP(1228,'PEDIDO 2'!$C$2:$E$230,3,0),0)</f>
        <v>0</v>
      </c>
      <c r="G144" s="18">
        <f t="shared" si="2"/>
        <v>0</v>
      </c>
    </row>
    <row r="145" spans="1:7" ht="15.75" x14ac:dyDescent="0.25">
      <c r="A145" s="15" t="str">
        <f>'PEDIDO 2'!$B$2</f>
        <v>Tiete-Capricholar Moveis E Utensilios Ltda Me</v>
      </c>
      <c r="B145" s="12" t="s">
        <v>462</v>
      </c>
      <c r="C145" s="1">
        <f>IFERROR(VLOOKUP(1221,'PEDIDO 2'!$C$2:$E$230,3,0),0)</f>
        <v>0</v>
      </c>
      <c r="D145" s="1">
        <f>IFERROR(VLOOKUP(1222,'PEDIDO 2'!$C$2:$E$230,3,0),0)</f>
        <v>0</v>
      </c>
      <c r="E145" s="1">
        <f>IFERROR(VLOOKUP(1223,'PEDIDO 2'!$C$2:$E$230,3,0),0)</f>
        <v>0</v>
      </c>
      <c r="F145" s="1">
        <f>IFERROR(VLOOKUP(1224,'PEDIDO 2'!$C$2:$E$230,3,0),0)</f>
        <v>0</v>
      </c>
      <c r="G145" s="18">
        <f t="shared" si="2"/>
        <v>0</v>
      </c>
    </row>
    <row r="146" spans="1:7" ht="15.75" x14ac:dyDescent="0.25">
      <c r="A146" s="15" t="str">
        <f>'PEDIDO 2'!$B$2</f>
        <v>Tiete-Capricholar Moveis E Utensilios Ltda Me</v>
      </c>
      <c r="B146" s="12" t="s">
        <v>460</v>
      </c>
      <c r="C146" s="1">
        <f>IFERROR(VLOOKUP(1229,'PEDIDO 2'!$C$2:$E$230,3,0),0)</f>
        <v>0</v>
      </c>
      <c r="D146" s="1">
        <f>IFERROR(VLOOKUP(1230,'PEDIDO 2'!$C$2:$E$230,3,0),0)</f>
        <v>0</v>
      </c>
      <c r="E146" s="1">
        <f>IFERROR(VLOOKUP(1231,'PEDIDO 2'!$C$2:$E$230,3,0),0)</f>
        <v>0</v>
      </c>
      <c r="F146" s="1">
        <f>IFERROR(VLOOKUP(1232,'PEDIDO 2'!$C$2:$E$230,3,0),0)</f>
        <v>0</v>
      </c>
      <c r="G146" s="18">
        <f t="shared" si="2"/>
        <v>0</v>
      </c>
    </row>
    <row r="147" spans="1:7" ht="15.75" x14ac:dyDescent="0.25">
      <c r="A147" s="15" t="str">
        <f>'PEDIDO 2'!$B$2</f>
        <v>Tiete-Capricholar Moveis E Utensilios Ltda Me</v>
      </c>
      <c r="B147" s="12" t="s">
        <v>463</v>
      </c>
      <c r="C147" s="1">
        <f>IFERROR(VLOOKUP(1233,'PEDIDO 2'!$C$2:$E$230,3,0),0)</f>
        <v>0</v>
      </c>
      <c r="D147" s="1">
        <f>IFERROR(VLOOKUP(1234,'PEDIDO 2'!$C$2:$E$230,3,0),0)</f>
        <v>0</v>
      </c>
      <c r="E147" s="1">
        <f>IFERROR(VLOOKUP(1235,'PEDIDO 2'!$C$2:$E$230,3,0),0)</f>
        <v>0</v>
      </c>
      <c r="F147" s="1">
        <f>IFERROR(VLOOKUP(1236,'PEDIDO 2'!$C$2:$E$230,3,0),0)</f>
        <v>0</v>
      </c>
      <c r="G147" s="18">
        <f t="shared" si="2"/>
        <v>0</v>
      </c>
    </row>
    <row r="148" spans="1:7" ht="15.75" x14ac:dyDescent="0.25">
      <c r="A148" s="15" t="str">
        <f>'PEDIDO 2'!$B$2</f>
        <v>Tiete-Capricholar Moveis E Utensilios Ltda Me</v>
      </c>
      <c r="B148" s="12" t="s">
        <v>464</v>
      </c>
      <c r="C148" s="1">
        <f>IFERROR(VLOOKUP(1237,'PEDIDO 2'!$C$2:$E$230,3,0),0)</f>
        <v>0</v>
      </c>
      <c r="D148" s="1">
        <f>IFERROR(VLOOKUP(1238,'PEDIDO 2'!$C$2:$E$230,3,0),0)</f>
        <v>0</v>
      </c>
      <c r="E148" s="1">
        <f>IFERROR(VLOOKUP(1239,'PEDIDO 2'!$C$2:$E$230,3,0),0)</f>
        <v>0</v>
      </c>
      <c r="F148" s="1">
        <f>IFERROR(VLOOKUP(1240,'PEDIDO 2'!$C$2:$E$230,3,0),0)</f>
        <v>0</v>
      </c>
      <c r="G148" s="18">
        <f t="shared" ref="G148:G160" si="3">SUM(C148+D148+E148+F148)</f>
        <v>0</v>
      </c>
    </row>
    <row r="149" spans="1:7" ht="15.75" x14ac:dyDescent="0.25">
      <c r="A149" s="15" t="str">
        <f>'PEDIDO 2'!$B$2</f>
        <v>Tiete-Capricholar Moveis E Utensilios Ltda Me</v>
      </c>
      <c r="B149" s="12" t="s">
        <v>465</v>
      </c>
      <c r="C149" s="1">
        <f>IFERROR(VLOOKUP(1241,'PEDIDO 2'!$C$2:$E$230,3,0),0)</f>
        <v>0</v>
      </c>
      <c r="D149" s="1">
        <f>IFERROR(VLOOKUP(1242,'PEDIDO 2'!$C$2:$E$230,3,0),0)</f>
        <v>0</v>
      </c>
      <c r="E149" s="1">
        <f>IFERROR(VLOOKUP(1243,'PEDIDO 2'!$C$2:$E$230,3,0),0)</f>
        <v>0</v>
      </c>
      <c r="F149" s="1">
        <f>IFERROR(VLOOKUP(1244,'PEDIDO 2'!$C$2:$E$230,3,0),0)</f>
        <v>0</v>
      </c>
      <c r="G149" s="18">
        <f t="shared" si="3"/>
        <v>0</v>
      </c>
    </row>
    <row r="150" spans="1:7" ht="15.75" x14ac:dyDescent="0.25">
      <c r="A150" s="15" t="str">
        <f>'PEDIDO 2'!$B$2</f>
        <v>Tiete-Capricholar Moveis E Utensilios Ltda Me</v>
      </c>
      <c r="B150" s="12" t="s">
        <v>466</v>
      </c>
      <c r="C150" s="1">
        <f>IFERROR(VLOOKUP(1245,'PEDIDO 2'!$C$2:$E$230,3,0),0)</f>
        <v>0</v>
      </c>
      <c r="D150" s="1">
        <f>IFERROR(VLOOKUP(1246,'PEDIDO 2'!$C$2:$E$230,3,0),0)</f>
        <v>0</v>
      </c>
      <c r="E150" s="1">
        <f>IFERROR(VLOOKUP(1247,'PEDIDO 2'!$C$2:$E$230,3,0),0)</f>
        <v>0</v>
      </c>
      <c r="F150" s="1">
        <f>IFERROR(VLOOKUP(1248,'PEDIDO 2'!$C$2:$E$230,3,0),0)</f>
        <v>0</v>
      </c>
      <c r="G150" s="18">
        <f t="shared" si="3"/>
        <v>0</v>
      </c>
    </row>
    <row r="151" spans="1:7" ht="15.75" x14ac:dyDescent="0.25">
      <c r="A151" s="15" t="str">
        <f>'PEDIDO 2'!$B$2</f>
        <v>Tiete-Capricholar Moveis E Utensilios Ltda Me</v>
      </c>
      <c r="B151" s="12" t="s">
        <v>467</v>
      </c>
      <c r="C151" s="1">
        <f>IFERROR(VLOOKUP(25714,'PEDIDO 2'!$C$2:$E$230,3,0),0)</f>
        <v>0</v>
      </c>
      <c r="D151" s="1"/>
      <c r="E151" s="1"/>
      <c r="F151" s="1"/>
      <c r="G151" s="18">
        <f t="shared" si="3"/>
        <v>0</v>
      </c>
    </row>
    <row r="152" spans="1:7" ht="15.75" x14ac:dyDescent="0.25">
      <c r="A152" s="15" t="str">
        <f>'PEDIDO 2'!$B$2</f>
        <v>Tiete-Capricholar Moveis E Utensilios Ltda Me</v>
      </c>
      <c r="B152" s="12" t="s">
        <v>468</v>
      </c>
      <c r="C152" s="1">
        <f>IFERROR(VLOOKUP(25712,'PEDIDO 2'!$C$2:$E$230,3,0),0)</f>
        <v>0</v>
      </c>
      <c r="D152" s="1"/>
      <c r="E152" s="1"/>
      <c r="F152" s="1"/>
      <c r="G152" s="18">
        <f t="shared" si="3"/>
        <v>0</v>
      </c>
    </row>
    <row r="153" spans="1:7" ht="15.75" x14ac:dyDescent="0.25">
      <c r="A153" s="15" t="str">
        <f>'PEDIDO 2'!$B$2</f>
        <v>Tiete-Capricholar Moveis E Utensilios Ltda Me</v>
      </c>
      <c r="B153" s="12" t="s">
        <v>469</v>
      </c>
      <c r="C153" s="1">
        <f>IFERROR(VLOOKUP(25713,'PEDIDO 2'!$C$2:$E$230,3,0),0)</f>
        <v>0</v>
      </c>
      <c r="D153" s="1"/>
      <c r="E153" s="1"/>
      <c r="F153" s="1"/>
      <c r="G153" s="18">
        <f t="shared" si="3"/>
        <v>0</v>
      </c>
    </row>
    <row r="154" spans="1:7" ht="15.75" x14ac:dyDescent="0.25">
      <c r="A154" s="15" t="str">
        <f>'PEDIDO 2'!$B$2</f>
        <v>Tiete-Capricholar Moveis E Utensilios Ltda Me</v>
      </c>
      <c r="B154" s="12" t="s">
        <v>470</v>
      </c>
      <c r="C154" s="1">
        <f>IFERROR(VLOOKUP(1260,'PEDIDO 2'!$C$2:$E$230,3,0),0)</f>
        <v>0</v>
      </c>
      <c r="D154" s="1"/>
      <c r="E154" s="1"/>
      <c r="F154" s="1"/>
      <c r="G154" s="18">
        <f t="shared" si="3"/>
        <v>0</v>
      </c>
    </row>
    <row r="155" spans="1:7" ht="15.75" x14ac:dyDescent="0.25">
      <c r="A155" s="15" t="str">
        <f>'PEDIDO 2'!$B$2</f>
        <v>Tiete-Capricholar Moveis E Utensilios Ltda Me</v>
      </c>
      <c r="B155" s="12" t="s">
        <v>471</v>
      </c>
      <c r="C155" s="1">
        <f>IFERROR(VLOOKUP(1261,'PEDIDO 2'!$C$2:$E$230,3,0),0)</f>
        <v>0</v>
      </c>
      <c r="D155" s="1"/>
      <c r="E155" s="1"/>
      <c r="F155" s="1"/>
      <c r="G155" s="18">
        <f t="shared" si="3"/>
        <v>0</v>
      </c>
    </row>
    <row r="156" spans="1:7" ht="15.75" x14ac:dyDescent="0.25">
      <c r="A156" s="15" t="str">
        <f>'PEDIDO 2'!$B$2</f>
        <v>Tiete-Capricholar Moveis E Utensilios Ltda Me</v>
      </c>
      <c r="B156" s="12" t="s">
        <v>472</v>
      </c>
      <c r="C156" s="1">
        <f>IFERROR(VLOOKUP(1262,'PEDIDO 2'!$C$2:$E$230,3,0),0)</f>
        <v>0</v>
      </c>
      <c r="D156" s="1"/>
      <c r="E156" s="1"/>
      <c r="F156" s="1"/>
      <c r="G156" s="18">
        <f t="shared" si="3"/>
        <v>0</v>
      </c>
    </row>
    <row r="157" spans="1:7" ht="15.75" x14ac:dyDescent="0.25">
      <c r="A157" s="15" t="str">
        <f>'PEDIDO 2'!$B$2</f>
        <v>Tiete-Capricholar Moveis E Utensilios Ltda Me</v>
      </c>
      <c r="B157" s="12" t="s">
        <v>473</v>
      </c>
      <c r="C157" s="1">
        <f>IFERROR(VLOOKUP(1263,'PEDIDO 2'!$C$2:$E$230,3,0),0)</f>
        <v>0</v>
      </c>
      <c r="D157" s="1"/>
      <c r="E157" s="1"/>
      <c r="F157" s="1"/>
      <c r="G157" s="18">
        <f t="shared" si="3"/>
        <v>0</v>
      </c>
    </row>
    <row r="158" spans="1:7" ht="15.75" x14ac:dyDescent="0.25">
      <c r="A158" s="15" t="str">
        <f>'PEDIDO 2'!$B$2</f>
        <v>Tiete-Capricholar Moveis E Utensilios Ltda Me</v>
      </c>
      <c r="B158" s="12" t="s">
        <v>474</v>
      </c>
      <c r="C158" s="1">
        <f>IFERROR(VLOOKUP(1264,'PEDIDO 2'!$C$2:$E$230,3,0),0)</f>
        <v>0</v>
      </c>
      <c r="D158" s="1"/>
      <c r="E158" s="1"/>
      <c r="F158" s="1"/>
      <c r="G158" s="18">
        <f t="shared" si="3"/>
        <v>0</v>
      </c>
    </row>
    <row r="159" spans="1:7" ht="15.75" x14ac:dyDescent="0.25">
      <c r="A159" s="15" t="str">
        <f>'PEDIDO 2'!$B$2</f>
        <v>Tiete-Capricholar Moveis E Utensilios Ltda Me</v>
      </c>
      <c r="B159" s="12" t="s">
        <v>475</v>
      </c>
      <c r="C159" s="1">
        <f>IFERROR(VLOOKUP(1265,'PEDIDO 2'!$C$2:$E$230,3,0),0)</f>
        <v>0</v>
      </c>
      <c r="D159" s="1"/>
      <c r="E159" s="1"/>
      <c r="F159" s="1"/>
      <c r="G159" s="18">
        <f t="shared" si="3"/>
        <v>0</v>
      </c>
    </row>
    <row r="160" spans="1:7" ht="15.75" x14ac:dyDescent="0.25">
      <c r="A160" s="15" t="str">
        <f>'PEDIDO 2'!$B$2</f>
        <v>Tiete-Capricholar Moveis E Utensilios Ltda Me</v>
      </c>
      <c r="B160" s="12" t="s">
        <v>476</v>
      </c>
      <c r="C160" s="1">
        <f>IFERROR(VLOOKUP(1266,'PEDIDO 2'!$C$2:$E$230,3,0),0)</f>
        <v>0</v>
      </c>
      <c r="D160" s="1"/>
      <c r="E160" s="1"/>
      <c r="F160" s="1"/>
      <c r="G160" s="18">
        <f t="shared" si="3"/>
        <v>0</v>
      </c>
    </row>
    <row r="161" spans="1:7" ht="15.75" x14ac:dyDescent="0.25">
      <c r="A161" s="15" t="str">
        <f>'PEDIDO 2'!$B$2</f>
        <v>Tiete-Capricholar Moveis E Utensilios Ltda Me</v>
      </c>
      <c r="B161" s="12" t="s">
        <v>477</v>
      </c>
      <c r="C161" s="1">
        <f>IFERROR(VLOOKUP(1268,'PEDIDO 2'!$C$2:$E$230,3,0),0)</f>
        <v>0</v>
      </c>
      <c r="D161" s="1">
        <f>IFERROR(VLOOKUP(1269,'PEDIDO 2'!$C$2:$E$230,3,0),0)</f>
        <v>0</v>
      </c>
      <c r="E161" s="1">
        <f>IFERROR(VLOOKUP(1270,'PEDIDO 2'!$C$2:$E$230,3,0),0)</f>
        <v>0</v>
      </c>
      <c r="F161" s="1">
        <f>IFERROR(VLOOKUP(1271,'PEDIDO 2'!$C$2:$E$230,3,0),0)</f>
        <v>0</v>
      </c>
      <c r="G161" s="18">
        <f>SUM(C161+D161+E161+F161)</f>
        <v>0</v>
      </c>
    </row>
    <row r="162" spans="1:7" ht="15.75" x14ac:dyDescent="0.25">
      <c r="A162" s="17"/>
      <c r="B162" s="13"/>
      <c r="C162" s="13"/>
      <c r="D162" s="13"/>
      <c r="E162" s="13"/>
      <c r="F162" s="13"/>
      <c r="G162" s="19"/>
    </row>
    <row r="163" spans="1:7" ht="15.75" x14ac:dyDescent="0.25">
      <c r="A163" s="17"/>
      <c r="B163" s="13"/>
      <c r="C163" s="13"/>
      <c r="D163" s="13"/>
      <c r="E163" s="13"/>
      <c r="F163" s="13"/>
      <c r="G163" s="19"/>
    </row>
    <row r="164" spans="1:7" ht="15.75" x14ac:dyDescent="0.25">
      <c r="A164" s="15" t="str">
        <f>'PEDIDO 3'!$B$2</f>
        <v>Sorocaba-Helio Koiti Inoue Moveis</v>
      </c>
      <c r="B164" s="12" t="s">
        <v>399</v>
      </c>
      <c r="C164" s="1">
        <f>IFERROR(VLOOKUP(1,'PEDIDO 3'!$C$2:$E$230,3,0),0)</f>
        <v>0</v>
      </c>
      <c r="D164" s="1">
        <f>IFERROR(VLOOKUP(2,'PEDIDO 3'!$C$2:$E$230,3,0),0)</f>
        <v>0</v>
      </c>
      <c r="E164" s="1">
        <f>IFERROR(VLOOKUP(3,'PEDIDO 3'!$C$2:$E$230,3,0),0)</f>
        <v>0</v>
      </c>
      <c r="F164" s="1">
        <f>IFERROR(VLOOKUP(282,'PEDIDO 3'!$C$2:$E$230,3,0),0)</f>
        <v>0</v>
      </c>
      <c r="G164" s="18">
        <f>SUM(C164+D164+E164+F164)</f>
        <v>0</v>
      </c>
    </row>
    <row r="165" spans="1:7" ht="15.75" x14ac:dyDescent="0.25">
      <c r="A165" s="15" t="str">
        <f>'PEDIDO 3'!$B$2</f>
        <v>Sorocaba-Helio Koiti Inoue Moveis</v>
      </c>
      <c r="B165" s="12" t="s">
        <v>400</v>
      </c>
      <c r="C165" s="1">
        <f>IFERROR(VLOOKUP(5,'PEDIDO 3'!$C$2:$E$230,3,0),0)</f>
        <v>0</v>
      </c>
      <c r="D165" s="1">
        <f>IFERROR(VLOOKUP(6,'PEDIDO 3'!$C$2:$E$230,3,0),0)</f>
        <v>0</v>
      </c>
      <c r="E165" s="1">
        <f>IFERROR(VLOOKUP(7,'PEDIDO 3'!$C$2:$E$230,3,0),0)</f>
        <v>0</v>
      </c>
      <c r="F165" s="1">
        <f>IFERROR(VLOOKUP(258,'PEDIDO 3'!$C$2:$E$230,3,0),0)</f>
        <v>0</v>
      </c>
      <c r="G165" s="18">
        <f t="shared" ref="G165:G228" si="4">SUM(C165+D165+E165+F165)</f>
        <v>0</v>
      </c>
    </row>
    <row r="166" spans="1:7" ht="15.75" x14ac:dyDescent="0.25">
      <c r="A166" s="15" t="str">
        <f>'PEDIDO 3'!$B$2</f>
        <v>Sorocaba-Helio Koiti Inoue Moveis</v>
      </c>
      <c r="B166" s="12" t="s">
        <v>401</v>
      </c>
      <c r="C166" s="1">
        <f>IFERROR(VLOOKUP(13,'PEDIDO 3'!$C$2:$E$230,3,0),0)</f>
        <v>0</v>
      </c>
      <c r="D166" s="1">
        <f>IFERROR(VLOOKUP(14,'PEDIDO 3'!$C$2:$E$230,3,0),0)</f>
        <v>0</v>
      </c>
      <c r="E166" s="1">
        <f>IFERROR(VLOOKUP(15,'PEDIDO 3'!$C$2:$E$230,3,0),0)</f>
        <v>0</v>
      </c>
      <c r="F166" s="1">
        <f>IFERROR(VLOOKUP(289,'PEDIDO 3'!$C$2:$E$230,3,0),0)</f>
        <v>0</v>
      </c>
      <c r="G166" s="18">
        <f t="shared" si="4"/>
        <v>0</v>
      </c>
    </row>
    <row r="167" spans="1:7" ht="15.75" x14ac:dyDescent="0.25">
      <c r="A167" s="15" t="str">
        <f>'PEDIDO 3'!$B$2</f>
        <v>Sorocaba-Helio Koiti Inoue Moveis</v>
      </c>
      <c r="B167" s="12" t="s">
        <v>402</v>
      </c>
      <c r="C167" s="1">
        <f>IFERROR(VLOOKUP(267,'PEDIDO 3'!$C$2:$E$230,3,0),0)</f>
        <v>0</v>
      </c>
      <c r="D167" s="1">
        <f>IFERROR(VLOOKUP(268,'PEDIDO 3'!$C$2:$E$230,3,0),0)</f>
        <v>0</v>
      </c>
      <c r="E167" s="1">
        <f>IFERROR(VLOOKUP(270,'PEDIDO 3'!$C$2:$E$230,3,0),0)</f>
        <v>0</v>
      </c>
      <c r="F167" s="1">
        <f>IFERROR(VLOOKUP(269,'PEDIDO 3'!$C$2:$E$230,3,0),0)</f>
        <v>0</v>
      </c>
      <c r="G167" s="18">
        <f t="shared" si="4"/>
        <v>0</v>
      </c>
    </row>
    <row r="168" spans="1:7" ht="15.75" x14ac:dyDescent="0.25">
      <c r="A168" s="15" t="str">
        <f>'PEDIDO 3'!$B$2</f>
        <v>Sorocaba-Helio Koiti Inoue Moveis</v>
      </c>
      <c r="B168" s="12" t="s">
        <v>403</v>
      </c>
      <c r="C168" s="1">
        <f>IFERROR(VLOOKUP(17,'PEDIDO 3'!$C$2:$E$230,3,0),0)</f>
        <v>0</v>
      </c>
      <c r="D168" s="1">
        <f>IFERROR(VLOOKUP(18,'PEDIDO 3'!$C$2:$E$230,3,0),0)</f>
        <v>0</v>
      </c>
      <c r="E168" s="1">
        <f>IFERROR(VLOOKUP(19,'PEDIDO 3'!$C$2:$E$230,3,0),0)</f>
        <v>0</v>
      </c>
      <c r="F168" s="1">
        <f>IFERROR(VLOOKUP(290,'PEDIDO 3'!$C$2:$E$230,3,0),0)</f>
        <v>0</v>
      </c>
      <c r="G168" s="18">
        <f t="shared" si="4"/>
        <v>0</v>
      </c>
    </row>
    <row r="169" spans="1:7" ht="15.75" x14ac:dyDescent="0.25">
      <c r="A169" s="15" t="str">
        <f>'PEDIDO 3'!$B$2</f>
        <v>Sorocaba-Helio Koiti Inoue Moveis</v>
      </c>
      <c r="B169" s="12" t="s">
        <v>404</v>
      </c>
      <c r="C169" s="1">
        <f>IFERROR(VLOOKUP(23,'PEDIDO 3'!$C$2:$E$230,3,0),0)</f>
        <v>0</v>
      </c>
      <c r="D169" s="1">
        <f>IFERROR(VLOOKUP(24,'PEDIDO 3'!$C$2:$E$230,3,0),0)</f>
        <v>0</v>
      </c>
      <c r="E169" s="1">
        <f>IFERROR(VLOOKUP(25,'PEDIDO 3'!$C$2:$E$230,3,0),0)</f>
        <v>0</v>
      </c>
      <c r="F169" s="1">
        <f>IFERROR(VLOOKUP(291,'PEDIDO 3'!$C$2:$E$230,3,0),0)</f>
        <v>0</v>
      </c>
      <c r="G169" s="18">
        <f t="shared" si="4"/>
        <v>0</v>
      </c>
    </row>
    <row r="170" spans="1:7" ht="15.75" x14ac:dyDescent="0.25">
      <c r="A170" s="15" t="str">
        <f>'PEDIDO 3'!$B$2</f>
        <v>Sorocaba-Helio Koiti Inoue Moveis</v>
      </c>
      <c r="B170" s="12" t="s">
        <v>405</v>
      </c>
      <c r="C170" s="1">
        <f>IFERROR(VLOOKUP(27,'PEDIDO 3'!$C$2:$E$230,3,0),0)</f>
        <v>0</v>
      </c>
      <c r="D170" s="1">
        <f>IFERROR(VLOOKUP(28,'PEDIDO 3'!$C$2:$E$230,3,0),0)</f>
        <v>0</v>
      </c>
      <c r="E170" s="1">
        <f>IFERROR(VLOOKUP(29,'PEDIDO 3'!$C$2:$E$230,3,0),0)</f>
        <v>0</v>
      </c>
      <c r="F170" s="1">
        <f>IFERROR(VLOOKUP(292,'PEDIDO 3'!$C$2:$E$230,3,0),0)</f>
        <v>0</v>
      </c>
      <c r="G170" s="18">
        <f t="shared" si="4"/>
        <v>0</v>
      </c>
    </row>
    <row r="171" spans="1:7" ht="15.75" x14ac:dyDescent="0.25">
      <c r="A171" s="15" t="str">
        <f>'PEDIDO 3'!$B$2</f>
        <v>Sorocaba-Helio Koiti Inoue Moveis</v>
      </c>
      <c r="B171" s="12" t="s">
        <v>406</v>
      </c>
      <c r="C171" s="1">
        <f>IFERROR(VLOOKUP(227,'PEDIDO 3'!$C$2:$E$230,3,0),0)</f>
        <v>0</v>
      </c>
      <c r="D171" s="1">
        <f>IFERROR(VLOOKUP(228,'PEDIDO 3'!$C$2:$E$230,3,0),0)</f>
        <v>0</v>
      </c>
      <c r="E171" s="1">
        <f>IFERROR(VLOOKUP(229,'PEDIDO 3'!$C$2:$E$230,3,0),0)</f>
        <v>0</v>
      </c>
      <c r="F171" s="1">
        <f>IFERROR(VLOOKUP(230,'PEDIDO 3'!$C$2:$E$230,3,0),0)</f>
        <v>0</v>
      </c>
      <c r="G171" s="18">
        <f t="shared" si="4"/>
        <v>0</v>
      </c>
    </row>
    <row r="172" spans="1:7" ht="15.75" x14ac:dyDescent="0.25">
      <c r="A172" s="15" t="str">
        <f>'PEDIDO 3'!$B$2</f>
        <v>Sorocaba-Helio Koiti Inoue Moveis</v>
      </c>
      <c r="B172" s="12" t="s">
        <v>407</v>
      </c>
      <c r="C172" s="1">
        <f>IFERROR(VLOOKUP(231,'PEDIDO 3'!$C$2:$E$230,3,0),0)</f>
        <v>0</v>
      </c>
      <c r="D172" s="1">
        <f>IFERROR(VLOOKUP(232,'PEDIDO 3'!$C$2:$E$230,3,0),0)</f>
        <v>0</v>
      </c>
      <c r="E172" s="1">
        <f>IFERROR(VLOOKUP(234,'PEDIDO 3'!$C$2:$E$230,3,0),0)</f>
        <v>0</v>
      </c>
      <c r="F172" s="1">
        <f>IFERROR(VLOOKUP(233,'PEDIDO 3'!$C$2:$E$230,3,0),0)</f>
        <v>0</v>
      </c>
      <c r="G172" s="18">
        <f t="shared" si="4"/>
        <v>0</v>
      </c>
    </row>
    <row r="173" spans="1:7" ht="15.75" x14ac:dyDescent="0.25">
      <c r="A173" s="15" t="str">
        <f>'PEDIDO 3'!$B$2</f>
        <v>Sorocaba-Helio Koiti Inoue Moveis</v>
      </c>
      <c r="B173" s="12" t="s">
        <v>408</v>
      </c>
      <c r="C173" s="1">
        <f>IFERROR(VLOOKUP(237,'PEDIDO 3'!$C$2:$E$230,3,0),0)</f>
        <v>0</v>
      </c>
      <c r="D173" s="1">
        <f>IFERROR(VLOOKUP(238,'PEDIDO 3'!$C$2:$E$230,3,0),0)</f>
        <v>0</v>
      </c>
      <c r="E173" s="1">
        <f>IFERROR(VLOOKUP(240,'PEDIDO 3'!$C$2:$E$230,3,0),0)</f>
        <v>0</v>
      </c>
      <c r="F173" s="1">
        <f>IFERROR(VLOOKUP(239,'PEDIDO 3'!$C$2:$E$230,3,0),0)</f>
        <v>0</v>
      </c>
      <c r="G173" s="18">
        <f t="shared" si="4"/>
        <v>0</v>
      </c>
    </row>
    <row r="174" spans="1:7" ht="15.75" x14ac:dyDescent="0.25">
      <c r="A174" s="15" t="str">
        <f>'PEDIDO 3'!$B$2</f>
        <v>Sorocaba-Helio Koiti Inoue Moveis</v>
      </c>
      <c r="B174" s="12" t="s">
        <v>409</v>
      </c>
      <c r="C174" s="1">
        <f>IFERROR(VLOOKUP(25707,'PEDIDO 3'!$C$2:$E$230,3,0),0)</f>
        <v>0</v>
      </c>
      <c r="D174" s="1">
        <f>IFERROR(VLOOKUP(25708,'PEDIDO 3'!$C$2:$E$230,3,0),0)</f>
        <v>0</v>
      </c>
      <c r="E174" s="1">
        <f>IFERROR(VLOOKUP(25710,'PEDIDO 3'!$C$2:$E$230,3,0),0)</f>
        <v>0</v>
      </c>
      <c r="F174" s="1">
        <f>IFERROR(VLOOKUP(25709,'PEDIDO 3'!$C$2:$E$230,3,0),0)</f>
        <v>1</v>
      </c>
      <c r="G174" s="18">
        <f t="shared" si="4"/>
        <v>1</v>
      </c>
    </row>
    <row r="175" spans="1:7" ht="15.75" x14ac:dyDescent="0.25">
      <c r="A175" s="15" t="str">
        <f>'PEDIDO 3'!$B$2</f>
        <v>Sorocaba-Helio Koiti Inoue Moveis</v>
      </c>
      <c r="B175" s="12" t="s">
        <v>410</v>
      </c>
      <c r="C175" s="1">
        <f>IFERROR(VLOOKUP(25711,'PEDIDO 3'!$C$2:$E$230,3,0),0)</f>
        <v>0</v>
      </c>
      <c r="D175" s="1"/>
      <c r="E175" s="1"/>
      <c r="F175" s="1"/>
      <c r="G175" s="18">
        <f t="shared" si="4"/>
        <v>0</v>
      </c>
    </row>
    <row r="176" spans="1:7" ht="15.75" x14ac:dyDescent="0.25">
      <c r="A176" s="15" t="str">
        <f>'PEDIDO 3'!$B$2</f>
        <v>Sorocaba-Helio Koiti Inoue Moveis</v>
      </c>
      <c r="B176" s="12" t="s">
        <v>411</v>
      </c>
      <c r="C176" s="1">
        <f>IFERROR(VLOOKUP(35,'PEDIDO 3'!$C$2:$E$230,3,0),0)</f>
        <v>0</v>
      </c>
      <c r="D176" s="1">
        <f>IFERROR(VLOOKUP(36,'PEDIDO 3'!$C$2:$E$230,3,0),0)</f>
        <v>0</v>
      </c>
      <c r="E176" s="1">
        <f>IFERROR(VLOOKUP(37,'PEDIDO 3'!$C$2:$E$230,3,0),0)</f>
        <v>0</v>
      </c>
      <c r="F176" s="1">
        <f>IFERROR(VLOOKUP(294,'PEDIDO 3'!$C$2:$E$230,3,0),0)</f>
        <v>0</v>
      </c>
      <c r="G176" s="18">
        <f t="shared" si="4"/>
        <v>0</v>
      </c>
    </row>
    <row r="177" spans="1:7" ht="15.75" x14ac:dyDescent="0.25">
      <c r="A177" s="15" t="str">
        <f>'PEDIDO 3'!$B$2</f>
        <v>Sorocaba-Helio Koiti Inoue Moveis</v>
      </c>
      <c r="B177" s="12" t="s">
        <v>412</v>
      </c>
      <c r="C177" s="1">
        <f>IFERROR(VLOOKUP(39,'PEDIDO 3'!$C$2:$E$230,3,0),0)</f>
        <v>0</v>
      </c>
      <c r="D177" s="1">
        <f>IFERROR(VLOOKUP(40,'PEDIDO 3'!$C$2:$E$230,3,0),0)</f>
        <v>0</v>
      </c>
      <c r="E177" s="1">
        <f>IFERROR(VLOOKUP(42,'PEDIDO 3'!$C$2:$E$230,3,0),0)</f>
        <v>0</v>
      </c>
      <c r="F177" s="1">
        <f>IFERROR(VLOOKUP(295,'PEDIDO 3'!$C$2:$E$230,3,0),0)</f>
        <v>0</v>
      </c>
      <c r="G177" s="18">
        <f t="shared" si="4"/>
        <v>0</v>
      </c>
    </row>
    <row r="178" spans="1:7" ht="15.75" x14ac:dyDescent="0.25">
      <c r="A178" s="15" t="str">
        <f>'PEDIDO 3'!$B$2</f>
        <v>Sorocaba-Helio Koiti Inoue Moveis</v>
      </c>
      <c r="B178" s="12" t="s">
        <v>413</v>
      </c>
      <c r="C178" s="1">
        <f>IFERROR(VLOOKUP(44,'PEDIDO 3'!$C$2:$E$230,3,0),0)</f>
        <v>0</v>
      </c>
      <c r="D178" s="1">
        <f>IFERROR(VLOOKUP(45,'PEDIDO 3'!$C$2:$E$230,3,0),0)</f>
        <v>0</v>
      </c>
      <c r="E178" s="1">
        <f>IFERROR(VLOOKUP(46,'PEDIDO 3'!$C$2:$E$230,3,0),0)</f>
        <v>0</v>
      </c>
      <c r="F178" s="1">
        <f>IFERROR(VLOOKUP(283,'PEDIDO 3'!$C$2:$E$230,3,0),0)</f>
        <v>0</v>
      </c>
      <c r="G178" s="18">
        <f t="shared" si="4"/>
        <v>0</v>
      </c>
    </row>
    <row r="179" spans="1:7" ht="15.75" x14ac:dyDescent="0.25">
      <c r="A179" s="15" t="str">
        <f>'PEDIDO 3'!$B$2</f>
        <v>Sorocaba-Helio Koiti Inoue Moveis</v>
      </c>
      <c r="B179" s="12" t="s">
        <v>414</v>
      </c>
      <c r="C179" s="1">
        <f>IFERROR(VLOOKUP(48,'PEDIDO 3'!$C$2:$E$230,3,0),0)</f>
        <v>0</v>
      </c>
      <c r="D179" s="1">
        <f>IFERROR(VLOOKUP(49,'PEDIDO 3'!$C$2:$E$230,3,0),0)</f>
        <v>0</v>
      </c>
      <c r="E179" s="1">
        <f>IFERROR(VLOOKUP(50,'PEDIDO 3'!$C$2:$E$230,3,0),0)</f>
        <v>0</v>
      </c>
      <c r="F179" s="1">
        <f>IFERROR(VLOOKUP(298,'PEDIDO 3'!$C$2:$E$230,3,0),0)</f>
        <v>0</v>
      </c>
      <c r="G179" s="18">
        <f t="shared" si="4"/>
        <v>0</v>
      </c>
    </row>
    <row r="180" spans="1:7" ht="15.75" x14ac:dyDescent="0.25">
      <c r="A180" s="15" t="str">
        <f>'PEDIDO 3'!$B$2</f>
        <v>Sorocaba-Helio Koiti Inoue Moveis</v>
      </c>
      <c r="B180" s="12" t="s">
        <v>415</v>
      </c>
      <c r="C180" s="1">
        <f>IFERROR(VLOOKUP(52,'PEDIDO 3'!$C$2:$E$230,3,0),0)</f>
        <v>0</v>
      </c>
      <c r="D180" s="1">
        <f>IFERROR(VLOOKUP(53,'PEDIDO 3'!$C$2:$E$230,3,0),0)</f>
        <v>0</v>
      </c>
      <c r="E180" s="1">
        <f>IFERROR(VLOOKUP(54,'PEDIDO 3'!$C$2:$E$230,3,0),0)</f>
        <v>0</v>
      </c>
      <c r="F180" s="1">
        <f>IFERROR(VLOOKUP(299,'PEDIDO 3'!$C$2:$E$230,3,0),0)</f>
        <v>0</v>
      </c>
      <c r="G180" s="18">
        <f t="shared" si="4"/>
        <v>0</v>
      </c>
    </row>
    <row r="181" spans="1:7" ht="15.75" x14ac:dyDescent="0.25">
      <c r="A181" s="15" t="str">
        <f>'PEDIDO 3'!$B$2</f>
        <v>Sorocaba-Helio Koiti Inoue Moveis</v>
      </c>
      <c r="B181" s="12" t="s">
        <v>416</v>
      </c>
      <c r="C181" s="1">
        <f>IFERROR(VLOOKUP(56,'PEDIDO 3'!$C$2:$E$230,3,0),0)</f>
        <v>0</v>
      </c>
      <c r="D181" s="1">
        <f>IFERROR(VLOOKUP(61,'PEDIDO 3'!$C$2:$E$230,3,0),0)</f>
        <v>0</v>
      </c>
      <c r="E181" s="1">
        <f>IFERROR(VLOOKUP(58,'PEDIDO 3'!$C$2:$E$230,3,0),0)</f>
        <v>0</v>
      </c>
      <c r="F181" s="1">
        <f>IFERROR(VLOOKUP(300,'PEDIDO 3'!$C$2:$E$230,3,0),0)</f>
        <v>0</v>
      </c>
      <c r="G181" s="18">
        <f t="shared" si="4"/>
        <v>0</v>
      </c>
    </row>
    <row r="182" spans="1:7" ht="15.75" x14ac:dyDescent="0.25">
      <c r="A182" s="15" t="str">
        <f>'PEDIDO 3'!$B$2</f>
        <v>Sorocaba-Helio Koiti Inoue Moveis</v>
      </c>
      <c r="B182" s="12" t="s">
        <v>417</v>
      </c>
      <c r="C182" s="1">
        <f>IFERROR(VLOOKUP(60,'PEDIDO 3'!$C$2:$E$230,3,0),0)</f>
        <v>0</v>
      </c>
      <c r="D182" s="1">
        <f>IFERROR(VLOOKUP(120,'PEDIDO 3'!$C$2:$E$230,3,0),0)</f>
        <v>0</v>
      </c>
      <c r="E182" s="1">
        <f>IFERROR(VLOOKUP(62,'PEDIDO 3'!$C$2:$E$230,3,0),0)</f>
        <v>0</v>
      </c>
      <c r="F182" s="1">
        <f>IFERROR(VLOOKUP(301,'PEDIDO 3'!$C$2:$E$230,3,0),0)</f>
        <v>0</v>
      </c>
      <c r="G182" s="18">
        <f t="shared" si="4"/>
        <v>0</v>
      </c>
    </row>
    <row r="183" spans="1:7" ht="15.75" x14ac:dyDescent="0.25">
      <c r="A183" s="15" t="str">
        <f>'PEDIDO 3'!$B$2</f>
        <v>Sorocaba-Helio Koiti Inoue Moveis</v>
      </c>
      <c r="B183" s="12" t="s">
        <v>426</v>
      </c>
      <c r="C183" s="1">
        <f>IFERROR(VLOOKUP(112,'PEDIDO 3'!$C$2:$E$230,3,0),0)</f>
        <v>0</v>
      </c>
      <c r="D183" s="1">
        <f>IFERROR(VLOOKUP(113,'PEDIDO 3'!$C$2:$E$230,3,0),0)</f>
        <v>0</v>
      </c>
      <c r="E183" s="1">
        <f>IFERROR(VLOOKUP(114,'PEDIDO 3'!$C$2:$E$230,3,0),0)</f>
        <v>0</v>
      </c>
      <c r="F183" s="1">
        <f>IFERROR(VLOOKUP(296,'PEDIDO 3'!$C$2:$E$230,3,0),0)</f>
        <v>0</v>
      </c>
      <c r="G183" s="18">
        <f t="shared" si="4"/>
        <v>0</v>
      </c>
    </row>
    <row r="184" spans="1:7" ht="15.75" x14ac:dyDescent="0.25">
      <c r="A184" s="15" t="str">
        <f>'PEDIDO 3'!$B$2</f>
        <v>Sorocaba-Helio Koiti Inoue Moveis</v>
      </c>
      <c r="B184" s="12" t="s">
        <v>427</v>
      </c>
      <c r="C184" s="1">
        <f>IFERROR(VLOOKUP(116,'PEDIDO 3'!$C$2:$E$230,3,0),0)</f>
        <v>0</v>
      </c>
      <c r="D184" s="1">
        <f>IFERROR(VLOOKUP(117,'PEDIDO 3'!$C$2:$E$230,3,0),0)</f>
        <v>0</v>
      </c>
      <c r="E184" s="1">
        <f>IFERROR(VLOOKUP(118,'PEDIDO 3'!$C$2:$E$230,3,0),0)</f>
        <v>0</v>
      </c>
      <c r="F184" s="1">
        <f>IFERROR(VLOOKUP(293,'PEDIDO 3'!$C$2:$E$230,3,0),0)</f>
        <v>0</v>
      </c>
      <c r="G184" s="18">
        <f t="shared" si="4"/>
        <v>0</v>
      </c>
    </row>
    <row r="185" spans="1:7" ht="15.75" x14ac:dyDescent="0.25">
      <c r="A185" s="15" t="str">
        <f>'PEDIDO 3'!$B$2</f>
        <v>Sorocaba-Helio Koiti Inoue Moveis</v>
      </c>
      <c r="B185" s="12" t="s">
        <v>418</v>
      </c>
      <c r="C185" s="1">
        <f>IFERROR(VLOOKUP(963,'PEDIDO 3'!$C$2:$E$230,3,0),0)</f>
        <v>0</v>
      </c>
      <c r="D185" s="1">
        <f>IFERROR(VLOOKUP(965,'PEDIDO 3'!$C$2:$E$230,3,0),0)</f>
        <v>0</v>
      </c>
      <c r="E185" s="1">
        <f>IFERROR(VLOOKUP(966,'PEDIDO 3'!$C$2:$E$230,3,0),0)</f>
        <v>0</v>
      </c>
      <c r="F185" s="1">
        <f>IFERROR(VLOOKUP(964,'PEDIDO 3'!$C$2:$E$230,3,0),0)</f>
        <v>0</v>
      </c>
      <c r="G185" s="18">
        <f t="shared" si="4"/>
        <v>0</v>
      </c>
    </row>
    <row r="186" spans="1:7" ht="15.75" x14ac:dyDescent="0.25">
      <c r="A186" s="15" t="str">
        <f>'PEDIDO 3'!$B$2</f>
        <v>Sorocaba-Helio Koiti Inoue Moveis</v>
      </c>
      <c r="B186" s="12" t="s">
        <v>419</v>
      </c>
      <c r="C186" s="1">
        <f>IFERROR(VLOOKUP(2042,'PEDIDO 3'!$C$2:$E$230,3,0),0)</f>
        <v>0</v>
      </c>
      <c r="D186" s="1">
        <f>IFERROR(VLOOKUP(2041,'PEDIDO 3'!$C$2:$E$230,3,0),0)</f>
        <v>0</v>
      </c>
      <c r="E186" s="1">
        <f>IFERROR(VLOOKUP(2043,'PEDIDO 3'!$C$2:$E$230,3,0),0)</f>
        <v>0</v>
      </c>
      <c r="F186" s="1">
        <f>IFERROR(VLOOKUP(2040,'PEDIDO 3'!$C$2:$E$230,3,0),0)</f>
        <v>0</v>
      </c>
      <c r="G186" s="18">
        <f t="shared" si="4"/>
        <v>0</v>
      </c>
    </row>
    <row r="187" spans="1:7" ht="15.75" x14ac:dyDescent="0.25">
      <c r="A187" s="15" t="str">
        <f>'PEDIDO 3'!$B$2</f>
        <v>Sorocaba-Helio Koiti Inoue Moveis</v>
      </c>
      <c r="B187" s="12" t="s">
        <v>420</v>
      </c>
      <c r="C187" s="1">
        <f>IFERROR(VLOOKUP(2045,'PEDIDO 3'!$C$2:$E$230,3,0),0)</f>
        <v>0</v>
      </c>
      <c r="D187" s="1">
        <f>IFERROR(VLOOKUP(2046,'PEDIDO 3'!$C$2:$E$230,3,0),0)</f>
        <v>0</v>
      </c>
      <c r="E187" s="1">
        <f>IFERROR(VLOOKUP(2047,'PEDIDO 3'!$C$2:$E$230,3,0),0)</f>
        <v>0</v>
      </c>
      <c r="F187" s="1">
        <f>IFERROR(VLOOKUP(2048,'PEDIDO 3'!$C$2:$E$230,3,0),0)</f>
        <v>0</v>
      </c>
      <c r="G187" s="18">
        <f t="shared" si="4"/>
        <v>0</v>
      </c>
    </row>
    <row r="188" spans="1:7" ht="15.75" x14ac:dyDescent="0.25">
      <c r="A188" s="15" t="str">
        <f>'PEDIDO 3'!$B$2</f>
        <v>Sorocaba-Helio Koiti Inoue Moveis</v>
      </c>
      <c r="B188" s="12" t="s">
        <v>421</v>
      </c>
      <c r="C188" s="1">
        <f>IFERROR(VLOOKUP(2050,'PEDIDO 3'!$C$2:$E$230,3,0),0)</f>
        <v>0</v>
      </c>
      <c r="D188" s="1">
        <f>IFERROR(VLOOKUP(2051,'PEDIDO 3'!$C$2:$E$230,3,0),0)</f>
        <v>0</v>
      </c>
      <c r="E188" s="1">
        <f>IFERROR(VLOOKUP(2052,'PEDIDO 3'!$C$2:$E$230,3,0),0)</f>
        <v>0</v>
      </c>
      <c r="F188" s="1">
        <f>IFERROR(VLOOKUP(2053,'PEDIDO 3'!$C$2:$E$230,3,0),0)</f>
        <v>0</v>
      </c>
      <c r="G188" s="18">
        <f t="shared" si="4"/>
        <v>0</v>
      </c>
    </row>
    <row r="189" spans="1:7" ht="15.75" x14ac:dyDescent="0.25">
      <c r="A189" s="15" t="str">
        <f>'PEDIDO 3'!$B$2</f>
        <v>Sorocaba-Helio Koiti Inoue Moveis</v>
      </c>
      <c r="B189" s="12" t="s">
        <v>422</v>
      </c>
      <c r="C189" s="1">
        <f>IFERROR(VLOOKUP(216,'PEDIDO 3'!$C$2:$E$230,3,0),0)</f>
        <v>0</v>
      </c>
      <c r="D189" s="1">
        <f>IFERROR(VLOOKUP(217,'PEDIDO 3'!$C$2:$E$230,3,0),0)</f>
        <v>0</v>
      </c>
      <c r="E189" s="1">
        <f>IFERROR(VLOOKUP(218,'PEDIDO 3'!$C$2:$E$230,3,0),0)</f>
        <v>0</v>
      </c>
      <c r="F189" s="1">
        <f>IFERROR(VLOOKUP(305,'PEDIDO 3'!$C$2:$E$230,3,0),0)</f>
        <v>0</v>
      </c>
      <c r="G189" s="18">
        <f t="shared" si="4"/>
        <v>0</v>
      </c>
    </row>
    <row r="190" spans="1:7" ht="15.75" x14ac:dyDescent="0.25">
      <c r="A190" s="15" t="str">
        <f>'PEDIDO 3'!$B$2</f>
        <v>Sorocaba-Helio Koiti Inoue Moveis</v>
      </c>
      <c r="B190" s="12" t="s">
        <v>423</v>
      </c>
      <c r="C190" s="1">
        <f>IFERROR(VLOOKUP(100,'PEDIDO 3'!$C$2:$E$230,3,0),0)</f>
        <v>0</v>
      </c>
      <c r="D190" s="1">
        <f>IFERROR(VLOOKUP(101,'PEDIDO 3'!$C$2:$E$230,3,0),0)</f>
        <v>0</v>
      </c>
      <c r="E190" s="1">
        <f>IFERROR(VLOOKUP(102,'PEDIDO 3'!$C$2:$E$230,3,0),0)</f>
        <v>0</v>
      </c>
      <c r="F190" s="1">
        <f>IFERROR(VLOOKUP(306,'PEDIDO 3'!$C$2:$E$230,3,0),0)</f>
        <v>0</v>
      </c>
      <c r="G190" s="18">
        <f t="shared" si="4"/>
        <v>0</v>
      </c>
    </row>
    <row r="191" spans="1:7" ht="15.75" x14ac:dyDescent="0.25">
      <c r="A191" s="15" t="str">
        <f>'PEDIDO 3'!$B$2</f>
        <v>Sorocaba-Helio Koiti Inoue Moveis</v>
      </c>
      <c r="B191" s="12" t="s">
        <v>424</v>
      </c>
      <c r="C191" s="1">
        <f>IFERROR(VLOOKUP(104,'PEDIDO 3'!$C$2:$E$230,3,0),0)</f>
        <v>0</v>
      </c>
      <c r="D191" s="1">
        <f>IFERROR(VLOOKUP(105,'PEDIDO 3'!$C$2:$E$230,3,0),0)</f>
        <v>0</v>
      </c>
      <c r="E191" s="1">
        <f>IFERROR(VLOOKUP(106,'PEDIDO 3'!$C$2:$E$230,3,0),0)</f>
        <v>0</v>
      </c>
      <c r="F191" s="1">
        <f>IFERROR(VLOOKUP(307,'PEDIDO 3'!$C$2:$E$230,3,0),0)</f>
        <v>0</v>
      </c>
      <c r="G191" s="18">
        <f t="shared" si="4"/>
        <v>0</v>
      </c>
    </row>
    <row r="192" spans="1:7" ht="15.75" x14ac:dyDescent="0.25">
      <c r="A192" s="15" t="str">
        <f>'PEDIDO 3'!$B$2</f>
        <v>Sorocaba-Helio Koiti Inoue Moveis</v>
      </c>
      <c r="B192" s="12" t="s">
        <v>425</v>
      </c>
      <c r="C192" s="1">
        <f>IFERROR(VLOOKUP(400,'PEDIDO 3'!$C$2:$E$230,3,0),0)</f>
        <v>0</v>
      </c>
      <c r="D192" s="1">
        <f>IFERROR(VLOOKUP(401,'PEDIDO 3'!$C$2:$E$230,3,0),0)</f>
        <v>0</v>
      </c>
      <c r="E192" s="1">
        <f>IFERROR(VLOOKUP(402,'PEDIDO 3'!$C$2:$E$230,3,0),0)</f>
        <v>0</v>
      </c>
      <c r="F192" s="1">
        <f>IFERROR(VLOOKUP(403,'PEDIDO 3'!$C$2:$E$230,3,0),0)</f>
        <v>0</v>
      </c>
      <c r="G192" s="18">
        <f t="shared" si="4"/>
        <v>0</v>
      </c>
    </row>
    <row r="193" spans="1:7" ht="15.75" x14ac:dyDescent="0.25">
      <c r="A193" s="15" t="str">
        <f>'PEDIDO 3'!$B$2</f>
        <v>Sorocaba-Helio Koiti Inoue Moveis</v>
      </c>
      <c r="B193" s="12" t="s">
        <v>428</v>
      </c>
      <c r="C193" s="1">
        <f>IFERROR(VLOOKUP(22,'PEDIDO 3'!$C$2:$E$230,3,0),0)</f>
        <v>0</v>
      </c>
      <c r="D193" s="1"/>
      <c r="E193" s="1"/>
      <c r="F193" s="1"/>
      <c r="G193" s="18">
        <f t="shared" si="4"/>
        <v>0</v>
      </c>
    </row>
    <row r="194" spans="1:7" ht="15.75" x14ac:dyDescent="0.25">
      <c r="A194" s="15" t="str">
        <f>'PEDIDO 3'!$B$2</f>
        <v>Sorocaba-Helio Koiti Inoue Moveis</v>
      </c>
      <c r="B194" s="12" t="s">
        <v>429</v>
      </c>
      <c r="C194" s="1">
        <f>IFERROR(VLOOKUP(21,'PEDIDO 3'!$C$2:$E$230,3,0),0)</f>
        <v>0</v>
      </c>
      <c r="D194" s="1"/>
      <c r="E194" s="1"/>
      <c r="F194" s="1"/>
      <c r="G194" s="18">
        <f t="shared" si="4"/>
        <v>0</v>
      </c>
    </row>
    <row r="195" spans="1:7" ht="15.75" x14ac:dyDescent="0.25">
      <c r="A195" s="15" t="str">
        <f>'PEDIDO 3'!$B$2</f>
        <v>Sorocaba-Helio Koiti Inoue Moveis</v>
      </c>
      <c r="B195" s="12" t="s">
        <v>430</v>
      </c>
      <c r="C195" s="1">
        <f>IFERROR(VLOOKUP(1125,'PEDIDO 3'!$C$2:$E$230,3,0),0)</f>
        <v>0</v>
      </c>
      <c r="D195" s="1">
        <f>IFERROR(VLOOKUP(1126,'PEDIDO 3'!$C$2:$E$230,3,0),0)</f>
        <v>0</v>
      </c>
      <c r="E195" s="1">
        <f>IFERROR(VLOOKUP(1127,'PEDIDO 3'!$C$2:$E$230,3,0),0)</f>
        <v>0</v>
      </c>
      <c r="F195" s="1">
        <f>IFERROR(VLOOKUP(1128,'PEDIDO 3'!$C$2:$E$230,3,0),0)</f>
        <v>0</v>
      </c>
      <c r="G195" s="18">
        <f t="shared" si="4"/>
        <v>0</v>
      </c>
    </row>
    <row r="196" spans="1:7" ht="15.75" x14ac:dyDescent="0.25">
      <c r="A196" s="15" t="str">
        <f>'PEDIDO 3'!$B$2</f>
        <v>Sorocaba-Helio Koiti Inoue Moveis</v>
      </c>
      <c r="B196" s="12" t="s">
        <v>431</v>
      </c>
      <c r="C196" s="1">
        <f>IFERROR(VLOOKUP(1133,'PEDIDO 3'!$C$2:$E$230,3,0),0)</f>
        <v>0</v>
      </c>
      <c r="D196" s="1">
        <f>IFERROR(VLOOKUP(1134,'PEDIDO 3'!$C$2:$E$230,3,0),0)</f>
        <v>0</v>
      </c>
      <c r="E196" s="1">
        <f>IFERROR(VLOOKUP(1135,'PEDIDO 3'!$C$2:$E$230,3,0),0)</f>
        <v>0</v>
      </c>
      <c r="F196" s="1">
        <f>IFERROR(VLOOKUP(1136,'PEDIDO 3'!$C$2:$E$230,3,0),0)</f>
        <v>0</v>
      </c>
      <c r="G196" s="18">
        <f t="shared" si="4"/>
        <v>0</v>
      </c>
    </row>
    <row r="197" spans="1:7" ht="15.75" x14ac:dyDescent="0.25">
      <c r="A197" s="15" t="str">
        <f>'PEDIDO 3'!$B$2</f>
        <v>Sorocaba-Helio Koiti Inoue Moveis</v>
      </c>
      <c r="B197" s="12" t="s">
        <v>432</v>
      </c>
      <c r="C197" s="1">
        <f>IFERROR(VLOOKUP(1105,'PEDIDO 3'!$C$2:$E$230,3,0),0)</f>
        <v>0</v>
      </c>
      <c r="D197" s="1">
        <f>IFERROR(VLOOKUP(1106,'PEDIDO 3'!$C$2:$E$230,3,0),0)</f>
        <v>0</v>
      </c>
      <c r="E197" s="1">
        <f>IFERROR(VLOOKUP(1107,'PEDIDO 3'!$C$2:$E$230,3,0),0)</f>
        <v>0</v>
      </c>
      <c r="F197" s="1">
        <f>IFERROR(VLOOKUP(1108,'PEDIDO 3'!$C$2:$E$230,3,0),0)</f>
        <v>0</v>
      </c>
      <c r="G197" s="18">
        <f t="shared" si="4"/>
        <v>0</v>
      </c>
    </row>
    <row r="198" spans="1:7" ht="15.75" x14ac:dyDescent="0.25">
      <c r="A198" s="15" t="str">
        <f>'PEDIDO 3'!$B$2</f>
        <v>Sorocaba-Helio Koiti Inoue Moveis</v>
      </c>
      <c r="B198" s="12" t="s">
        <v>433</v>
      </c>
      <c r="C198" s="1">
        <f>IFERROR(VLOOKUP(1109,'PEDIDO 3'!$C$2:$E$230,3,0),0)</f>
        <v>0</v>
      </c>
      <c r="D198" s="1">
        <f>IFERROR(VLOOKUP(1110,'PEDIDO 3'!$C$2:$E$230,3,0),0)</f>
        <v>0</v>
      </c>
      <c r="E198" s="1">
        <f>IFERROR(VLOOKUP(1111,'PEDIDO 3'!$C$2:$E$230,3,0),0)</f>
        <v>0</v>
      </c>
      <c r="F198" s="1">
        <f>IFERROR(VLOOKUP(1112,'PEDIDO 3'!$C$2:$E$230,3,0),0)</f>
        <v>0</v>
      </c>
      <c r="G198" s="18">
        <f t="shared" si="4"/>
        <v>0</v>
      </c>
    </row>
    <row r="199" spans="1:7" ht="15.75" x14ac:dyDescent="0.25">
      <c r="A199" s="15" t="str">
        <f>'PEDIDO 3'!$B$2</f>
        <v>Sorocaba-Helio Koiti Inoue Moveis</v>
      </c>
      <c r="B199" s="12" t="s">
        <v>434</v>
      </c>
      <c r="C199" s="1">
        <f>IFERROR(VLOOKUP(1113,'PEDIDO 3'!$C$2:$E$230,3,0),0)</f>
        <v>0</v>
      </c>
      <c r="D199" s="1">
        <f>IFERROR(VLOOKUP(1114,'PEDIDO 3'!$C$2:$E$230,3,0),0)</f>
        <v>0</v>
      </c>
      <c r="E199" s="1">
        <f>IFERROR(VLOOKUP(1115,'PEDIDO 3'!$C$2:$E$230,3,0),0)</f>
        <v>0</v>
      </c>
      <c r="F199" s="1">
        <f>IFERROR(VLOOKUP(1116,'PEDIDO 3'!$C$2:$E$230,3,0),0)</f>
        <v>0</v>
      </c>
      <c r="G199" s="18">
        <f t="shared" si="4"/>
        <v>0</v>
      </c>
    </row>
    <row r="200" spans="1:7" ht="15.75" x14ac:dyDescent="0.25">
      <c r="A200" s="15" t="str">
        <f>'PEDIDO 3'!$B$2</f>
        <v>Sorocaba-Helio Koiti Inoue Moveis</v>
      </c>
      <c r="B200" s="12" t="s">
        <v>435</v>
      </c>
      <c r="C200" s="1">
        <f>IFERROR(VLOOKUP(1117,'PEDIDO 3'!$C$2:$E$230,3,0),0)</f>
        <v>0</v>
      </c>
      <c r="D200" s="1">
        <f>IFERROR(VLOOKUP(1118,'PEDIDO 3'!$C$2:$E$230,3,0),0)</f>
        <v>0</v>
      </c>
      <c r="E200" s="1">
        <f>IFERROR(VLOOKUP(1119,'PEDIDO 3'!$C$2:$E$230,3,0),0)</f>
        <v>0</v>
      </c>
      <c r="F200" s="1">
        <f>IFERROR(VLOOKUP(1120,'PEDIDO 3'!$C$2:$E$230,3,0),0)</f>
        <v>0</v>
      </c>
      <c r="G200" s="18">
        <f t="shared" si="4"/>
        <v>0</v>
      </c>
    </row>
    <row r="201" spans="1:7" ht="15.75" x14ac:dyDescent="0.25">
      <c r="A201" s="15" t="str">
        <f>'PEDIDO 3'!$B$2</f>
        <v>Sorocaba-Helio Koiti Inoue Moveis</v>
      </c>
      <c r="B201" s="12" t="s">
        <v>436</v>
      </c>
      <c r="C201" s="1">
        <f>IFERROR(VLOOKUP(1121,'PEDIDO 3'!$C$2:$E$230,3,0),0)</f>
        <v>0</v>
      </c>
      <c r="D201" s="1">
        <f>IFERROR(VLOOKUP(1122,'PEDIDO 3'!$C$2:$E$230,3,0),0)</f>
        <v>0</v>
      </c>
      <c r="E201" s="1">
        <f>IFERROR(VLOOKUP(1123,'PEDIDO 3'!$C$2:$E$230,3,0),0)</f>
        <v>0</v>
      </c>
      <c r="F201" s="1">
        <f>IFERROR(VLOOKUP(1124,'PEDIDO 3'!$C$2:$E$230,3,0),0)</f>
        <v>0</v>
      </c>
      <c r="G201" s="18">
        <f t="shared" si="4"/>
        <v>0</v>
      </c>
    </row>
    <row r="202" spans="1:7" ht="15.75" x14ac:dyDescent="0.25">
      <c r="A202" s="15" t="str">
        <f>'PEDIDO 3'!$B$2</f>
        <v>Sorocaba-Helio Koiti Inoue Moveis</v>
      </c>
      <c r="B202" s="12" t="s">
        <v>437</v>
      </c>
      <c r="C202" s="1">
        <f>IFERROR(VLOOKUP(1129,'PEDIDO 3'!$C$2:$E$230,3,0),0)</f>
        <v>0</v>
      </c>
      <c r="D202" s="1">
        <f>IFERROR(VLOOKUP(1130,'PEDIDO 3'!$C$2:$E$230,3,0),0)</f>
        <v>0</v>
      </c>
      <c r="E202" s="1">
        <f>IFERROR(VLOOKUP(1131,'PEDIDO 3'!$C$2:$E$230,3,0),0)</f>
        <v>0</v>
      </c>
      <c r="F202" s="1">
        <f>IFERROR(VLOOKUP(1132,'PEDIDO 3'!$C$2:$E$230,3,0),0)</f>
        <v>0</v>
      </c>
      <c r="G202" s="18">
        <f t="shared" si="4"/>
        <v>0</v>
      </c>
    </row>
    <row r="203" spans="1:7" ht="15.75" x14ac:dyDescent="0.25">
      <c r="A203" s="15" t="str">
        <f>'PEDIDO 3'!$B$2</f>
        <v>Sorocaba-Helio Koiti Inoue Moveis</v>
      </c>
      <c r="B203" s="12" t="s">
        <v>438</v>
      </c>
      <c r="C203" s="1">
        <f>IFERROR(VLOOKUP(1137,'PEDIDO 3'!$C$2:$E$230,3,0),0)</f>
        <v>0</v>
      </c>
      <c r="D203" s="1">
        <f>IFERROR(VLOOKUP(1138,'PEDIDO 3'!$C$2:$E$230,3,0),0)</f>
        <v>0</v>
      </c>
      <c r="E203" s="1">
        <f>IFERROR(VLOOKUP(1139,'PEDIDO 3'!$C$2:$E$230,3,0),0)</f>
        <v>0</v>
      </c>
      <c r="F203" s="1">
        <f>IFERROR(VLOOKUP(1140,'PEDIDO 3'!$C$2:$E$230,3,0),0)</f>
        <v>0</v>
      </c>
      <c r="G203" s="18">
        <f t="shared" si="4"/>
        <v>0</v>
      </c>
    </row>
    <row r="204" spans="1:7" ht="15.75" x14ac:dyDescent="0.25">
      <c r="A204" s="15" t="str">
        <f>'PEDIDO 3'!$B$2</f>
        <v>Sorocaba-Helio Koiti Inoue Moveis</v>
      </c>
      <c r="B204" s="12" t="s">
        <v>439</v>
      </c>
      <c r="C204" s="1">
        <f>IFERROR(VLOOKUP(1141,'PEDIDO 3'!$C$2:$E$230,3,0),0)</f>
        <v>0</v>
      </c>
      <c r="D204" s="1">
        <f>IFERROR(VLOOKUP(1142,'PEDIDO 3'!$C$2:$E$230,3,0),0)</f>
        <v>0</v>
      </c>
      <c r="E204" s="1">
        <f>IFERROR(VLOOKUP(1143,'PEDIDO 3'!$C$2:$E$230,3,0),0)</f>
        <v>0</v>
      </c>
      <c r="F204" s="1">
        <f>IFERROR(VLOOKUP(1144,'PEDIDO 3'!$C$2:$E$230,3,0),0)</f>
        <v>0</v>
      </c>
      <c r="G204" s="18">
        <f t="shared" si="4"/>
        <v>0</v>
      </c>
    </row>
    <row r="205" spans="1:7" ht="15.75" x14ac:dyDescent="0.25">
      <c r="A205" s="15" t="str">
        <f>'PEDIDO 3'!$B$2</f>
        <v>Sorocaba-Helio Koiti Inoue Moveis</v>
      </c>
      <c r="B205" s="12" t="s">
        <v>440</v>
      </c>
      <c r="C205" s="1">
        <f>IFERROR(VLOOKUP(1145,'PEDIDO 3'!$C$2:$E$230,3,0),0)</f>
        <v>0</v>
      </c>
      <c r="D205" s="1">
        <f>IFERROR(VLOOKUP(1146,'PEDIDO 3'!$C$2:$E$230,3,0),0)</f>
        <v>0</v>
      </c>
      <c r="E205" s="1">
        <f>IFERROR(VLOOKUP(1147,'PEDIDO 3'!$C$2:$E$230,3,0),0)</f>
        <v>0</v>
      </c>
      <c r="F205" s="1">
        <f>IFERROR(VLOOKUP(1148,'PEDIDO 3'!$C$2:$E$230,3,0),0)</f>
        <v>0</v>
      </c>
      <c r="G205" s="18">
        <f t="shared" si="4"/>
        <v>0</v>
      </c>
    </row>
    <row r="206" spans="1:7" ht="15.75" x14ac:dyDescent="0.25">
      <c r="A206" s="15" t="str">
        <f>'PEDIDO 3'!$B$2</f>
        <v>Sorocaba-Helio Koiti Inoue Moveis</v>
      </c>
      <c r="B206" s="12" t="s">
        <v>441</v>
      </c>
      <c r="C206" s="1">
        <f>IFERROR(VLOOKUP(1149,'PEDIDO 3'!$C$2:$E$230,3,0),0)</f>
        <v>0</v>
      </c>
      <c r="D206" s="1">
        <f>IFERROR(VLOOKUP(1150,'PEDIDO 3'!$C$2:$E$230,3,0),0)</f>
        <v>0</v>
      </c>
      <c r="E206" s="1">
        <f>IFERROR(VLOOKUP(1151,'PEDIDO 3'!$C$2:$E$230,3,0),0)</f>
        <v>0</v>
      </c>
      <c r="F206" s="1">
        <f>IFERROR(VLOOKUP(1152,'PEDIDO 3'!$C$2:$E$230,3,0),0)</f>
        <v>0</v>
      </c>
      <c r="G206" s="18">
        <f t="shared" si="4"/>
        <v>0</v>
      </c>
    </row>
    <row r="207" spans="1:7" ht="15.75" x14ac:dyDescent="0.25">
      <c r="A207" s="15" t="str">
        <f>'PEDIDO 3'!$B$2</f>
        <v>Sorocaba-Helio Koiti Inoue Moveis</v>
      </c>
      <c r="B207" s="12" t="s">
        <v>442</v>
      </c>
      <c r="C207" s="1">
        <f>IFERROR(VLOOKUP(1153,'PEDIDO 3'!$C$2:$E$230,3,0),0)</f>
        <v>0</v>
      </c>
      <c r="D207" s="1">
        <f>IFERROR(VLOOKUP(1154,'PEDIDO 3'!$C$2:$E$230,3,0),0)</f>
        <v>0</v>
      </c>
      <c r="E207" s="1">
        <f>IFERROR(VLOOKUP(1155,'PEDIDO 3'!$C$2:$E$230,3,0),0)</f>
        <v>0</v>
      </c>
      <c r="F207" s="1">
        <f>IFERROR(VLOOKUP(1156,'PEDIDO 3'!$C$2:$E$230,3,0),0)</f>
        <v>0</v>
      </c>
      <c r="G207" s="18">
        <f t="shared" si="4"/>
        <v>0</v>
      </c>
    </row>
    <row r="208" spans="1:7" ht="15.75" x14ac:dyDescent="0.25">
      <c r="A208" s="15" t="str">
        <f>'PEDIDO 3'!$B$2</f>
        <v>Sorocaba-Helio Koiti Inoue Moveis</v>
      </c>
      <c r="B208" s="12" t="s">
        <v>443</v>
      </c>
      <c r="C208" s="1">
        <f>IFERROR(VLOOKUP(1157,'PEDIDO 3'!$C$2:$E$230,3,0),0)</f>
        <v>0</v>
      </c>
      <c r="D208" s="1">
        <f>IFERROR(VLOOKUP(1158,'PEDIDO 3'!$C$2:$E$230,3,0),0)</f>
        <v>0</v>
      </c>
      <c r="E208" s="1">
        <f>IFERROR(VLOOKUP(1159,'PEDIDO 3'!$C$2:$E$230,3,0),0)</f>
        <v>0</v>
      </c>
      <c r="F208" s="1">
        <f>IFERROR(VLOOKUP(1160,'PEDIDO 3'!$C$2:$E$230,3,0),0)</f>
        <v>0</v>
      </c>
      <c r="G208" s="18">
        <f t="shared" si="4"/>
        <v>0</v>
      </c>
    </row>
    <row r="209" spans="1:7" ht="15.75" x14ac:dyDescent="0.25">
      <c r="A209" s="15" t="str">
        <f>'PEDIDO 3'!$B$2</f>
        <v>Sorocaba-Helio Koiti Inoue Moveis</v>
      </c>
      <c r="B209" s="12" t="s">
        <v>444</v>
      </c>
      <c r="C209" s="1">
        <f>IFERROR(VLOOKUP(1161,'PEDIDO 3'!$C$2:$E$230,3,0),0)</f>
        <v>0</v>
      </c>
      <c r="D209" s="1">
        <f>IFERROR(VLOOKUP(1162,'PEDIDO 3'!$C$2:$E$230,3,0),0)</f>
        <v>0</v>
      </c>
      <c r="E209" s="1">
        <f>IFERROR(VLOOKUP(1163,'PEDIDO 3'!$C$2:$E$230,3,0),0)</f>
        <v>0</v>
      </c>
      <c r="F209" s="1">
        <f>IFERROR(VLOOKUP(1164,'PEDIDO 3'!$C$2:$E$230,3,0),0)</f>
        <v>0</v>
      </c>
      <c r="G209" s="18">
        <f t="shared" si="4"/>
        <v>0</v>
      </c>
    </row>
    <row r="210" spans="1:7" ht="15.75" x14ac:dyDescent="0.25">
      <c r="A210" s="15" t="str">
        <f>'PEDIDO 3'!$B$2</f>
        <v>Sorocaba-Helio Koiti Inoue Moveis</v>
      </c>
      <c r="B210" s="12" t="s">
        <v>445</v>
      </c>
      <c r="C210" s="1">
        <f>IFERROR(VLOOKUP(1165,'PEDIDO 3'!$C$2:$E$230,3,0),0)</f>
        <v>0</v>
      </c>
      <c r="D210" s="1">
        <f>IFERROR(VLOOKUP(1166,'PEDIDO 3'!$C$2:$E$230,3,0),0)</f>
        <v>0</v>
      </c>
      <c r="E210" s="1">
        <f>IFERROR(VLOOKUP(1167,'PEDIDO 3'!$C$2:$E$230,3,0),0)</f>
        <v>0</v>
      </c>
      <c r="F210" s="1">
        <f>IFERROR(VLOOKUP(1168,'PEDIDO 3'!$C$2:$E$230,3,0),0)</f>
        <v>0</v>
      </c>
      <c r="G210" s="18">
        <f t="shared" si="4"/>
        <v>0</v>
      </c>
    </row>
    <row r="211" spans="1:7" ht="15.75" x14ac:dyDescent="0.25">
      <c r="A211" s="15" t="str">
        <f>'PEDIDO 3'!$B$2</f>
        <v>Sorocaba-Helio Koiti Inoue Moveis</v>
      </c>
      <c r="B211" s="12" t="s">
        <v>446</v>
      </c>
      <c r="C211" s="1">
        <f>IFERROR(VLOOKUP(1169,'PEDIDO 3'!$C$2:$E$230,3,0),0)</f>
        <v>0</v>
      </c>
      <c r="D211" s="1">
        <f>IFERROR(VLOOKUP(1170,'PEDIDO 3'!$C$2:$E$230,3,0),0)</f>
        <v>0</v>
      </c>
      <c r="E211" s="1">
        <f>IFERROR(VLOOKUP(1171,'PEDIDO 3'!$C$2:$E$230,3,0),0)</f>
        <v>0</v>
      </c>
      <c r="F211" s="1">
        <f>IFERROR(VLOOKUP(1172,'PEDIDO 3'!$C$2:$E$230,3,0),0)</f>
        <v>0</v>
      </c>
      <c r="G211" s="18">
        <f t="shared" si="4"/>
        <v>0</v>
      </c>
    </row>
    <row r="212" spans="1:7" ht="15.75" x14ac:dyDescent="0.25">
      <c r="A212" s="15" t="str">
        <f>'PEDIDO 3'!$B$2</f>
        <v>Sorocaba-Helio Koiti Inoue Moveis</v>
      </c>
      <c r="B212" s="12" t="s">
        <v>447</v>
      </c>
      <c r="C212" s="1">
        <f>IFERROR(VLOOKUP(1173,'PEDIDO 3'!$C$2:$E$230,3,0),0)</f>
        <v>0</v>
      </c>
      <c r="D212" s="1">
        <f>IFERROR(VLOOKUP(1174,'PEDIDO 3'!$C$2:$E$230,3,0),0)</f>
        <v>0</v>
      </c>
      <c r="E212" s="1">
        <f>IFERROR(VLOOKUP(1175,'PEDIDO 3'!$C$2:$E$230,3,0),0)</f>
        <v>0</v>
      </c>
      <c r="F212" s="1">
        <f>IFERROR(VLOOKUP(1176,'PEDIDO 3'!$C$2:$E$230,3,0),0)</f>
        <v>0</v>
      </c>
      <c r="G212" s="18">
        <f t="shared" si="4"/>
        <v>0</v>
      </c>
    </row>
    <row r="213" spans="1:7" ht="15.75" x14ac:dyDescent="0.25">
      <c r="A213" s="15" t="str">
        <f>'PEDIDO 3'!$B$2</f>
        <v>Sorocaba-Helio Koiti Inoue Moveis</v>
      </c>
      <c r="B213" s="12" t="s">
        <v>448</v>
      </c>
      <c r="C213" s="1">
        <f>IFERROR(VLOOKUP(1249,'PEDIDO 3'!$C$2:$E$230,3,0),0)</f>
        <v>0</v>
      </c>
      <c r="D213" s="1">
        <f>IFERROR(VLOOKUP(1250,'PEDIDO 3'!$C$2:$E$230,3,0),0)</f>
        <v>0</v>
      </c>
      <c r="E213" s="1">
        <f>IFERROR(VLOOKUP(1251,'PEDIDO 3'!$C$2:$E$230,3,0),0)</f>
        <v>0</v>
      </c>
      <c r="F213" s="1">
        <f>IFERROR(VLOOKUP(1252,'PEDIDO 3'!$C$2:$E$230,3,0),0)</f>
        <v>0</v>
      </c>
      <c r="G213" s="18">
        <f t="shared" si="4"/>
        <v>0</v>
      </c>
    </row>
    <row r="214" spans="1:7" ht="15.75" x14ac:dyDescent="0.25">
      <c r="A214" s="15" t="str">
        <f>'PEDIDO 3'!$B$2</f>
        <v>Sorocaba-Helio Koiti Inoue Moveis</v>
      </c>
      <c r="B214" s="12" t="s">
        <v>449</v>
      </c>
      <c r="C214" s="1">
        <f>IFERROR(VLOOKUP(1177,'PEDIDO 3'!$C$2:$E$230,3,0),0)</f>
        <v>0</v>
      </c>
      <c r="D214" s="1">
        <f>IFERROR(VLOOKUP(1178,'PEDIDO 3'!$C$2:$E$230,3,0),0)</f>
        <v>0</v>
      </c>
      <c r="E214" s="1">
        <f>IFERROR(VLOOKUP(1179,'PEDIDO 3'!$C$2:$E$230,3,0),0)</f>
        <v>0</v>
      </c>
      <c r="F214" s="1">
        <f>IFERROR(VLOOKUP(1180,'PEDIDO 3'!$C$2:$E$230,3,0),0)</f>
        <v>0</v>
      </c>
      <c r="G214" s="18">
        <f t="shared" si="4"/>
        <v>0</v>
      </c>
    </row>
    <row r="215" spans="1:7" ht="15.75" x14ac:dyDescent="0.25">
      <c r="A215" s="15" t="str">
        <f>'PEDIDO 3'!$B$2</f>
        <v>Sorocaba-Helio Koiti Inoue Moveis</v>
      </c>
      <c r="B215" s="12" t="s">
        <v>450</v>
      </c>
      <c r="C215" s="1">
        <f>IFERROR(VLOOKUP(1181,'PEDIDO 3'!$C$2:$E$230,3,0),0)</f>
        <v>0</v>
      </c>
      <c r="D215" s="1">
        <f>IFERROR(VLOOKUP(1182,'PEDIDO 3'!$C$2:$E$230,3,0),0)</f>
        <v>0</v>
      </c>
      <c r="E215" s="1">
        <f>IFERROR(VLOOKUP(1183,'PEDIDO 3'!$C$2:$E$230,3,0),0)</f>
        <v>0</v>
      </c>
      <c r="F215" s="1">
        <f>IFERROR(VLOOKUP(1184,'PEDIDO 3'!$C$2:$E$230,3,0),0)</f>
        <v>0</v>
      </c>
      <c r="G215" s="18">
        <f t="shared" si="4"/>
        <v>0</v>
      </c>
    </row>
    <row r="216" spans="1:7" ht="15.75" x14ac:dyDescent="0.25">
      <c r="A216" s="15" t="str">
        <f>'PEDIDO 3'!$B$2</f>
        <v>Sorocaba-Helio Koiti Inoue Moveis</v>
      </c>
      <c r="B216" s="12" t="s">
        <v>451</v>
      </c>
      <c r="C216" s="1">
        <f>IFERROR(VLOOKUP(1185,'PEDIDO 3'!$C$2:$E$230,3,0),0)</f>
        <v>0</v>
      </c>
      <c r="D216" s="1">
        <f>IFERROR(VLOOKUP(1186,'PEDIDO 3'!$C$2:$E$230,3,0),0)</f>
        <v>0</v>
      </c>
      <c r="E216" s="1">
        <f>IFERROR(VLOOKUP(1187,'PEDIDO 3'!$C$2:$E$230,3,0),0)</f>
        <v>0</v>
      </c>
      <c r="F216" s="1">
        <f>IFERROR(VLOOKUP(1188,'PEDIDO 3'!$C$2:$E$230,3,0),0)</f>
        <v>0</v>
      </c>
      <c r="G216" s="18">
        <f t="shared" si="4"/>
        <v>0</v>
      </c>
    </row>
    <row r="217" spans="1:7" ht="15.75" x14ac:dyDescent="0.25">
      <c r="A217" s="15" t="str">
        <f>'PEDIDO 3'!$B$2</f>
        <v>Sorocaba-Helio Koiti Inoue Moveis</v>
      </c>
      <c r="B217" s="12" t="s">
        <v>452</v>
      </c>
      <c r="C217" s="1">
        <f>IFERROR(VLOOKUP(1189,'PEDIDO 3'!$C$2:$E$230,3,0),0)</f>
        <v>0</v>
      </c>
      <c r="D217" s="1">
        <f>IFERROR(VLOOKUP(1190,'PEDIDO 3'!$C$2:$E$230,3,0),0)</f>
        <v>0</v>
      </c>
      <c r="E217" s="1">
        <f>IFERROR(VLOOKUP(1191,'PEDIDO 3'!$C$2:$E$230,3,0),0)</f>
        <v>0</v>
      </c>
      <c r="F217" s="1">
        <f>IFERROR(VLOOKUP(1192,'PEDIDO 3'!$C$2:$E$230,3,0),0)</f>
        <v>0</v>
      </c>
      <c r="G217" s="18">
        <f t="shared" si="4"/>
        <v>0</v>
      </c>
    </row>
    <row r="218" spans="1:7" ht="15.75" x14ac:dyDescent="0.25">
      <c r="A218" s="15" t="str">
        <f>'PEDIDO 3'!$B$2</f>
        <v>Sorocaba-Helio Koiti Inoue Moveis</v>
      </c>
      <c r="B218" s="12" t="s">
        <v>453</v>
      </c>
      <c r="C218" s="1">
        <f>IFERROR(VLOOKUP(1193,'PEDIDO 3'!$C$2:$E$230,3,0),0)</f>
        <v>0</v>
      </c>
      <c r="D218" s="1">
        <f>IFERROR(VLOOKUP(1194,'PEDIDO 3'!$C$2:$E$230,3,0),0)</f>
        <v>0</v>
      </c>
      <c r="E218" s="1">
        <f>IFERROR(VLOOKUP(1195,'PEDIDO 3'!$C$2:$E$230,3,0),0)</f>
        <v>0</v>
      </c>
      <c r="F218" s="1">
        <f>IFERROR(VLOOKUP(1196,'PEDIDO 3'!$C$2:$E$230,3,0),0)</f>
        <v>0</v>
      </c>
      <c r="G218" s="18">
        <f t="shared" si="4"/>
        <v>0</v>
      </c>
    </row>
    <row r="219" spans="1:7" ht="15.75" x14ac:dyDescent="0.25">
      <c r="A219" s="15" t="str">
        <f>'PEDIDO 3'!$B$2</f>
        <v>Sorocaba-Helio Koiti Inoue Moveis</v>
      </c>
      <c r="B219" s="12" t="s">
        <v>454</v>
      </c>
      <c r="C219" s="1">
        <f>IFERROR(VLOOKUP(1197,'PEDIDO 3'!$C$2:$E$230,3,0),0)</f>
        <v>0</v>
      </c>
      <c r="D219" s="1">
        <f>IFERROR(VLOOKUP(1198,'PEDIDO 3'!$C$2:$E$230,3,0),0)</f>
        <v>0</v>
      </c>
      <c r="E219" s="1">
        <f>IFERROR(VLOOKUP(1199,'PEDIDO 3'!$C$2:$E$230,3,0),0)</f>
        <v>0</v>
      </c>
      <c r="F219" s="1">
        <f>IFERROR(VLOOKUP(1200,'PEDIDO 3'!$C$2:$E$230,3,0),0)</f>
        <v>0</v>
      </c>
      <c r="G219" s="18">
        <f t="shared" si="4"/>
        <v>0</v>
      </c>
    </row>
    <row r="220" spans="1:7" ht="15.75" x14ac:dyDescent="0.25">
      <c r="A220" s="15" t="str">
        <f>'PEDIDO 3'!$B$2</f>
        <v>Sorocaba-Helio Koiti Inoue Moveis</v>
      </c>
      <c r="B220" s="12" t="s">
        <v>455</v>
      </c>
      <c r="C220" s="1">
        <f>IFERROR(VLOOKUP(1201,'PEDIDO 3'!$C$2:$E$230,3,0),0)</f>
        <v>0</v>
      </c>
      <c r="D220" s="1">
        <f>IFERROR(VLOOKUP(1202,'PEDIDO 3'!$C$2:$E$230,3,0),0)</f>
        <v>0</v>
      </c>
      <c r="E220" s="1">
        <f>IFERROR(VLOOKUP(1203,'PEDIDO 3'!$C$2:$E$230,3,0),0)</f>
        <v>0</v>
      </c>
      <c r="F220" s="1">
        <f>IFERROR(VLOOKUP(1204,'PEDIDO 3'!$C$2:$E$230,3,0),0)</f>
        <v>0</v>
      </c>
      <c r="G220" s="18">
        <f t="shared" si="4"/>
        <v>0</v>
      </c>
    </row>
    <row r="221" spans="1:7" ht="15.75" x14ac:dyDescent="0.25">
      <c r="A221" s="15" t="str">
        <f>'PEDIDO 3'!$B$2</f>
        <v>Sorocaba-Helio Koiti Inoue Moveis</v>
      </c>
      <c r="B221" s="12" t="s">
        <v>456</v>
      </c>
      <c r="C221" s="1">
        <f>IFERROR(VLOOKUP(1205,'PEDIDO 3'!$C$2:$E$230,3,0),0)</f>
        <v>0</v>
      </c>
      <c r="D221" s="1">
        <f>IFERROR(VLOOKUP(1206,'PEDIDO 3'!$C$2:$E$230,3,0),0)</f>
        <v>0</v>
      </c>
      <c r="E221" s="1">
        <f>IFERROR(VLOOKUP(1207,'PEDIDO 3'!$C$2:$E$230,3,0),0)</f>
        <v>0</v>
      </c>
      <c r="F221" s="1">
        <f>IFERROR(VLOOKUP(1208,'PEDIDO 3'!$C$2:$E$230,3,0),0)</f>
        <v>0</v>
      </c>
      <c r="G221" s="18">
        <f t="shared" si="4"/>
        <v>0</v>
      </c>
    </row>
    <row r="222" spans="1:7" ht="15.75" x14ac:dyDescent="0.25">
      <c r="A222" s="15" t="str">
        <f>'PEDIDO 3'!$B$2</f>
        <v>Sorocaba-Helio Koiti Inoue Moveis</v>
      </c>
      <c r="B222" s="12" t="s">
        <v>457</v>
      </c>
      <c r="C222" s="1">
        <f>IFERROR(VLOOKUP(1213,'PEDIDO 3'!$C$2:$E$230,3,0),0)</f>
        <v>0</v>
      </c>
      <c r="D222" s="1">
        <f>IFERROR(VLOOKUP(1214,'PEDIDO 3'!$C$2:$E$230,3,0),0)</f>
        <v>0</v>
      </c>
      <c r="E222" s="1">
        <f>IFERROR(VLOOKUP(1215,'PEDIDO 3'!$C$2:$E$230,3,0),0)</f>
        <v>0</v>
      </c>
      <c r="F222" s="10">
        <f>IFERROR(VLOOKUP(1216,'PEDIDO 3'!$C$2:$E$230,3,0),0)</f>
        <v>0</v>
      </c>
      <c r="G222" s="18">
        <f t="shared" si="4"/>
        <v>0</v>
      </c>
    </row>
    <row r="223" spans="1:7" ht="15.75" x14ac:dyDescent="0.25">
      <c r="A223" s="15" t="str">
        <f>'PEDIDO 3'!$B$2</f>
        <v>Sorocaba-Helio Koiti Inoue Moveis</v>
      </c>
      <c r="B223" s="12" t="s">
        <v>458</v>
      </c>
      <c r="C223" s="1">
        <f>IFERROR(VLOOKUP(1209,'PEDIDO 3'!$C$2:$E$230,3,0),0)</f>
        <v>0</v>
      </c>
      <c r="D223" s="1">
        <f>IFERROR(VLOOKUP(1210,'PEDIDO 3'!$C$2:$E$230,3,0),0)</f>
        <v>0</v>
      </c>
      <c r="E223" s="1">
        <f>IFERROR(VLOOKUP(1211,'PEDIDO 3'!$C$2:$E$230,3,0),0)</f>
        <v>0</v>
      </c>
      <c r="F223" s="1">
        <f>IFERROR(VLOOKUP(1212,'PEDIDO 3'!$C$2:$E$230,3,0),0)</f>
        <v>0</v>
      </c>
      <c r="G223" s="18">
        <f t="shared" si="4"/>
        <v>0</v>
      </c>
    </row>
    <row r="224" spans="1:7" ht="15.75" x14ac:dyDescent="0.25">
      <c r="A224" s="15" t="str">
        <f>'PEDIDO 3'!$B$2</f>
        <v>Sorocaba-Helio Koiti Inoue Moveis</v>
      </c>
      <c r="B224" s="12" t="s">
        <v>459</v>
      </c>
      <c r="C224" s="1">
        <f>IFERROR(VLOOKUP(1217,'PEDIDO 3'!$C$2:$E$230,3,0),0)</f>
        <v>0</v>
      </c>
      <c r="D224" s="1">
        <f>IFERROR(VLOOKUP(1218,'PEDIDO 3'!$C$2:$E$230,3,0),0)</f>
        <v>0</v>
      </c>
      <c r="E224" s="1">
        <f>IFERROR(VLOOKUP(1219,'PEDIDO 3'!$C$2:$E$230,3,0),0)</f>
        <v>0</v>
      </c>
      <c r="F224" s="1">
        <f>IFERROR(VLOOKUP(1220,'PEDIDO 3'!$C$2:$E$230,3,0),0)</f>
        <v>0</v>
      </c>
      <c r="G224" s="18">
        <f t="shared" si="4"/>
        <v>0</v>
      </c>
    </row>
    <row r="225" spans="1:7" ht="15.75" x14ac:dyDescent="0.25">
      <c r="A225" s="15" t="str">
        <f>'PEDIDO 3'!$B$2</f>
        <v>Sorocaba-Helio Koiti Inoue Moveis</v>
      </c>
      <c r="B225" s="12" t="s">
        <v>461</v>
      </c>
      <c r="C225" s="1">
        <f>IFERROR(VLOOKUP(1225,'PEDIDO 3'!$C$2:$E$230,3,0),0)</f>
        <v>0</v>
      </c>
      <c r="D225" s="1">
        <f>IFERROR(VLOOKUP(1226,'PEDIDO 3'!$C$2:$E$230,3,0),0)</f>
        <v>0</v>
      </c>
      <c r="E225" s="1">
        <f>IFERROR(VLOOKUP(1227,'PEDIDO 3'!$C$2:$E$230,3,0),0)</f>
        <v>0</v>
      </c>
      <c r="F225" s="1">
        <f>IFERROR(VLOOKUP(1228,'PEDIDO 3'!$C$2:$E$230,3,0),0)</f>
        <v>0</v>
      </c>
      <c r="G225" s="18">
        <f t="shared" si="4"/>
        <v>0</v>
      </c>
    </row>
    <row r="226" spans="1:7" ht="15.75" x14ac:dyDescent="0.25">
      <c r="A226" s="15" t="str">
        <f>'PEDIDO 3'!$B$2</f>
        <v>Sorocaba-Helio Koiti Inoue Moveis</v>
      </c>
      <c r="B226" s="12" t="s">
        <v>462</v>
      </c>
      <c r="C226" s="1">
        <f>IFERROR(VLOOKUP(1221,'PEDIDO 3'!$C$2:$E$230,3,0),0)</f>
        <v>0</v>
      </c>
      <c r="D226" s="1">
        <f>IFERROR(VLOOKUP(1222,'PEDIDO 3'!$C$2:$E$230,3,0),0)</f>
        <v>0</v>
      </c>
      <c r="E226" s="1">
        <f>IFERROR(VLOOKUP(1223,'PEDIDO 3'!$C$2:$E$230,3,0),0)</f>
        <v>0</v>
      </c>
      <c r="F226" s="1">
        <f>IFERROR(VLOOKUP(1224,'PEDIDO 3'!$C$2:$E$230,3,0),0)</f>
        <v>0</v>
      </c>
      <c r="G226" s="18">
        <f t="shared" si="4"/>
        <v>0</v>
      </c>
    </row>
    <row r="227" spans="1:7" ht="15.75" x14ac:dyDescent="0.25">
      <c r="A227" s="15" t="str">
        <f>'PEDIDO 3'!$B$2</f>
        <v>Sorocaba-Helio Koiti Inoue Moveis</v>
      </c>
      <c r="B227" s="12" t="s">
        <v>460</v>
      </c>
      <c r="C227" s="1">
        <f>IFERROR(VLOOKUP(1229,'PEDIDO 3'!$C$2:$E$230,3,0),0)</f>
        <v>0</v>
      </c>
      <c r="D227" s="1">
        <f>IFERROR(VLOOKUP(1230,'PEDIDO 3'!$C$2:$E$230,3,0),0)</f>
        <v>0</v>
      </c>
      <c r="E227" s="1">
        <f>IFERROR(VLOOKUP(1231,'PEDIDO 3'!$C$2:$E$230,3,0),0)</f>
        <v>0</v>
      </c>
      <c r="F227" s="1">
        <f>IFERROR(VLOOKUP(1232,'PEDIDO 3'!$C$2:$E$230,3,0),0)</f>
        <v>1</v>
      </c>
      <c r="G227" s="18">
        <f t="shared" si="4"/>
        <v>1</v>
      </c>
    </row>
    <row r="228" spans="1:7" ht="15.75" x14ac:dyDescent="0.25">
      <c r="A228" s="15" t="str">
        <f>'PEDIDO 3'!$B$2</f>
        <v>Sorocaba-Helio Koiti Inoue Moveis</v>
      </c>
      <c r="B228" s="12" t="s">
        <v>463</v>
      </c>
      <c r="C228" s="1">
        <f>IFERROR(VLOOKUP(1233,'PEDIDO 3'!$C$2:$E$230,3,0),0)</f>
        <v>0</v>
      </c>
      <c r="D228" s="1">
        <f>IFERROR(VLOOKUP(1234,'PEDIDO 3'!$C$2:$E$230,3,0),0)</f>
        <v>0</v>
      </c>
      <c r="E228" s="1">
        <f>IFERROR(VLOOKUP(1235,'PEDIDO 3'!$C$2:$E$230,3,0),0)</f>
        <v>0</v>
      </c>
      <c r="F228" s="1">
        <f>IFERROR(VLOOKUP(1236,'PEDIDO 3'!$C$2:$E$230,3,0),0)</f>
        <v>0</v>
      </c>
      <c r="G228" s="18">
        <f t="shared" si="4"/>
        <v>0</v>
      </c>
    </row>
    <row r="229" spans="1:7" ht="15.75" x14ac:dyDescent="0.25">
      <c r="A229" s="15" t="str">
        <f>'PEDIDO 3'!$B$2</f>
        <v>Sorocaba-Helio Koiti Inoue Moveis</v>
      </c>
      <c r="B229" s="12" t="s">
        <v>464</v>
      </c>
      <c r="C229" s="1">
        <f>IFERROR(VLOOKUP(1237,'PEDIDO 3'!$C$2:$E$230,3,0),0)</f>
        <v>0</v>
      </c>
      <c r="D229" s="1">
        <f>IFERROR(VLOOKUP(1238,'PEDIDO 3'!$C$2:$E$230,3,0),0)</f>
        <v>0</v>
      </c>
      <c r="E229" s="1">
        <f>IFERROR(VLOOKUP(1239,'PEDIDO 3'!$C$2:$E$230,3,0),0)</f>
        <v>0</v>
      </c>
      <c r="F229" s="1">
        <f>IFERROR(VLOOKUP(1240,'PEDIDO 3'!$C$2:$E$230,3,0),0)</f>
        <v>0</v>
      </c>
      <c r="G229" s="18">
        <f t="shared" ref="G229:G241" si="5">SUM(C229+D229+E229+F229)</f>
        <v>0</v>
      </c>
    </row>
    <row r="230" spans="1:7" ht="15.75" x14ac:dyDescent="0.25">
      <c r="A230" s="15" t="str">
        <f>'PEDIDO 3'!$B$2</f>
        <v>Sorocaba-Helio Koiti Inoue Moveis</v>
      </c>
      <c r="B230" s="12" t="s">
        <v>465</v>
      </c>
      <c r="C230" s="1">
        <f>IFERROR(VLOOKUP(1241,'PEDIDO 3'!$C$2:$E$230,3,0),0)</f>
        <v>0</v>
      </c>
      <c r="D230" s="1">
        <f>IFERROR(VLOOKUP(1242,'PEDIDO 3'!$C$2:$E$230,3,0),0)</f>
        <v>0</v>
      </c>
      <c r="E230" s="1">
        <f>IFERROR(VLOOKUP(1243,'PEDIDO 3'!$C$2:$E$230,3,0),0)</f>
        <v>0</v>
      </c>
      <c r="F230" s="1">
        <f>IFERROR(VLOOKUP(1244,'PEDIDO 3'!$C$2:$E$230,3,0),0)</f>
        <v>0</v>
      </c>
      <c r="G230" s="18">
        <f t="shared" si="5"/>
        <v>0</v>
      </c>
    </row>
    <row r="231" spans="1:7" ht="15.75" x14ac:dyDescent="0.25">
      <c r="A231" s="15" t="str">
        <f>'PEDIDO 3'!$B$2</f>
        <v>Sorocaba-Helio Koiti Inoue Moveis</v>
      </c>
      <c r="B231" s="12" t="s">
        <v>466</v>
      </c>
      <c r="C231" s="1">
        <f>IFERROR(VLOOKUP(1245,'PEDIDO 3'!$C$2:$E$230,3,0),0)</f>
        <v>0</v>
      </c>
      <c r="D231" s="1">
        <f>IFERROR(VLOOKUP(1246,'PEDIDO 3'!$C$2:$E$230,3,0),0)</f>
        <v>0</v>
      </c>
      <c r="E231" s="1">
        <f>IFERROR(VLOOKUP(1247,'PEDIDO 3'!$C$2:$E$230,3,0),0)</f>
        <v>0</v>
      </c>
      <c r="F231" s="1">
        <f>IFERROR(VLOOKUP(1248,'PEDIDO 3'!$C$2:$E$230,3,0),0)</f>
        <v>0</v>
      </c>
      <c r="G231" s="18">
        <f t="shared" si="5"/>
        <v>0</v>
      </c>
    </row>
    <row r="232" spans="1:7" ht="15.75" x14ac:dyDescent="0.25">
      <c r="A232" s="15" t="str">
        <f>'PEDIDO 3'!$B$2</f>
        <v>Sorocaba-Helio Koiti Inoue Moveis</v>
      </c>
      <c r="B232" s="12" t="s">
        <v>467</v>
      </c>
      <c r="C232" s="1">
        <f>IFERROR(VLOOKUP(25714,'PEDIDO 3'!$C$2:$E$230,3,0),0)</f>
        <v>0</v>
      </c>
      <c r="D232" s="1"/>
      <c r="E232" s="1"/>
      <c r="F232" s="1"/>
      <c r="G232" s="18">
        <f t="shared" si="5"/>
        <v>0</v>
      </c>
    </row>
    <row r="233" spans="1:7" ht="15.75" x14ac:dyDescent="0.25">
      <c r="A233" s="15" t="str">
        <f>'PEDIDO 3'!$B$2</f>
        <v>Sorocaba-Helio Koiti Inoue Moveis</v>
      </c>
      <c r="B233" s="12" t="s">
        <v>468</v>
      </c>
      <c r="C233" s="1">
        <f>IFERROR(VLOOKUP(25712,'PEDIDO 3'!$C$2:$E$230,3,0),0)</f>
        <v>0</v>
      </c>
      <c r="D233" s="1"/>
      <c r="E233" s="1"/>
      <c r="F233" s="1"/>
      <c r="G233" s="18">
        <f t="shared" si="5"/>
        <v>0</v>
      </c>
    </row>
    <row r="234" spans="1:7" ht="15.75" x14ac:dyDescent="0.25">
      <c r="A234" s="15" t="str">
        <f>'PEDIDO 3'!$B$2</f>
        <v>Sorocaba-Helio Koiti Inoue Moveis</v>
      </c>
      <c r="B234" s="12" t="s">
        <v>469</v>
      </c>
      <c r="C234" s="1">
        <f>IFERROR(VLOOKUP(25713,'PEDIDO 3'!$C$2:$E$230,3,0),0)</f>
        <v>0</v>
      </c>
      <c r="D234" s="1"/>
      <c r="E234" s="1"/>
      <c r="F234" s="1"/>
      <c r="G234" s="18">
        <f t="shared" si="5"/>
        <v>0</v>
      </c>
    </row>
    <row r="235" spans="1:7" ht="15.75" x14ac:dyDescent="0.25">
      <c r="A235" s="15" t="str">
        <f>'PEDIDO 3'!$B$2</f>
        <v>Sorocaba-Helio Koiti Inoue Moveis</v>
      </c>
      <c r="B235" s="12" t="s">
        <v>470</v>
      </c>
      <c r="C235" s="1">
        <f>IFERROR(VLOOKUP(1260,'PEDIDO 3'!$C$2:$E$230,3,0),0)</f>
        <v>0</v>
      </c>
      <c r="D235" s="1"/>
      <c r="E235" s="1"/>
      <c r="F235" s="1"/>
      <c r="G235" s="18">
        <f t="shared" si="5"/>
        <v>0</v>
      </c>
    </row>
    <row r="236" spans="1:7" ht="15.75" x14ac:dyDescent="0.25">
      <c r="A236" s="15" t="str">
        <f>'PEDIDO 3'!$B$2</f>
        <v>Sorocaba-Helio Koiti Inoue Moveis</v>
      </c>
      <c r="B236" s="12" t="s">
        <v>471</v>
      </c>
      <c r="C236" s="1">
        <f>IFERROR(VLOOKUP(1261,'PEDIDO 3'!$C$2:$E$230,3,0),0)</f>
        <v>0</v>
      </c>
      <c r="D236" s="1"/>
      <c r="E236" s="1"/>
      <c r="F236" s="1"/>
      <c r="G236" s="18">
        <f t="shared" si="5"/>
        <v>0</v>
      </c>
    </row>
    <row r="237" spans="1:7" ht="15.75" x14ac:dyDescent="0.25">
      <c r="A237" s="15" t="str">
        <f>'PEDIDO 3'!$B$2</f>
        <v>Sorocaba-Helio Koiti Inoue Moveis</v>
      </c>
      <c r="B237" s="12" t="s">
        <v>472</v>
      </c>
      <c r="C237" s="1">
        <f>IFERROR(VLOOKUP(1262,'PEDIDO 3'!$C$2:$E$230,3,0),0)</f>
        <v>0</v>
      </c>
      <c r="D237" s="1"/>
      <c r="E237" s="1"/>
      <c r="F237" s="1"/>
      <c r="G237" s="18">
        <f t="shared" si="5"/>
        <v>0</v>
      </c>
    </row>
    <row r="238" spans="1:7" ht="15.75" x14ac:dyDescent="0.25">
      <c r="A238" s="15" t="str">
        <f>'PEDIDO 3'!$B$2</f>
        <v>Sorocaba-Helio Koiti Inoue Moveis</v>
      </c>
      <c r="B238" s="12" t="s">
        <v>473</v>
      </c>
      <c r="C238" s="1">
        <f>IFERROR(VLOOKUP(1263,'PEDIDO 3'!$C$2:$E$230,3,0),0)</f>
        <v>0</v>
      </c>
      <c r="D238" s="1"/>
      <c r="E238" s="1"/>
      <c r="F238" s="1"/>
      <c r="G238" s="18">
        <f t="shared" si="5"/>
        <v>0</v>
      </c>
    </row>
    <row r="239" spans="1:7" ht="15.75" x14ac:dyDescent="0.25">
      <c r="A239" s="15" t="str">
        <f>'PEDIDO 3'!$B$2</f>
        <v>Sorocaba-Helio Koiti Inoue Moveis</v>
      </c>
      <c r="B239" s="12" t="s">
        <v>474</v>
      </c>
      <c r="C239" s="1">
        <f>IFERROR(VLOOKUP(1264,'PEDIDO 3'!$C$2:$E$230,3,0),0)</f>
        <v>0</v>
      </c>
      <c r="D239" s="1"/>
      <c r="E239" s="1"/>
      <c r="F239" s="1"/>
      <c r="G239" s="18">
        <f t="shared" si="5"/>
        <v>0</v>
      </c>
    </row>
    <row r="240" spans="1:7" ht="15.75" x14ac:dyDescent="0.25">
      <c r="A240" s="15" t="str">
        <f>'PEDIDO 3'!$B$2</f>
        <v>Sorocaba-Helio Koiti Inoue Moveis</v>
      </c>
      <c r="B240" s="12" t="s">
        <v>475</v>
      </c>
      <c r="C240" s="1">
        <f>IFERROR(VLOOKUP(1265,'PEDIDO 3'!$C$2:$E$230,3,0),0)</f>
        <v>0</v>
      </c>
      <c r="D240" s="1"/>
      <c r="E240" s="1"/>
      <c r="F240" s="1"/>
      <c r="G240" s="18">
        <f t="shared" si="5"/>
        <v>0</v>
      </c>
    </row>
    <row r="241" spans="1:7" ht="15.75" x14ac:dyDescent="0.25">
      <c r="A241" s="15" t="str">
        <f>'PEDIDO 3'!$B$2</f>
        <v>Sorocaba-Helio Koiti Inoue Moveis</v>
      </c>
      <c r="B241" s="12" t="s">
        <v>476</v>
      </c>
      <c r="C241" s="1">
        <f>IFERROR(VLOOKUP(1266,'PEDIDO 3'!$C$2:$E$230,3,0),0)</f>
        <v>0</v>
      </c>
      <c r="D241" s="1"/>
      <c r="E241" s="1"/>
      <c r="F241" s="1"/>
      <c r="G241" s="18">
        <f t="shared" si="5"/>
        <v>0</v>
      </c>
    </row>
    <row r="242" spans="1:7" ht="15.75" x14ac:dyDescent="0.25">
      <c r="A242" s="15" t="str">
        <f>'PEDIDO 3'!$B$2</f>
        <v>Sorocaba-Helio Koiti Inoue Moveis</v>
      </c>
      <c r="B242" s="12" t="s">
        <v>477</v>
      </c>
      <c r="C242" s="1">
        <f>IFERROR(VLOOKUP(1268,'PEDIDO 3'!$C$2:$E$230,3,0),0)</f>
        <v>0</v>
      </c>
      <c r="D242" s="1">
        <f>IFERROR(VLOOKUP(1269,'PEDIDO 3'!$C$2:$E$230,3,0),0)</f>
        <v>0</v>
      </c>
      <c r="E242" s="1">
        <f>IFERROR(VLOOKUP(1270,'PEDIDO 3'!$C$2:$E$230,3,0),0)</f>
        <v>0</v>
      </c>
      <c r="F242" s="1">
        <f>IFERROR(VLOOKUP(1271,'PEDIDO 3'!$C$2:$E$230,3,0),0)</f>
        <v>0</v>
      </c>
      <c r="G242" s="18">
        <f>SUM(C242+D242+E242+F242)</f>
        <v>0</v>
      </c>
    </row>
    <row r="243" spans="1:7" ht="15.75" x14ac:dyDescent="0.25">
      <c r="A243" s="17"/>
      <c r="B243" s="13"/>
      <c r="C243" s="13"/>
      <c r="D243" s="13"/>
      <c r="E243" s="13"/>
      <c r="F243" s="13"/>
      <c r="G243" s="19"/>
    </row>
    <row r="244" spans="1:7" ht="15.75" x14ac:dyDescent="0.25">
      <c r="A244" s="17"/>
      <c r="B244" s="13"/>
      <c r="C244" s="13"/>
      <c r="D244" s="13"/>
      <c r="E244" s="13"/>
      <c r="F244" s="13"/>
      <c r="G244" s="19"/>
    </row>
    <row r="245" spans="1:7" ht="15.75" x14ac:dyDescent="0.25">
      <c r="A245" s="15" t="str">
        <f>'PEDIDO 4'!$B$2</f>
        <v>Sorocaba-Orlando Motoku Yabiku Me</v>
      </c>
      <c r="B245" s="12" t="s">
        <v>399</v>
      </c>
      <c r="C245" s="1">
        <f>IFERROR(VLOOKUP(1,'PEDIDO 4'!$C$2:$E$230,3,0),0)</f>
        <v>0</v>
      </c>
      <c r="D245" s="1">
        <f>IFERROR(VLOOKUP(2,'PEDIDO 4'!$C$2:$E$230,3,0),0)</f>
        <v>0</v>
      </c>
      <c r="E245" s="1">
        <f>IFERROR(VLOOKUP(3,'PEDIDO 4'!$C$2:$E$230,3,0),0)</f>
        <v>0</v>
      </c>
      <c r="F245" s="1">
        <f>IFERROR(VLOOKUP(282,'PEDIDO 4'!$C$2:$E$230,3,0),0)</f>
        <v>0</v>
      </c>
      <c r="G245" s="18">
        <f>SUM(C245+D245+E245+F245)</f>
        <v>0</v>
      </c>
    </row>
    <row r="246" spans="1:7" ht="15.75" x14ac:dyDescent="0.25">
      <c r="A246" s="15" t="str">
        <f>'PEDIDO 4'!$B$2</f>
        <v>Sorocaba-Orlando Motoku Yabiku Me</v>
      </c>
      <c r="B246" s="12" t="s">
        <v>400</v>
      </c>
      <c r="C246" s="1">
        <f>IFERROR(VLOOKUP(5,'PEDIDO 4'!$C$2:$E$230,3,0),0)</f>
        <v>0</v>
      </c>
      <c r="D246" s="1">
        <f>IFERROR(VLOOKUP(6,'PEDIDO 4'!$C$2:$E$230,3,0),0)</f>
        <v>0</v>
      </c>
      <c r="E246" s="1">
        <f>IFERROR(VLOOKUP(7,'PEDIDO 4'!$C$2:$E$230,3,0),0)</f>
        <v>0</v>
      </c>
      <c r="F246" s="1">
        <f>IFERROR(VLOOKUP(258,'PEDIDO 4'!$C$2:$E$230,3,0),0)</f>
        <v>0</v>
      </c>
      <c r="G246" s="18">
        <f t="shared" ref="G246:G309" si="6">SUM(C246+D246+E246+F246)</f>
        <v>0</v>
      </c>
    </row>
    <row r="247" spans="1:7" ht="15.75" x14ac:dyDescent="0.25">
      <c r="A247" s="15" t="str">
        <f>'PEDIDO 4'!$B$2</f>
        <v>Sorocaba-Orlando Motoku Yabiku Me</v>
      </c>
      <c r="B247" s="12" t="s">
        <v>401</v>
      </c>
      <c r="C247" s="1">
        <f>IFERROR(VLOOKUP(13,'PEDIDO 4'!$C$2:$E$230,3,0),0)</f>
        <v>0</v>
      </c>
      <c r="D247" s="1">
        <f>IFERROR(VLOOKUP(14,'PEDIDO 4'!$C$2:$E$230,3,0),0)</f>
        <v>0</v>
      </c>
      <c r="E247" s="1">
        <f>IFERROR(VLOOKUP(15,'PEDIDO 4'!$C$2:$E$230,3,0),0)</f>
        <v>0</v>
      </c>
      <c r="F247" s="1">
        <f>IFERROR(VLOOKUP(289,'PEDIDO 4'!$C$2:$E$230,3,0),0)</f>
        <v>0</v>
      </c>
      <c r="G247" s="18">
        <f t="shared" si="6"/>
        <v>0</v>
      </c>
    </row>
    <row r="248" spans="1:7" ht="15.75" x14ac:dyDescent="0.25">
      <c r="A248" s="15" t="str">
        <f>'PEDIDO 4'!$B$2</f>
        <v>Sorocaba-Orlando Motoku Yabiku Me</v>
      </c>
      <c r="B248" s="12" t="s">
        <v>402</v>
      </c>
      <c r="C248" s="1">
        <f>IFERROR(VLOOKUP(267,'PEDIDO 4'!$C$2:$E$230,3,0),0)</f>
        <v>0</v>
      </c>
      <c r="D248" s="1">
        <f>IFERROR(VLOOKUP(268,'PEDIDO 4'!$C$2:$E$230,3,0),0)</f>
        <v>0</v>
      </c>
      <c r="E248" s="1">
        <f>IFERROR(VLOOKUP(270,'PEDIDO 4'!$C$2:$E$230,3,0),0)</f>
        <v>0</v>
      </c>
      <c r="F248" s="1">
        <f>IFERROR(VLOOKUP(269,'PEDIDO 4'!$C$2:$E$230,3,0),0)</f>
        <v>0</v>
      </c>
      <c r="G248" s="18">
        <f t="shared" si="6"/>
        <v>0</v>
      </c>
    </row>
    <row r="249" spans="1:7" ht="15.75" x14ac:dyDescent="0.25">
      <c r="A249" s="15" t="str">
        <f>'PEDIDO 4'!$B$2</f>
        <v>Sorocaba-Orlando Motoku Yabiku Me</v>
      </c>
      <c r="B249" s="12" t="s">
        <v>403</v>
      </c>
      <c r="C249" s="1">
        <f>IFERROR(VLOOKUP(17,'PEDIDO 4'!$C$2:$E$230,3,0),0)</f>
        <v>0</v>
      </c>
      <c r="D249" s="1">
        <f>IFERROR(VLOOKUP(18,'PEDIDO 4'!$C$2:$E$230,3,0),0)</f>
        <v>0</v>
      </c>
      <c r="E249" s="1">
        <f>IFERROR(VLOOKUP(19,'PEDIDO 4'!$C$2:$E$230,3,0),0)</f>
        <v>0</v>
      </c>
      <c r="F249" s="1">
        <f>IFERROR(VLOOKUP(290,'PEDIDO 4'!$C$2:$E$230,3,0),0)</f>
        <v>0</v>
      </c>
      <c r="G249" s="18">
        <f t="shared" si="6"/>
        <v>0</v>
      </c>
    </row>
    <row r="250" spans="1:7" ht="15.75" x14ac:dyDescent="0.25">
      <c r="A250" s="15" t="str">
        <f>'PEDIDO 4'!$B$2</f>
        <v>Sorocaba-Orlando Motoku Yabiku Me</v>
      </c>
      <c r="B250" s="12" t="s">
        <v>404</v>
      </c>
      <c r="C250" s="1">
        <f>IFERROR(VLOOKUP(23,'PEDIDO 4'!$C$2:$E$230,3,0),0)</f>
        <v>0</v>
      </c>
      <c r="D250" s="1">
        <f>IFERROR(VLOOKUP(24,'PEDIDO 4'!$C$2:$E$230,3,0),0)</f>
        <v>0</v>
      </c>
      <c r="E250" s="1">
        <f>IFERROR(VLOOKUP(25,'PEDIDO 4'!$C$2:$E$230,3,0),0)</f>
        <v>0</v>
      </c>
      <c r="F250" s="1">
        <f>IFERROR(VLOOKUP(291,'PEDIDO 4'!$C$2:$E$230,3,0),0)</f>
        <v>0</v>
      </c>
      <c r="G250" s="18">
        <f t="shared" si="6"/>
        <v>0</v>
      </c>
    </row>
    <row r="251" spans="1:7" ht="15.75" x14ac:dyDescent="0.25">
      <c r="A251" s="15" t="str">
        <f>'PEDIDO 4'!$B$2</f>
        <v>Sorocaba-Orlando Motoku Yabiku Me</v>
      </c>
      <c r="B251" s="12" t="s">
        <v>405</v>
      </c>
      <c r="C251" s="1">
        <f>IFERROR(VLOOKUP(27,'PEDIDO 4'!$C$2:$E$230,3,0),0)</f>
        <v>0</v>
      </c>
      <c r="D251" s="1">
        <f>IFERROR(VLOOKUP(28,'PEDIDO 4'!$C$2:$E$230,3,0),0)</f>
        <v>0</v>
      </c>
      <c r="E251" s="1">
        <f>IFERROR(VLOOKUP(29,'PEDIDO 4'!$C$2:$E$230,3,0),0)</f>
        <v>0</v>
      </c>
      <c r="F251" s="1">
        <f>IFERROR(VLOOKUP(292,'PEDIDO 4'!$C$2:$E$230,3,0),0)</f>
        <v>0</v>
      </c>
      <c r="G251" s="18">
        <f t="shared" si="6"/>
        <v>0</v>
      </c>
    </row>
    <row r="252" spans="1:7" ht="15.75" x14ac:dyDescent="0.25">
      <c r="A252" s="15" t="str">
        <f>'PEDIDO 4'!$B$2</f>
        <v>Sorocaba-Orlando Motoku Yabiku Me</v>
      </c>
      <c r="B252" s="12" t="s">
        <v>406</v>
      </c>
      <c r="C252" s="1">
        <f>IFERROR(VLOOKUP(227,'PEDIDO 4'!$C$2:$E$230,3,0),0)</f>
        <v>0</v>
      </c>
      <c r="D252" s="1">
        <f>IFERROR(VLOOKUP(228,'PEDIDO 4'!$C$2:$E$230,3,0),0)</f>
        <v>0</v>
      </c>
      <c r="E252" s="1">
        <f>IFERROR(VLOOKUP(229,'PEDIDO 4'!$C$2:$E$230,3,0),0)</f>
        <v>0</v>
      </c>
      <c r="F252" s="1">
        <f>IFERROR(VLOOKUP(230,'PEDIDO 4'!$C$2:$E$230,3,0),0)</f>
        <v>0</v>
      </c>
      <c r="G252" s="18">
        <f t="shared" si="6"/>
        <v>0</v>
      </c>
    </row>
    <row r="253" spans="1:7" ht="15.75" x14ac:dyDescent="0.25">
      <c r="A253" s="15" t="str">
        <f>'PEDIDO 4'!$B$2</f>
        <v>Sorocaba-Orlando Motoku Yabiku Me</v>
      </c>
      <c r="B253" s="12" t="s">
        <v>407</v>
      </c>
      <c r="C253" s="1">
        <f>IFERROR(VLOOKUP(231,'PEDIDO 4'!$C$2:$E$230,3,0),0)</f>
        <v>0</v>
      </c>
      <c r="D253" s="1">
        <f>IFERROR(VLOOKUP(232,'PEDIDO 4'!$C$2:$E$230,3,0),0)</f>
        <v>0</v>
      </c>
      <c r="E253" s="1">
        <f>IFERROR(VLOOKUP(234,'PEDIDO 4'!$C$2:$E$230,3,0),0)</f>
        <v>0</v>
      </c>
      <c r="F253" s="1">
        <f>IFERROR(VLOOKUP(233,'PEDIDO 4'!$C$2:$E$230,3,0),0)</f>
        <v>0</v>
      </c>
      <c r="G253" s="18">
        <f t="shared" si="6"/>
        <v>0</v>
      </c>
    </row>
    <row r="254" spans="1:7" ht="15.75" x14ac:dyDescent="0.25">
      <c r="A254" s="15" t="str">
        <f>'PEDIDO 4'!$B$2</f>
        <v>Sorocaba-Orlando Motoku Yabiku Me</v>
      </c>
      <c r="B254" s="12" t="s">
        <v>408</v>
      </c>
      <c r="C254" s="1">
        <f>IFERROR(VLOOKUP(237,'PEDIDO 4'!$C$2:$E$230,3,0),0)</f>
        <v>0</v>
      </c>
      <c r="D254" s="1">
        <f>IFERROR(VLOOKUP(238,'PEDIDO 4'!$C$2:$E$230,3,0),0)</f>
        <v>0</v>
      </c>
      <c r="E254" s="1">
        <f>IFERROR(VLOOKUP(240,'PEDIDO 4'!$C$2:$E$230,3,0),0)</f>
        <v>0</v>
      </c>
      <c r="F254" s="1">
        <f>IFERROR(VLOOKUP(239,'PEDIDO 4'!$C$2:$E$230,3,0),0)</f>
        <v>0</v>
      </c>
      <c r="G254" s="18">
        <f t="shared" si="6"/>
        <v>0</v>
      </c>
    </row>
    <row r="255" spans="1:7" ht="15.75" x14ac:dyDescent="0.25">
      <c r="A255" s="15" t="str">
        <f>'PEDIDO 4'!$B$2</f>
        <v>Sorocaba-Orlando Motoku Yabiku Me</v>
      </c>
      <c r="B255" s="12" t="s">
        <v>409</v>
      </c>
      <c r="C255" s="1">
        <f>IFERROR(VLOOKUP(25707,'PEDIDO 4'!$C$2:$E$230,3,0),0)</f>
        <v>0</v>
      </c>
      <c r="D255" s="1">
        <f>IFERROR(VLOOKUP(25708,'PEDIDO 4'!$C$2:$E$230,3,0),0)</f>
        <v>0</v>
      </c>
      <c r="E255" s="1">
        <f>IFERROR(VLOOKUP(25710,'PEDIDO 4'!$C$2:$E$230,3,0),0)</f>
        <v>0</v>
      </c>
      <c r="F255" s="1">
        <f>IFERROR(VLOOKUP(25709,'PEDIDO 4'!$C$2:$E$230,3,0),0)</f>
        <v>0</v>
      </c>
      <c r="G255" s="18">
        <f t="shared" si="6"/>
        <v>0</v>
      </c>
    </row>
    <row r="256" spans="1:7" ht="15.75" x14ac:dyDescent="0.25">
      <c r="A256" s="15" t="str">
        <f>'PEDIDO 4'!$B$2</f>
        <v>Sorocaba-Orlando Motoku Yabiku Me</v>
      </c>
      <c r="B256" s="12" t="s">
        <v>410</v>
      </c>
      <c r="C256" s="1">
        <f>IFERROR(VLOOKUP(25711,'PEDIDO 4'!$C$2:$E$230,3,0),0)</f>
        <v>0</v>
      </c>
      <c r="D256" s="1"/>
      <c r="E256" s="1"/>
      <c r="F256" s="1"/>
      <c r="G256" s="18">
        <f t="shared" si="6"/>
        <v>0</v>
      </c>
    </row>
    <row r="257" spans="1:7" ht="15.75" x14ac:dyDescent="0.25">
      <c r="A257" s="15" t="str">
        <f>'PEDIDO 4'!$B$2</f>
        <v>Sorocaba-Orlando Motoku Yabiku Me</v>
      </c>
      <c r="B257" s="12" t="s">
        <v>411</v>
      </c>
      <c r="C257" s="1">
        <f>IFERROR(VLOOKUP(35,'PEDIDO 4'!$C$2:$E$230,3,0),0)</f>
        <v>0</v>
      </c>
      <c r="D257" s="1">
        <f>IFERROR(VLOOKUP(36,'PEDIDO 4'!$C$2:$E$230,3,0),0)</f>
        <v>0</v>
      </c>
      <c r="E257" s="1">
        <f>IFERROR(VLOOKUP(37,'PEDIDO 4'!$C$2:$E$230,3,0),0)</f>
        <v>0</v>
      </c>
      <c r="F257" s="1">
        <f>IFERROR(VLOOKUP(294,'PEDIDO 4'!$C$2:$E$230,3,0),0)</f>
        <v>0</v>
      </c>
      <c r="G257" s="18">
        <f t="shared" si="6"/>
        <v>0</v>
      </c>
    </row>
    <row r="258" spans="1:7" ht="15.75" x14ac:dyDescent="0.25">
      <c r="A258" s="15" t="str">
        <f>'PEDIDO 4'!$B$2</f>
        <v>Sorocaba-Orlando Motoku Yabiku Me</v>
      </c>
      <c r="B258" s="12" t="s">
        <v>412</v>
      </c>
      <c r="C258" s="1">
        <f>IFERROR(VLOOKUP(39,'PEDIDO 4'!$C$2:$E$230,3,0),0)</f>
        <v>0</v>
      </c>
      <c r="D258" s="1">
        <f>IFERROR(VLOOKUP(40,'PEDIDO 4'!$C$2:$E$230,3,0),0)</f>
        <v>0</v>
      </c>
      <c r="E258" s="1">
        <f>IFERROR(VLOOKUP(42,'PEDIDO 4'!$C$2:$E$230,3,0),0)</f>
        <v>0</v>
      </c>
      <c r="F258" s="1">
        <f>IFERROR(VLOOKUP(295,'PEDIDO 4'!$C$2:$E$230,3,0),0)</f>
        <v>0</v>
      </c>
      <c r="G258" s="18">
        <f t="shared" si="6"/>
        <v>0</v>
      </c>
    </row>
    <row r="259" spans="1:7" ht="15.75" x14ac:dyDescent="0.25">
      <c r="A259" s="15" t="str">
        <f>'PEDIDO 4'!$B$2</f>
        <v>Sorocaba-Orlando Motoku Yabiku Me</v>
      </c>
      <c r="B259" s="12" t="s">
        <v>413</v>
      </c>
      <c r="C259" s="1">
        <f>IFERROR(VLOOKUP(44,'PEDIDO 4'!$C$2:$E$230,3,0),0)</f>
        <v>0</v>
      </c>
      <c r="D259" s="1">
        <f>IFERROR(VLOOKUP(45,'PEDIDO 4'!$C$2:$E$230,3,0),0)</f>
        <v>0</v>
      </c>
      <c r="E259" s="1">
        <f>IFERROR(VLOOKUP(46,'PEDIDO 4'!$C$2:$E$230,3,0),0)</f>
        <v>0</v>
      </c>
      <c r="F259" s="1">
        <f>IFERROR(VLOOKUP(283,'PEDIDO 4'!$C$2:$E$230,3,0),0)</f>
        <v>0</v>
      </c>
      <c r="G259" s="18">
        <f t="shared" si="6"/>
        <v>0</v>
      </c>
    </row>
    <row r="260" spans="1:7" ht="15.75" x14ac:dyDescent="0.25">
      <c r="A260" s="15" t="str">
        <f>'PEDIDO 4'!$B$2</f>
        <v>Sorocaba-Orlando Motoku Yabiku Me</v>
      </c>
      <c r="B260" s="12" t="s">
        <v>414</v>
      </c>
      <c r="C260" s="1">
        <f>IFERROR(VLOOKUP(48,'PEDIDO 4'!$C$2:$E$230,3,0),0)</f>
        <v>0</v>
      </c>
      <c r="D260" s="1">
        <f>IFERROR(VLOOKUP(49,'PEDIDO 4'!$C$2:$E$230,3,0),0)</f>
        <v>0</v>
      </c>
      <c r="E260" s="1">
        <f>IFERROR(VLOOKUP(50,'PEDIDO 4'!$C$2:$E$230,3,0),0)</f>
        <v>0</v>
      </c>
      <c r="F260" s="1">
        <f>IFERROR(VLOOKUP(298,'PEDIDO 4'!$C$2:$E$230,3,0),0)</f>
        <v>0</v>
      </c>
      <c r="G260" s="18">
        <f t="shared" si="6"/>
        <v>0</v>
      </c>
    </row>
    <row r="261" spans="1:7" ht="15.75" x14ac:dyDescent="0.25">
      <c r="A261" s="15" t="str">
        <f>'PEDIDO 4'!$B$2</f>
        <v>Sorocaba-Orlando Motoku Yabiku Me</v>
      </c>
      <c r="B261" s="12" t="s">
        <v>415</v>
      </c>
      <c r="C261" s="1">
        <f>IFERROR(VLOOKUP(52,'PEDIDO 4'!$C$2:$E$230,3,0),0)</f>
        <v>0</v>
      </c>
      <c r="D261" s="1">
        <f>IFERROR(VLOOKUP(53,'PEDIDO 4'!$C$2:$E$230,3,0),0)</f>
        <v>0</v>
      </c>
      <c r="E261" s="1">
        <f>IFERROR(VLOOKUP(54,'PEDIDO 4'!$C$2:$E$230,3,0),0)</f>
        <v>0</v>
      </c>
      <c r="F261" s="1">
        <f>IFERROR(VLOOKUP(299,'PEDIDO 4'!$C$2:$E$230,3,0),0)</f>
        <v>1</v>
      </c>
      <c r="G261" s="18">
        <f t="shared" si="6"/>
        <v>1</v>
      </c>
    </row>
    <row r="262" spans="1:7" ht="15.75" x14ac:dyDescent="0.25">
      <c r="A262" s="15" t="str">
        <f>'PEDIDO 4'!$B$2</f>
        <v>Sorocaba-Orlando Motoku Yabiku Me</v>
      </c>
      <c r="B262" s="12" t="s">
        <v>416</v>
      </c>
      <c r="C262" s="1">
        <f>IFERROR(VLOOKUP(56,'PEDIDO 4'!$C$2:$E$230,3,0),0)</f>
        <v>0</v>
      </c>
      <c r="D262" s="1">
        <f>IFERROR(VLOOKUP(61,'PEDIDO 4'!$C$2:$E$230,3,0),0)</f>
        <v>0</v>
      </c>
      <c r="E262" s="1">
        <f>IFERROR(VLOOKUP(58,'PEDIDO 4'!$C$2:$E$230,3,0),0)</f>
        <v>0</v>
      </c>
      <c r="F262" s="1">
        <f>IFERROR(VLOOKUP(300,'PEDIDO 4'!$C$2:$E$230,3,0),0)</f>
        <v>0</v>
      </c>
      <c r="G262" s="18">
        <f t="shared" si="6"/>
        <v>0</v>
      </c>
    </row>
    <row r="263" spans="1:7" ht="15.75" x14ac:dyDescent="0.25">
      <c r="A263" s="15" t="str">
        <f>'PEDIDO 4'!$B$2</f>
        <v>Sorocaba-Orlando Motoku Yabiku Me</v>
      </c>
      <c r="B263" s="12" t="s">
        <v>417</v>
      </c>
      <c r="C263" s="1">
        <f>IFERROR(VLOOKUP(60,'PEDIDO 4'!$C$2:$E$230,3,0),0)</f>
        <v>0</v>
      </c>
      <c r="D263" s="1">
        <f>IFERROR(VLOOKUP(120,'PEDIDO 4'!$C$2:$E$230,3,0),0)</f>
        <v>0</v>
      </c>
      <c r="E263" s="1">
        <f>IFERROR(VLOOKUP(62,'PEDIDO 4'!$C$2:$E$230,3,0),0)</f>
        <v>0</v>
      </c>
      <c r="F263" s="1">
        <f>IFERROR(VLOOKUP(301,'PEDIDO 4'!$C$2:$E$230,3,0),0)</f>
        <v>0</v>
      </c>
      <c r="G263" s="18">
        <f t="shared" si="6"/>
        <v>0</v>
      </c>
    </row>
    <row r="264" spans="1:7" ht="15.75" x14ac:dyDescent="0.25">
      <c r="A264" s="15" t="str">
        <f>'PEDIDO 4'!$B$2</f>
        <v>Sorocaba-Orlando Motoku Yabiku Me</v>
      </c>
      <c r="B264" s="12" t="s">
        <v>426</v>
      </c>
      <c r="C264" s="1">
        <f>IFERROR(VLOOKUP(112,'PEDIDO 4'!$C$2:$E$230,3,0),0)</f>
        <v>0</v>
      </c>
      <c r="D264" s="1">
        <f>IFERROR(VLOOKUP(113,'PEDIDO 4'!$C$2:$E$230,3,0),0)</f>
        <v>0</v>
      </c>
      <c r="E264" s="1">
        <f>IFERROR(VLOOKUP(114,'PEDIDO 4'!$C$2:$E$230,3,0),0)</f>
        <v>0</v>
      </c>
      <c r="F264" s="1">
        <f>IFERROR(VLOOKUP(296,'PEDIDO 4'!$C$2:$E$230,3,0),0)</f>
        <v>0</v>
      </c>
      <c r="G264" s="18">
        <f t="shared" si="6"/>
        <v>0</v>
      </c>
    </row>
    <row r="265" spans="1:7" ht="15.75" x14ac:dyDescent="0.25">
      <c r="A265" s="15" t="str">
        <f>'PEDIDO 4'!$B$2</f>
        <v>Sorocaba-Orlando Motoku Yabiku Me</v>
      </c>
      <c r="B265" s="12" t="s">
        <v>427</v>
      </c>
      <c r="C265" s="1">
        <f>IFERROR(VLOOKUP(116,'PEDIDO 4'!$C$2:$E$230,3,0),0)</f>
        <v>0</v>
      </c>
      <c r="D265" s="1">
        <f>IFERROR(VLOOKUP(117,'PEDIDO 4'!$C$2:$E$230,3,0),0)</f>
        <v>0</v>
      </c>
      <c r="E265" s="1">
        <f>IFERROR(VLOOKUP(118,'PEDIDO 4'!$C$2:$E$230,3,0),0)</f>
        <v>0</v>
      </c>
      <c r="F265" s="1">
        <f>IFERROR(VLOOKUP(293,'PEDIDO 4'!$C$2:$E$230,3,0),0)</f>
        <v>0</v>
      </c>
      <c r="G265" s="18">
        <f t="shared" si="6"/>
        <v>0</v>
      </c>
    </row>
    <row r="266" spans="1:7" ht="15.75" x14ac:dyDescent="0.25">
      <c r="A266" s="15" t="str">
        <f>'PEDIDO 4'!$B$2</f>
        <v>Sorocaba-Orlando Motoku Yabiku Me</v>
      </c>
      <c r="B266" s="12" t="s">
        <v>418</v>
      </c>
      <c r="C266" s="1">
        <f>IFERROR(VLOOKUP(963,'PEDIDO 4'!$C$2:$E$230,3,0),0)</f>
        <v>0</v>
      </c>
      <c r="D266" s="1">
        <f>IFERROR(VLOOKUP(965,'PEDIDO 4'!$C$2:$E$230,3,0),0)</f>
        <v>0</v>
      </c>
      <c r="E266" s="1">
        <f>IFERROR(VLOOKUP(966,'PEDIDO 4'!$C$2:$E$230,3,0),0)</f>
        <v>0</v>
      </c>
      <c r="F266" s="1">
        <f>IFERROR(VLOOKUP(964,'PEDIDO 4'!$C$2:$E$230,3,0),0)</f>
        <v>0</v>
      </c>
      <c r="G266" s="18">
        <f t="shared" si="6"/>
        <v>0</v>
      </c>
    </row>
    <row r="267" spans="1:7" ht="15.75" x14ac:dyDescent="0.25">
      <c r="A267" s="15" t="str">
        <f>'PEDIDO 4'!$B$2</f>
        <v>Sorocaba-Orlando Motoku Yabiku Me</v>
      </c>
      <c r="B267" s="12" t="s">
        <v>419</v>
      </c>
      <c r="C267" s="1">
        <f>IFERROR(VLOOKUP(2042,'PEDIDO 4'!$C$2:$E$230,3,0),0)</f>
        <v>0</v>
      </c>
      <c r="D267" s="1">
        <f>IFERROR(VLOOKUP(2041,'PEDIDO 4'!$C$2:$E$230,3,0),0)</f>
        <v>0</v>
      </c>
      <c r="E267" s="1">
        <f>IFERROR(VLOOKUP(2043,'PEDIDO 4'!$C$2:$E$230,3,0),0)</f>
        <v>0</v>
      </c>
      <c r="F267" s="1">
        <f>IFERROR(VLOOKUP(2040,'PEDIDO 4'!$C$2:$E$230,3,0),0)</f>
        <v>0</v>
      </c>
      <c r="G267" s="18">
        <f t="shared" si="6"/>
        <v>0</v>
      </c>
    </row>
    <row r="268" spans="1:7" ht="15.75" x14ac:dyDescent="0.25">
      <c r="A268" s="15" t="str">
        <f>'PEDIDO 4'!$B$2</f>
        <v>Sorocaba-Orlando Motoku Yabiku Me</v>
      </c>
      <c r="B268" s="12" t="s">
        <v>420</v>
      </c>
      <c r="C268" s="1">
        <f>IFERROR(VLOOKUP(2045,'PEDIDO 4'!$C$2:$E$230,3,0),0)</f>
        <v>0</v>
      </c>
      <c r="D268" s="1">
        <f>IFERROR(VLOOKUP(2046,'PEDIDO 4'!$C$2:$E$230,3,0),0)</f>
        <v>0</v>
      </c>
      <c r="E268" s="1">
        <f>IFERROR(VLOOKUP(2047,'PEDIDO 4'!$C$2:$E$230,3,0),0)</f>
        <v>0</v>
      </c>
      <c r="F268" s="1">
        <f>IFERROR(VLOOKUP(2048,'PEDIDO 4'!$C$2:$E$230,3,0),0)</f>
        <v>0</v>
      </c>
      <c r="G268" s="18">
        <f t="shared" si="6"/>
        <v>0</v>
      </c>
    </row>
    <row r="269" spans="1:7" ht="15.75" x14ac:dyDescent="0.25">
      <c r="A269" s="15" t="str">
        <f>'PEDIDO 4'!$B$2</f>
        <v>Sorocaba-Orlando Motoku Yabiku Me</v>
      </c>
      <c r="B269" s="12" t="s">
        <v>421</v>
      </c>
      <c r="C269" s="1">
        <f>IFERROR(VLOOKUP(2050,'PEDIDO 4'!$C$2:$E$230,3,0),0)</f>
        <v>0</v>
      </c>
      <c r="D269" s="1">
        <f>IFERROR(VLOOKUP(2051,'PEDIDO 4'!$C$2:$E$230,3,0),0)</f>
        <v>0</v>
      </c>
      <c r="E269" s="1">
        <f>IFERROR(VLOOKUP(2052,'PEDIDO 4'!$C$2:$E$230,3,0),0)</f>
        <v>0</v>
      </c>
      <c r="F269" s="1">
        <f>IFERROR(VLOOKUP(2053,'PEDIDO 4'!$C$2:$E$230,3,0),0)</f>
        <v>0</v>
      </c>
      <c r="G269" s="18">
        <f t="shared" si="6"/>
        <v>0</v>
      </c>
    </row>
    <row r="270" spans="1:7" ht="15.75" x14ac:dyDescent="0.25">
      <c r="A270" s="15" t="str">
        <f>'PEDIDO 4'!$B$2</f>
        <v>Sorocaba-Orlando Motoku Yabiku Me</v>
      </c>
      <c r="B270" s="12" t="s">
        <v>422</v>
      </c>
      <c r="C270" s="1">
        <f>IFERROR(VLOOKUP(216,'PEDIDO 4'!$C$2:$E$230,3,0),0)</f>
        <v>0</v>
      </c>
      <c r="D270" s="1">
        <f>IFERROR(VLOOKUP(217,'PEDIDO 4'!$C$2:$E$230,3,0),0)</f>
        <v>0</v>
      </c>
      <c r="E270" s="1">
        <f>IFERROR(VLOOKUP(218,'PEDIDO 4'!$C$2:$E$230,3,0),0)</f>
        <v>0</v>
      </c>
      <c r="F270" s="1">
        <f>IFERROR(VLOOKUP(305,'PEDIDO 4'!$C$2:$E$230,3,0),0)</f>
        <v>0</v>
      </c>
      <c r="G270" s="18">
        <f t="shared" si="6"/>
        <v>0</v>
      </c>
    </row>
    <row r="271" spans="1:7" ht="15.75" x14ac:dyDescent="0.25">
      <c r="A271" s="15" t="str">
        <f>'PEDIDO 4'!$B$2</f>
        <v>Sorocaba-Orlando Motoku Yabiku Me</v>
      </c>
      <c r="B271" s="12" t="s">
        <v>423</v>
      </c>
      <c r="C271" s="1">
        <f>IFERROR(VLOOKUP(100,'PEDIDO 4'!$C$2:$E$230,3,0),0)</f>
        <v>0</v>
      </c>
      <c r="D271" s="1">
        <f>IFERROR(VLOOKUP(101,'PEDIDO 4'!$C$2:$E$230,3,0),0)</f>
        <v>0</v>
      </c>
      <c r="E271" s="1">
        <f>IFERROR(VLOOKUP(102,'PEDIDO 4'!$C$2:$E$230,3,0),0)</f>
        <v>0</v>
      </c>
      <c r="F271" s="1">
        <f>IFERROR(VLOOKUP(306,'PEDIDO 4'!$C$2:$E$230,3,0),0)</f>
        <v>0</v>
      </c>
      <c r="G271" s="18">
        <f t="shared" si="6"/>
        <v>0</v>
      </c>
    </row>
    <row r="272" spans="1:7" ht="15.75" x14ac:dyDescent="0.25">
      <c r="A272" s="15" t="str">
        <f>'PEDIDO 4'!$B$2</f>
        <v>Sorocaba-Orlando Motoku Yabiku Me</v>
      </c>
      <c r="B272" s="12" t="s">
        <v>424</v>
      </c>
      <c r="C272" s="1">
        <f>IFERROR(VLOOKUP(104,'PEDIDO 4'!$C$2:$E$230,3,0),0)</f>
        <v>0</v>
      </c>
      <c r="D272" s="1">
        <f>IFERROR(VLOOKUP(105,'PEDIDO 4'!$C$2:$E$230,3,0),0)</f>
        <v>0</v>
      </c>
      <c r="E272" s="1">
        <f>IFERROR(VLOOKUP(106,'PEDIDO 4'!$C$2:$E$230,3,0),0)</f>
        <v>0</v>
      </c>
      <c r="F272" s="1">
        <f>IFERROR(VLOOKUP(307,'PEDIDO 4'!$C$2:$E$230,3,0),0)</f>
        <v>0</v>
      </c>
      <c r="G272" s="18">
        <f t="shared" si="6"/>
        <v>0</v>
      </c>
    </row>
    <row r="273" spans="1:7" ht="15.75" x14ac:dyDescent="0.25">
      <c r="A273" s="15" t="str">
        <f>'PEDIDO 4'!$B$2</f>
        <v>Sorocaba-Orlando Motoku Yabiku Me</v>
      </c>
      <c r="B273" s="12" t="s">
        <v>425</v>
      </c>
      <c r="C273" s="1">
        <f>IFERROR(VLOOKUP(400,'PEDIDO 4'!$C$2:$E$230,3,0),0)</f>
        <v>0</v>
      </c>
      <c r="D273" s="1">
        <f>IFERROR(VLOOKUP(401,'PEDIDO 4'!$C$2:$E$230,3,0),0)</f>
        <v>0</v>
      </c>
      <c r="E273" s="1">
        <f>IFERROR(VLOOKUP(402,'PEDIDO 4'!$C$2:$E$230,3,0),0)</f>
        <v>0</v>
      </c>
      <c r="F273" s="1">
        <f>IFERROR(VLOOKUP(403,'PEDIDO 4'!$C$2:$E$230,3,0),0)</f>
        <v>0</v>
      </c>
      <c r="G273" s="18">
        <f t="shared" si="6"/>
        <v>0</v>
      </c>
    </row>
    <row r="274" spans="1:7" ht="15.75" x14ac:dyDescent="0.25">
      <c r="A274" s="15" t="str">
        <f>'PEDIDO 4'!$B$2</f>
        <v>Sorocaba-Orlando Motoku Yabiku Me</v>
      </c>
      <c r="B274" s="12" t="s">
        <v>428</v>
      </c>
      <c r="C274" s="1">
        <f>IFERROR(VLOOKUP(22,'PEDIDO 4'!$C$2:$E$230,3,0),0)</f>
        <v>0</v>
      </c>
      <c r="D274" s="1"/>
      <c r="E274" s="1"/>
      <c r="F274" s="1"/>
      <c r="G274" s="18">
        <f t="shared" si="6"/>
        <v>0</v>
      </c>
    </row>
    <row r="275" spans="1:7" ht="15.75" x14ac:dyDescent="0.25">
      <c r="A275" s="15" t="str">
        <f>'PEDIDO 4'!$B$2</f>
        <v>Sorocaba-Orlando Motoku Yabiku Me</v>
      </c>
      <c r="B275" s="12" t="s">
        <v>429</v>
      </c>
      <c r="C275" s="1">
        <f>IFERROR(VLOOKUP(21,'PEDIDO 4'!$C$2:$E$230,3,0),0)</f>
        <v>0</v>
      </c>
      <c r="D275" s="1"/>
      <c r="E275" s="1"/>
      <c r="F275" s="1"/>
      <c r="G275" s="18">
        <f t="shared" si="6"/>
        <v>0</v>
      </c>
    </row>
    <row r="276" spans="1:7" ht="15.75" x14ac:dyDescent="0.25">
      <c r="A276" s="15" t="str">
        <f>'PEDIDO 4'!$B$2</f>
        <v>Sorocaba-Orlando Motoku Yabiku Me</v>
      </c>
      <c r="B276" s="12" t="s">
        <v>430</v>
      </c>
      <c r="C276" s="1">
        <f>IFERROR(VLOOKUP(1125,'PEDIDO 4'!$C$2:$E$230,3,0),0)</f>
        <v>0</v>
      </c>
      <c r="D276" s="1">
        <f>IFERROR(VLOOKUP(1126,'PEDIDO 4'!$C$2:$E$230,3,0),0)</f>
        <v>0</v>
      </c>
      <c r="E276" s="1">
        <f>IFERROR(VLOOKUP(1127,'PEDIDO 4'!$C$2:$E$230,3,0),0)</f>
        <v>0</v>
      </c>
      <c r="F276" s="1">
        <f>IFERROR(VLOOKUP(1128,'PEDIDO 4'!$C$2:$E$230,3,0),0)</f>
        <v>0</v>
      </c>
      <c r="G276" s="18">
        <f t="shared" si="6"/>
        <v>0</v>
      </c>
    </row>
    <row r="277" spans="1:7" ht="15.75" x14ac:dyDescent="0.25">
      <c r="A277" s="15" t="str">
        <f>'PEDIDO 4'!$B$2</f>
        <v>Sorocaba-Orlando Motoku Yabiku Me</v>
      </c>
      <c r="B277" s="12" t="s">
        <v>431</v>
      </c>
      <c r="C277" s="1">
        <f>IFERROR(VLOOKUP(1133,'PEDIDO 4'!$C$2:$E$230,3,0),0)</f>
        <v>0</v>
      </c>
      <c r="D277" s="1">
        <f>IFERROR(VLOOKUP(1134,'PEDIDO 4'!$C$2:$E$230,3,0),0)</f>
        <v>0</v>
      </c>
      <c r="E277" s="1">
        <f>IFERROR(VLOOKUP(1135,'PEDIDO 4'!$C$2:$E$230,3,0),0)</f>
        <v>0</v>
      </c>
      <c r="F277" s="1">
        <f>IFERROR(VLOOKUP(1136,'PEDIDO 4'!$C$2:$E$230,3,0),0)</f>
        <v>0</v>
      </c>
      <c r="G277" s="18">
        <f t="shared" si="6"/>
        <v>0</v>
      </c>
    </row>
    <row r="278" spans="1:7" ht="15.75" x14ac:dyDescent="0.25">
      <c r="A278" s="15" t="str">
        <f>'PEDIDO 4'!$B$2</f>
        <v>Sorocaba-Orlando Motoku Yabiku Me</v>
      </c>
      <c r="B278" s="12" t="s">
        <v>432</v>
      </c>
      <c r="C278" s="1">
        <f>IFERROR(VLOOKUP(1105,'PEDIDO 4'!$C$2:$E$230,3,0),0)</f>
        <v>0</v>
      </c>
      <c r="D278" s="1">
        <f>IFERROR(VLOOKUP(1106,'PEDIDO 4'!$C$2:$E$230,3,0),0)</f>
        <v>0</v>
      </c>
      <c r="E278" s="1">
        <f>IFERROR(VLOOKUP(1107,'PEDIDO 4'!$C$2:$E$230,3,0),0)</f>
        <v>0</v>
      </c>
      <c r="F278" s="1">
        <f>IFERROR(VLOOKUP(1108,'PEDIDO 4'!$C$2:$E$230,3,0),0)</f>
        <v>0</v>
      </c>
      <c r="G278" s="18">
        <f t="shared" si="6"/>
        <v>0</v>
      </c>
    </row>
    <row r="279" spans="1:7" ht="15.75" x14ac:dyDescent="0.25">
      <c r="A279" s="15" t="str">
        <f>'PEDIDO 4'!$B$2</f>
        <v>Sorocaba-Orlando Motoku Yabiku Me</v>
      </c>
      <c r="B279" s="12" t="s">
        <v>433</v>
      </c>
      <c r="C279" s="1">
        <f>IFERROR(VLOOKUP(1109,'PEDIDO 4'!$C$2:$E$230,3,0),0)</f>
        <v>0</v>
      </c>
      <c r="D279" s="1">
        <f>IFERROR(VLOOKUP(1110,'PEDIDO 4'!$C$2:$E$230,3,0),0)</f>
        <v>0</v>
      </c>
      <c r="E279" s="1">
        <f>IFERROR(VLOOKUP(1111,'PEDIDO 4'!$C$2:$E$230,3,0),0)</f>
        <v>0</v>
      </c>
      <c r="F279" s="1">
        <f>IFERROR(VLOOKUP(1112,'PEDIDO 4'!$C$2:$E$230,3,0),0)</f>
        <v>0</v>
      </c>
      <c r="G279" s="18">
        <f t="shared" si="6"/>
        <v>0</v>
      </c>
    </row>
    <row r="280" spans="1:7" ht="15.75" x14ac:dyDescent="0.25">
      <c r="A280" s="15" t="str">
        <f>'PEDIDO 4'!$B$2</f>
        <v>Sorocaba-Orlando Motoku Yabiku Me</v>
      </c>
      <c r="B280" s="12" t="s">
        <v>434</v>
      </c>
      <c r="C280" s="1">
        <f>IFERROR(VLOOKUP(1113,'PEDIDO 4'!$C$2:$E$230,3,0),0)</f>
        <v>0</v>
      </c>
      <c r="D280" s="1">
        <f>IFERROR(VLOOKUP(1114,'PEDIDO 4'!$C$2:$E$230,3,0),0)</f>
        <v>0</v>
      </c>
      <c r="E280" s="1">
        <f>IFERROR(VLOOKUP(1115,'PEDIDO 4'!$C$2:$E$230,3,0),0)</f>
        <v>0</v>
      </c>
      <c r="F280" s="1">
        <f>IFERROR(VLOOKUP(1116,'PEDIDO 4'!$C$2:$E$230,3,0),0)</f>
        <v>0</v>
      </c>
      <c r="G280" s="18">
        <f t="shared" si="6"/>
        <v>0</v>
      </c>
    </row>
    <row r="281" spans="1:7" ht="15.75" x14ac:dyDescent="0.25">
      <c r="A281" s="15" t="str">
        <f>'PEDIDO 4'!$B$2</f>
        <v>Sorocaba-Orlando Motoku Yabiku Me</v>
      </c>
      <c r="B281" s="12" t="s">
        <v>435</v>
      </c>
      <c r="C281" s="1">
        <f>IFERROR(VLOOKUP(1117,'PEDIDO 4'!$C$2:$E$230,3,0),0)</f>
        <v>0</v>
      </c>
      <c r="D281" s="1">
        <f>IFERROR(VLOOKUP(1118,'PEDIDO 4'!$C$2:$E$230,3,0),0)</f>
        <v>0</v>
      </c>
      <c r="E281" s="1">
        <f>IFERROR(VLOOKUP(1119,'PEDIDO 4'!$C$2:$E$230,3,0),0)</f>
        <v>0</v>
      </c>
      <c r="F281" s="1">
        <f>IFERROR(VLOOKUP(1120,'PEDIDO 4'!$C$2:$E$230,3,0),0)</f>
        <v>0</v>
      </c>
      <c r="G281" s="18">
        <f t="shared" si="6"/>
        <v>0</v>
      </c>
    </row>
    <row r="282" spans="1:7" ht="15.75" x14ac:dyDescent="0.25">
      <c r="A282" s="15" t="str">
        <f>'PEDIDO 4'!$B$2</f>
        <v>Sorocaba-Orlando Motoku Yabiku Me</v>
      </c>
      <c r="B282" s="12" t="s">
        <v>436</v>
      </c>
      <c r="C282" s="1">
        <f>IFERROR(VLOOKUP(1121,'PEDIDO 4'!$C$2:$E$230,3,0),0)</f>
        <v>0</v>
      </c>
      <c r="D282" s="1">
        <f>IFERROR(VLOOKUP(1122,'PEDIDO 4'!$C$2:$E$230,3,0),0)</f>
        <v>0</v>
      </c>
      <c r="E282" s="1">
        <f>IFERROR(VLOOKUP(1123,'PEDIDO 4'!$C$2:$E$230,3,0),0)</f>
        <v>0</v>
      </c>
      <c r="F282" s="1">
        <f>IFERROR(VLOOKUP(1124,'PEDIDO 4'!$C$2:$E$230,3,0),0)</f>
        <v>0</v>
      </c>
      <c r="G282" s="18">
        <f t="shared" si="6"/>
        <v>0</v>
      </c>
    </row>
    <row r="283" spans="1:7" ht="15.75" x14ac:dyDescent="0.25">
      <c r="A283" s="15" t="str">
        <f>'PEDIDO 4'!$B$2</f>
        <v>Sorocaba-Orlando Motoku Yabiku Me</v>
      </c>
      <c r="B283" s="12" t="s">
        <v>437</v>
      </c>
      <c r="C283" s="1">
        <f>IFERROR(VLOOKUP(1129,'PEDIDO 4'!$C$2:$E$230,3,0),0)</f>
        <v>0</v>
      </c>
      <c r="D283" s="1">
        <f>IFERROR(VLOOKUP(1130,'PEDIDO 4'!$C$2:$E$230,3,0),0)</f>
        <v>0</v>
      </c>
      <c r="E283" s="1">
        <f>IFERROR(VLOOKUP(1131,'PEDIDO 4'!$C$2:$E$230,3,0),0)</f>
        <v>0</v>
      </c>
      <c r="F283" s="1">
        <f>IFERROR(VLOOKUP(1132,'PEDIDO 4'!$C$2:$E$230,3,0),0)</f>
        <v>0</v>
      </c>
      <c r="G283" s="18">
        <f t="shared" si="6"/>
        <v>0</v>
      </c>
    </row>
    <row r="284" spans="1:7" ht="15.75" x14ac:dyDescent="0.25">
      <c r="A284" s="15" t="str">
        <f>'PEDIDO 4'!$B$2</f>
        <v>Sorocaba-Orlando Motoku Yabiku Me</v>
      </c>
      <c r="B284" s="12" t="s">
        <v>438</v>
      </c>
      <c r="C284" s="1">
        <f>IFERROR(VLOOKUP(1137,'PEDIDO 4'!$C$2:$E$230,3,0),0)</f>
        <v>0</v>
      </c>
      <c r="D284" s="1">
        <f>IFERROR(VLOOKUP(1138,'PEDIDO 4'!$C$2:$E$230,3,0),0)</f>
        <v>0</v>
      </c>
      <c r="E284" s="1">
        <f>IFERROR(VLOOKUP(1139,'PEDIDO 4'!$C$2:$E$230,3,0),0)</f>
        <v>0</v>
      </c>
      <c r="F284" s="1">
        <f>IFERROR(VLOOKUP(1140,'PEDIDO 4'!$C$2:$E$230,3,0),0)</f>
        <v>0</v>
      </c>
      <c r="G284" s="18">
        <f t="shared" si="6"/>
        <v>0</v>
      </c>
    </row>
    <row r="285" spans="1:7" ht="15.75" x14ac:dyDescent="0.25">
      <c r="A285" s="15" t="str">
        <f>'PEDIDO 4'!$B$2</f>
        <v>Sorocaba-Orlando Motoku Yabiku Me</v>
      </c>
      <c r="B285" s="12" t="s">
        <v>439</v>
      </c>
      <c r="C285" s="1">
        <f>IFERROR(VLOOKUP(1141,'PEDIDO 4'!$C$2:$E$230,3,0),0)</f>
        <v>0</v>
      </c>
      <c r="D285" s="1">
        <f>IFERROR(VLOOKUP(1142,'PEDIDO 4'!$C$2:$E$230,3,0),0)</f>
        <v>0</v>
      </c>
      <c r="E285" s="1">
        <f>IFERROR(VLOOKUP(1143,'PEDIDO 4'!$C$2:$E$230,3,0),0)</f>
        <v>0</v>
      </c>
      <c r="F285" s="1">
        <f>IFERROR(VLOOKUP(1144,'PEDIDO 4'!$C$2:$E$230,3,0),0)</f>
        <v>0</v>
      </c>
      <c r="G285" s="18">
        <f t="shared" si="6"/>
        <v>0</v>
      </c>
    </row>
    <row r="286" spans="1:7" ht="15.75" x14ac:dyDescent="0.25">
      <c r="A286" s="15" t="str">
        <f>'PEDIDO 4'!$B$2</f>
        <v>Sorocaba-Orlando Motoku Yabiku Me</v>
      </c>
      <c r="B286" s="12" t="s">
        <v>440</v>
      </c>
      <c r="C286" s="1">
        <f>IFERROR(VLOOKUP(1145,'PEDIDO 4'!$C$2:$E$230,3,0),0)</f>
        <v>0</v>
      </c>
      <c r="D286" s="1">
        <f>IFERROR(VLOOKUP(1146,'PEDIDO 4'!$C$2:$E$230,3,0),0)</f>
        <v>0</v>
      </c>
      <c r="E286" s="1">
        <f>IFERROR(VLOOKUP(1147,'PEDIDO 4'!$C$2:$E$230,3,0),0)</f>
        <v>0</v>
      </c>
      <c r="F286" s="1">
        <f>IFERROR(VLOOKUP(1148,'PEDIDO 4'!$C$2:$E$230,3,0),0)</f>
        <v>0</v>
      </c>
      <c r="G286" s="18">
        <f t="shared" si="6"/>
        <v>0</v>
      </c>
    </row>
    <row r="287" spans="1:7" ht="15.75" x14ac:dyDescent="0.25">
      <c r="A287" s="15" t="str">
        <f>'PEDIDO 4'!$B$2</f>
        <v>Sorocaba-Orlando Motoku Yabiku Me</v>
      </c>
      <c r="B287" s="12" t="s">
        <v>441</v>
      </c>
      <c r="C287" s="1">
        <f>IFERROR(VLOOKUP(1149,'PEDIDO 4'!$C$2:$E$230,3,0),0)</f>
        <v>0</v>
      </c>
      <c r="D287" s="1">
        <f>IFERROR(VLOOKUP(1150,'PEDIDO 4'!$C$2:$E$230,3,0),0)</f>
        <v>0</v>
      </c>
      <c r="E287" s="1">
        <f>IFERROR(VLOOKUP(1151,'PEDIDO 4'!$C$2:$E$230,3,0),0)</f>
        <v>0</v>
      </c>
      <c r="F287" s="1">
        <f>IFERROR(VLOOKUP(1152,'PEDIDO 4'!$C$2:$E$230,3,0),0)</f>
        <v>0</v>
      </c>
      <c r="G287" s="18">
        <f t="shared" si="6"/>
        <v>0</v>
      </c>
    </row>
    <row r="288" spans="1:7" ht="15.75" x14ac:dyDescent="0.25">
      <c r="A288" s="15" t="str">
        <f>'PEDIDO 4'!$B$2</f>
        <v>Sorocaba-Orlando Motoku Yabiku Me</v>
      </c>
      <c r="B288" s="12" t="s">
        <v>442</v>
      </c>
      <c r="C288" s="1">
        <f>IFERROR(VLOOKUP(1153,'PEDIDO 4'!$C$2:$E$230,3,0),0)</f>
        <v>0</v>
      </c>
      <c r="D288" s="1">
        <f>IFERROR(VLOOKUP(1154,'PEDIDO 4'!$C$2:$E$230,3,0),0)</f>
        <v>0</v>
      </c>
      <c r="E288" s="1">
        <f>IFERROR(VLOOKUP(1155,'PEDIDO 4'!$C$2:$E$230,3,0),0)</f>
        <v>0</v>
      </c>
      <c r="F288" s="1">
        <f>IFERROR(VLOOKUP(1156,'PEDIDO 4'!$C$2:$E$230,3,0),0)</f>
        <v>0</v>
      </c>
      <c r="G288" s="18">
        <f t="shared" si="6"/>
        <v>0</v>
      </c>
    </row>
    <row r="289" spans="1:7" ht="15.75" x14ac:dyDescent="0.25">
      <c r="A289" s="15" t="str">
        <f>'PEDIDO 4'!$B$2</f>
        <v>Sorocaba-Orlando Motoku Yabiku Me</v>
      </c>
      <c r="B289" s="12" t="s">
        <v>443</v>
      </c>
      <c r="C289" s="1">
        <f>IFERROR(VLOOKUP(1157,'PEDIDO 4'!$C$2:$E$230,3,0),0)</f>
        <v>0</v>
      </c>
      <c r="D289" s="1">
        <f>IFERROR(VLOOKUP(1158,'PEDIDO 4'!$C$2:$E$230,3,0),0)</f>
        <v>0</v>
      </c>
      <c r="E289" s="1">
        <f>IFERROR(VLOOKUP(1159,'PEDIDO 4'!$C$2:$E$230,3,0),0)</f>
        <v>0</v>
      </c>
      <c r="F289" s="1">
        <f>IFERROR(VLOOKUP(1160,'PEDIDO 4'!$C$2:$E$230,3,0),0)</f>
        <v>0</v>
      </c>
      <c r="G289" s="18">
        <f t="shared" si="6"/>
        <v>0</v>
      </c>
    </row>
    <row r="290" spans="1:7" ht="15.75" x14ac:dyDescent="0.25">
      <c r="A290" s="15" t="str">
        <f>'PEDIDO 4'!$B$2</f>
        <v>Sorocaba-Orlando Motoku Yabiku Me</v>
      </c>
      <c r="B290" s="12" t="s">
        <v>444</v>
      </c>
      <c r="C290" s="1">
        <f>IFERROR(VLOOKUP(1161,'PEDIDO 4'!$C$2:$E$230,3,0),0)</f>
        <v>0</v>
      </c>
      <c r="D290" s="1">
        <f>IFERROR(VLOOKUP(1162,'PEDIDO 4'!$C$2:$E$230,3,0),0)</f>
        <v>0</v>
      </c>
      <c r="E290" s="1">
        <f>IFERROR(VLOOKUP(1163,'PEDIDO 4'!$C$2:$E$230,3,0),0)</f>
        <v>0</v>
      </c>
      <c r="F290" s="1">
        <f>IFERROR(VLOOKUP(1164,'PEDIDO 4'!$C$2:$E$230,3,0),0)</f>
        <v>0</v>
      </c>
      <c r="G290" s="18">
        <f t="shared" si="6"/>
        <v>0</v>
      </c>
    </row>
    <row r="291" spans="1:7" ht="15.75" x14ac:dyDescent="0.25">
      <c r="A291" s="15" t="str">
        <f>'PEDIDO 4'!$B$2</f>
        <v>Sorocaba-Orlando Motoku Yabiku Me</v>
      </c>
      <c r="B291" s="12" t="s">
        <v>445</v>
      </c>
      <c r="C291" s="1">
        <f>IFERROR(VLOOKUP(1165,'PEDIDO 4'!$C$2:$E$230,3,0),0)</f>
        <v>0</v>
      </c>
      <c r="D291" s="1">
        <f>IFERROR(VLOOKUP(1166,'PEDIDO 4'!$C$2:$E$230,3,0),0)</f>
        <v>0</v>
      </c>
      <c r="E291" s="1">
        <f>IFERROR(VLOOKUP(1167,'PEDIDO 4'!$C$2:$E$230,3,0),0)</f>
        <v>0</v>
      </c>
      <c r="F291" s="1">
        <f>IFERROR(VLOOKUP(1168,'PEDIDO 4'!$C$2:$E$230,3,0),0)</f>
        <v>0</v>
      </c>
      <c r="G291" s="18">
        <f t="shared" si="6"/>
        <v>0</v>
      </c>
    </row>
    <row r="292" spans="1:7" ht="15.75" x14ac:dyDescent="0.25">
      <c r="A292" s="15" t="str">
        <f>'PEDIDO 4'!$B$2</f>
        <v>Sorocaba-Orlando Motoku Yabiku Me</v>
      </c>
      <c r="B292" s="12" t="s">
        <v>446</v>
      </c>
      <c r="C292" s="1">
        <f>IFERROR(VLOOKUP(1169,'PEDIDO 4'!$C$2:$E$230,3,0),0)</f>
        <v>0</v>
      </c>
      <c r="D292" s="1">
        <f>IFERROR(VLOOKUP(1170,'PEDIDO 4'!$C$2:$E$230,3,0),0)</f>
        <v>0</v>
      </c>
      <c r="E292" s="1">
        <f>IFERROR(VLOOKUP(1171,'PEDIDO 4'!$C$2:$E$230,3,0),0)</f>
        <v>0</v>
      </c>
      <c r="F292" s="1">
        <f>IFERROR(VLOOKUP(1172,'PEDIDO 4'!$C$2:$E$230,3,0),0)</f>
        <v>0</v>
      </c>
      <c r="G292" s="18">
        <f t="shared" si="6"/>
        <v>0</v>
      </c>
    </row>
    <row r="293" spans="1:7" ht="15.75" x14ac:dyDescent="0.25">
      <c r="A293" s="15" t="str">
        <f>'PEDIDO 4'!$B$2</f>
        <v>Sorocaba-Orlando Motoku Yabiku Me</v>
      </c>
      <c r="B293" s="12" t="s">
        <v>447</v>
      </c>
      <c r="C293" s="1">
        <f>IFERROR(VLOOKUP(1173,'PEDIDO 4'!$C$2:$E$230,3,0),0)</f>
        <v>0</v>
      </c>
      <c r="D293" s="1">
        <f>IFERROR(VLOOKUP(1174,'PEDIDO 4'!$C$2:$E$230,3,0),0)</f>
        <v>0</v>
      </c>
      <c r="E293" s="1">
        <f>IFERROR(VLOOKUP(1175,'PEDIDO 4'!$C$2:$E$230,3,0),0)</f>
        <v>0</v>
      </c>
      <c r="F293" s="1">
        <f>IFERROR(VLOOKUP(1176,'PEDIDO 4'!$C$2:$E$230,3,0),0)</f>
        <v>0</v>
      </c>
      <c r="G293" s="18">
        <f t="shared" si="6"/>
        <v>0</v>
      </c>
    </row>
    <row r="294" spans="1:7" ht="15.75" x14ac:dyDescent="0.25">
      <c r="A294" s="15" t="str">
        <f>'PEDIDO 4'!$B$2</f>
        <v>Sorocaba-Orlando Motoku Yabiku Me</v>
      </c>
      <c r="B294" s="12" t="s">
        <v>448</v>
      </c>
      <c r="C294" s="1">
        <f>IFERROR(VLOOKUP(1249,'PEDIDO 4'!$C$2:$E$230,3,0),0)</f>
        <v>0</v>
      </c>
      <c r="D294" s="1">
        <f>IFERROR(VLOOKUP(1250,'PEDIDO 4'!$C$2:$E$230,3,0),0)</f>
        <v>0</v>
      </c>
      <c r="E294" s="1">
        <f>IFERROR(VLOOKUP(1251,'PEDIDO 4'!$C$2:$E$230,3,0),0)</f>
        <v>0</v>
      </c>
      <c r="F294" s="1">
        <f>IFERROR(VLOOKUP(1252,'PEDIDO 4'!$C$2:$E$230,3,0),0)</f>
        <v>0</v>
      </c>
      <c r="G294" s="18">
        <f t="shared" si="6"/>
        <v>0</v>
      </c>
    </row>
    <row r="295" spans="1:7" ht="15.75" x14ac:dyDescent="0.25">
      <c r="A295" s="15" t="str">
        <f>'PEDIDO 4'!$B$2</f>
        <v>Sorocaba-Orlando Motoku Yabiku Me</v>
      </c>
      <c r="B295" s="12" t="s">
        <v>449</v>
      </c>
      <c r="C295" s="1">
        <f>IFERROR(VLOOKUP(1177,'PEDIDO 4'!$C$2:$E$230,3,0),0)</f>
        <v>0</v>
      </c>
      <c r="D295" s="1">
        <f>IFERROR(VLOOKUP(1178,'PEDIDO 4'!$C$2:$E$230,3,0),0)</f>
        <v>0</v>
      </c>
      <c r="E295" s="1">
        <f>IFERROR(VLOOKUP(1179,'PEDIDO 4'!$C$2:$E$230,3,0),0)</f>
        <v>0</v>
      </c>
      <c r="F295" s="1">
        <f>IFERROR(VLOOKUP(1180,'PEDIDO 4'!$C$2:$E$230,3,0),0)</f>
        <v>0</v>
      </c>
      <c r="G295" s="18">
        <f t="shared" si="6"/>
        <v>0</v>
      </c>
    </row>
    <row r="296" spans="1:7" ht="15.75" x14ac:dyDescent="0.25">
      <c r="A296" s="15" t="str">
        <f>'PEDIDO 4'!$B$2</f>
        <v>Sorocaba-Orlando Motoku Yabiku Me</v>
      </c>
      <c r="B296" s="12" t="s">
        <v>450</v>
      </c>
      <c r="C296" s="1">
        <f>IFERROR(VLOOKUP(1181,'PEDIDO 4'!$C$2:$E$230,3,0),0)</f>
        <v>0</v>
      </c>
      <c r="D296" s="1">
        <f>IFERROR(VLOOKUP(1182,'PEDIDO 4'!$C$2:$E$230,3,0),0)</f>
        <v>0</v>
      </c>
      <c r="E296" s="1">
        <f>IFERROR(VLOOKUP(1183,'PEDIDO 4'!$C$2:$E$230,3,0),0)</f>
        <v>0</v>
      </c>
      <c r="F296" s="1">
        <f>IFERROR(VLOOKUP(1184,'PEDIDO 4'!$C$2:$E$230,3,0),0)</f>
        <v>0</v>
      </c>
      <c r="G296" s="18">
        <f t="shared" si="6"/>
        <v>0</v>
      </c>
    </row>
    <row r="297" spans="1:7" ht="15.75" x14ac:dyDescent="0.25">
      <c r="A297" s="15" t="str">
        <f>'PEDIDO 4'!$B$2</f>
        <v>Sorocaba-Orlando Motoku Yabiku Me</v>
      </c>
      <c r="B297" s="12" t="s">
        <v>451</v>
      </c>
      <c r="C297" s="1">
        <f>IFERROR(VLOOKUP(1185,'PEDIDO 4'!$C$2:$E$230,3,0),0)</f>
        <v>0</v>
      </c>
      <c r="D297" s="1">
        <f>IFERROR(VLOOKUP(1186,'PEDIDO 4'!$C$2:$E$230,3,0),0)</f>
        <v>0</v>
      </c>
      <c r="E297" s="1">
        <f>IFERROR(VLOOKUP(1187,'PEDIDO 4'!$C$2:$E$230,3,0),0)</f>
        <v>0</v>
      </c>
      <c r="F297" s="1">
        <f>IFERROR(VLOOKUP(1188,'PEDIDO 4'!$C$2:$E$230,3,0),0)</f>
        <v>0</v>
      </c>
      <c r="G297" s="18">
        <f t="shared" si="6"/>
        <v>0</v>
      </c>
    </row>
    <row r="298" spans="1:7" ht="15.75" x14ac:dyDescent="0.25">
      <c r="A298" s="15" t="str">
        <f>'PEDIDO 4'!$B$2</f>
        <v>Sorocaba-Orlando Motoku Yabiku Me</v>
      </c>
      <c r="B298" s="12" t="s">
        <v>452</v>
      </c>
      <c r="C298" s="1">
        <f>IFERROR(VLOOKUP(1189,'PEDIDO 4'!$C$2:$E$230,3,0),0)</f>
        <v>0</v>
      </c>
      <c r="D298" s="1">
        <f>IFERROR(VLOOKUP(1190,'PEDIDO 4'!$C$2:$E$230,3,0),0)</f>
        <v>0</v>
      </c>
      <c r="E298" s="1">
        <f>IFERROR(VLOOKUP(1191,'PEDIDO 4'!$C$2:$E$230,3,0),0)</f>
        <v>0</v>
      </c>
      <c r="F298" s="1">
        <f>IFERROR(VLOOKUP(1192,'PEDIDO 4'!$C$2:$E$230,3,0),0)</f>
        <v>0</v>
      </c>
      <c r="G298" s="18">
        <f t="shared" si="6"/>
        <v>0</v>
      </c>
    </row>
    <row r="299" spans="1:7" ht="15.75" x14ac:dyDescent="0.25">
      <c r="A299" s="15" t="str">
        <f>'PEDIDO 4'!$B$2</f>
        <v>Sorocaba-Orlando Motoku Yabiku Me</v>
      </c>
      <c r="B299" s="12" t="s">
        <v>453</v>
      </c>
      <c r="C299" s="1">
        <f>IFERROR(VLOOKUP(1193,'PEDIDO 4'!$C$2:$E$230,3,0),0)</f>
        <v>0</v>
      </c>
      <c r="D299" s="1">
        <f>IFERROR(VLOOKUP(1194,'PEDIDO 4'!$C$2:$E$230,3,0),0)</f>
        <v>0</v>
      </c>
      <c r="E299" s="1">
        <f>IFERROR(VLOOKUP(1195,'PEDIDO 4'!$C$2:$E$230,3,0),0)</f>
        <v>0</v>
      </c>
      <c r="F299" s="1">
        <f>IFERROR(VLOOKUP(1196,'PEDIDO 4'!$C$2:$E$230,3,0),0)</f>
        <v>0</v>
      </c>
      <c r="G299" s="18">
        <f t="shared" si="6"/>
        <v>0</v>
      </c>
    </row>
    <row r="300" spans="1:7" ht="15.75" x14ac:dyDescent="0.25">
      <c r="A300" s="15" t="str">
        <f>'PEDIDO 4'!$B$2</f>
        <v>Sorocaba-Orlando Motoku Yabiku Me</v>
      </c>
      <c r="B300" s="12" t="s">
        <v>454</v>
      </c>
      <c r="C300" s="1">
        <f>IFERROR(VLOOKUP(1197,'PEDIDO 4'!$C$2:$E$230,3,0),0)</f>
        <v>0</v>
      </c>
      <c r="D300" s="1">
        <f>IFERROR(VLOOKUP(1198,'PEDIDO 4'!$C$2:$E$230,3,0),0)</f>
        <v>0</v>
      </c>
      <c r="E300" s="1">
        <f>IFERROR(VLOOKUP(1199,'PEDIDO 4'!$C$2:$E$230,3,0),0)</f>
        <v>0</v>
      </c>
      <c r="F300" s="1">
        <f>IFERROR(VLOOKUP(1200,'PEDIDO 4'!$C$2:$E$230,3,0),0)</f>
        <v>0</v>
      </c>
      <c r="G300" s="18">
        <f t="shared" si="6"/>
        <v>0</v>
      </c>
    </row>
    <row r="301" spans="1:7" ht="15.75" x14ac:dyDescent="0.25">
      <c r="A301" s="15" t="str">
        <f>'PEDIDO 4'!$B$2</f>
        <v>Sorocaba-Orlando Motoku Yabiku Me</v>
      </c>
      <c r="B301" s="12" t="s">
        <v>455</v>
      </c>
      <c r="C301" s="1">
        <f>IFERROR(VLOOKUP(1201,'PEDIDO 4'!$C$2:$E$230,3,0),0)</f>
        <v>0</v>
      </c>
      <c r="D301" s="1">
        <f>IFERROR(VLOOKUP(1202,'PEDIDO 4'!$C$2:$E$230,3,0),0)</f>
        <v>0</v>
      </c>
      <c r="E301" s="1">
        <f>IFERROR(VLOOKUP(1203,'PEDIDO 4'!$C$2:$E$230,3,0),0)</f>
        <v>0</v>
      </c>
      <c r="F301" s="1">
        <f>IFERROR(VLOOKUP(1204,'PEDIDO 4'!$C$2:$E$230,3,0),0)</f>
        <v>0</v>
      </c>
      <c r="G301" s="18">
        <f t="shared" si="6"/>
        <v>0</v>
      </c>
    </row>
    <row r="302" spans="1:7" ht="15.75" x14ac:dyDescent="0.25">
      <c r="A302" s="15" t="str">
        <f>'PEDIDO 4'!$B$2</f>
        <v>Sorocaba-Orlando Motoku Yabiku Me</v>
      </c>
      <c r="B302" s="12" t="s">
        <v>456</v>
      </c>
      <c r="C302" s="1">
        <f>IFERROR(VLOOKUP(1205,'PEDIDO 4'!$C$2:$E$230,3,0),0)</f>
        <v>0</v>
      </c>
      <c r="D302" s="1">
        <f>IFERROR(VLOOKUP(1206,'PEDIDO 4'!$C$2:$E$230,3,0),0)</f>
        <v>0</v>
      </c>
      <c r="E302" s="1">
        <f>IFERROR(VLOOKUP(1207,'PEDIDO 4'!$C$2:$E$230,3,0),0)</f>
        <v>0</v>
      </c>
      <c r="F302" s="1">
        <f>IFERROR(VLOOKUP(1208,'PEDIDO 4'!$C$2:$E$230,3,0),0)</f>
        <v>0</v>
      </c>
      <c r="G302" s="18">
        <f t="shared" si="6"/>
        <v>0</v>
      </c>
    </row>
    <row r="303" spans="1:7" ht="15.75" x14ac:dyDescent="0.25">
      <c r="A303" s="15" t="str">
        <f>'PEDIDO 4'!$B$2</f>
        <v>Sorocaba-Orlando Motoku Yabiku Me</v>
      </c>
      <c r="B303" s="12" t="s">
        <v>457</v>
      </c>
      <c r="C303" s="1">
        <f>IFERROR(VLOOKUP(1213,'PEDIDO 4'!$C$2:$E$230,3,0),0)</f>
        <v>0</v>
      </c>
      <c r="D303" s="1">
        <f>IFERROR(VLOOKUP(1214,'PEDIDO 4'!$C$2:$E$230,3,0),0)</f>
        <v>0</v>
      </c>
      <c r="E303" s="1">
        <f>IFERROR(VLOOKUP(1215,'PEDIDO 4'!$C$2:$E$230,3,0),0)</f>
        <v>0</v>
      </c>
      <c r="F303" s="10">
        <f>IFERROR(VLOOKUP(1216,'PEDIDO 4'!$C$2:$E$230,3,0),0)</f>
        <v>0</v>
      </c>
      <c r="G303" s="18">
        <f t="shared" si="6"/>
        <v>0</v>
      </c>
    </row>
    <row r="304" spans="1:7" ht="15.75" x14ac:dyDescent="0.25">
      <c r="A304" s="15" t="str">
        <f>'PEDIDO 4'!$B$2</f>
        <v>Sorocaba-Orlando Motoku Yabiku Me</v>
      </c>
      <c r="B304" s="12" t="s">
        <v>458</v>
      </c>
      <c r="C304" s="1">
        <f>IFERROR(VLOOKUP(1209,'PEDIDO 4'!$C$2:$E$230,3,0),0)</f>
        <v>0</v>
      </c>
      <c r="D304" s="1">
        <f>IFERROR(VLOOKUP(1210,'PEDIDO 4'!$C$2:$E$230,3,0),0)</f>
        <v>0</v>
      </c>
      <c r="E304" s="1">
        <f>IFERROR(VLOOKUP(1211,'PEDIDO 4'!$C$2:$E$230,3,0),0)</f>
        <v>0</v>
      </c>
      <c r="F304" s="1">
        <f>IFERROR(VLOOKUP(1212,'PEDIDO 4'!$C$2:$E$230,3,0),0)</f>
        <v>0</v>
      </c>
      <c r="G304" s="18">
        <f t="shared" si="6"/>
        <v>0</v>
      </c>
    </row>
    <row r="305" spans="1:7" ht="15.75" x14ac:dyDescent="0.25">
      <c r="A305" s="15" t="str">
        <f>'PEDIDO 4'!$B$2</f>
        <v>Sorocaba-Orlando Motoku Yabiku Me</v>
      </c>
      <c r="B305" s="12" t="s">
        <v>459</v>
      </c>
      <c r="C305" s="1">
        <f>IFERROR(VLOOKUP(1217,'PEDIDO 4'!$C$2:$E$230,3,0),0)</f>
        <v>0</v>
      </c>
      <c r="D305" s="1">
        <f>IFERROR(VLOOKUP(1218,'PEDIDO 4'!$C$2:$E$230,3,0),0)</f>
        <v>0</v>
      </c>
      <c r="E305" s="1">
        <f>IFERROR(VLOOKUP(1219,'PEDIDO 4'!$C$2:$E$230,3,0),0)</f>
        <v>0</v>
      </c>
      <c r="F305" s="1">
        <f>IFERROR(VLOOKUP(1220,'PEDIDO 4'!$C$2:$E$230,3,0),0)</f>
        <v>0</v>
      </c>
      <c r="G305" s="18">
        <f t="shared" si="6"/>
        <v>0</v>
      </c>
    </row>
    <row r="306" spans="1:7" ht="15.75" x14ac:dyDescent="0.25">
      <c r="A306" s="15" t="str">
        <f>'PEDIDO 4'!$B$2</f>
        <v>Sorocaba-Orlando Motoku Yabiku Me</v>
      </c>
      <c r="B306" s="12" t="s">
        <v>461</v>
      </c>
      <c r="C306" s="1">
        <f>IFERROR(VLOOKUP(1225,'PEDIDO 4'!$C$2:$E$230,3,0),0)</f>
        <v>0</v>
      </c>
      <c r="D306" s="1">
        <f>IFERROR(VLOOKUP(1226,'PEDIDO 4'!$C$2:$E$230,3,0),0)</f>
        <v>0</v>
      </c>
      <c r="E306" s="1">
        <f>IFERROR(VLOOKUP(1227,'PEDIDO 4'!$C$2:$E$230,3,0),0)</f>
        <v>0</v>
      </c>
      <c r="F306" s="1">
        <f>IFERROR(VLOOKUP(1228,'PEDIDO 4'!$C$2:$E$230,3,0),0)</f>
        <v>0</v>
      </c>
      <c r="G306" s="18">
        <f t="shared" si="6"/>
        <v>0</v>
      </c>
    </row>
    <row r="307" spans="1:7" ht="15.75" x14ac:dyDescent="0.25">
      <c r="A307" s="15" t="str">
        <f>'PEDIDO 4'!$B$2</f>
        <v>Sorocaba-Orlando Motoku Yabiku Me</v>
      </c>
      <c r="B307" s="12" t="s">
        <v>462</v>
      </c>
      <c r="C307" s="1">
        <f>IFERROR(VLOOKUP(1221,'PEDIDO 4'!$C$2:$E$230,3,0),0)</f>
        <v>0</v>
      </c>
      <c r="D307" s="1">
        <f>IFERROR(VLOOKUP(1222,'PEDIDO 4'!$C$2:$E$230,3,0),0)</f>
        <v>0</v>
      </c>
      <c r="E307" s="1">
        <f>IFERROR(VLOOKUP(1223,'PEDIDO 4'!$C$2:$E$230,3,0),0)</f>
        <v>0</v>
      </c>
      <c r="F307" s="1">
        <f>IFERROR(VLOOKUP(1224,'PEDIDO 4'!$C$2:$E$230,3,0),0)</f>
        <v>0</v>
      </c>
      <c r="G307" s="18">
        <f t="shared" si="6"/>
        <v>0</v>
      </c>
    </row>
    <row r="308" spans="1:7" ht="15.75" x14ac:dyDescent="0.25">
      <c r="A308" s="15" t="str">
        <f>'PEDIDO 4'!$B$2</f>
        <v>Sorocaba-Orlando Motoku Yabiku Me</v>
      </c>
      <c r="B308" s="12" t="s">
        <v>460</v>
      </c>
      <c r="C308" s="1">
        <f>IFERROR(VLOOKUP(1229,'PEDIDO 4'!$C$2:$E$230,3,0),0)</f>
        <v>0</v>
      </c>
      <c r="D308" s="1">
        <f>IFERROR(VLOOKUP(1230,'PEDIDO 4'!$C$2:$E$230,3,0),0)</f>
        <v>0</v>
      </c>
      <c r="E308" s="1">
        <f>IFERROR(VLOOKUP(1231,'PEDIDO 4'!$C$2:$E$230,3,0),0)</f>
        <v>0</v>
      </c>
      <c r="F308" s="1">
        <f>IFERROR(VLOOKUP(1232,'PEDIDO 4'!$C$2:$E$230,3,0),0)</f>
        <v>0</v>
      </c>
      <c r="G308" s="18">
        <f t="shared" si="6"/>
        <v>0</v>
      </c>
    </row>
    <row r="309" spans="1:7" ht="15.75" x14ac:dyDescent="0.25">
      <c r="A309" s="15" t="str">
        <f>'PEDIDO 4'!$B$2</f>
        <v>Sorocaba-Orlando Motoku Yabiku Me</v>
      </c>
      <c r="B309" s="12" t="s">
        <v>463</v>
      </c>
      <c r="C309" s="1">
        <f>IFERROR(VLOOKUP(1233,'PEDIDO 4'!$C$2:$E$230,3,0),0)</f>
        <v>0</v>
      </c>
      <c r="D309" s="1">
        <f>IFERROR(VLOOKUP(1234,'PEDIDO 4'!$C$2:$E$230,3,0),0)</f>
        <v>0</v>
      </c>
      <c r="E309" s="1">
        <f>IFERROR(VLOOKUP(1235,'PEDIDO 4'!$C$2:$E$230,3,0),0)</f>
        <v>0</v>
      </c>
      <c r="F309" s="1">
        <f>IFERROR(VLOOKUP(1236,'PEDIDO 4'!$C$2:$E$230,3,0),0)</f>
        <v>0</v>
      </c>
      <c r="G309" s="18">
        <f t="shared" si="6"/>
        <v>0</v>
      </c>
    </row>
    <row r="310" spans="1:7" ht="15.75" x14ac:dyDescent="0.25">
      <c r="A310" s="15" t="str">
        <f>'PEDIDO 4'!$B$2</f>
        <v>Sorocaba-Orlando Motoku Yabiku Me</v>
      </c>
      <c r="B310" s="12" t="s">
        <v>464</v>
      </c>
      <c r="C310" s="1">
        <f>IFERROR(VLOOKUP(1237,'PEDIDO 4'!$C$2:$E$230,3,0),0)</f>
        <v>0</v>
      </c>
      <c r="D310" s="1">
        <f>IFERROR(VLOOKUP(1238,'PEDIDO 4'!$C$2:$E$230,3,0),0)</f>
        <v>0</v>
      </c>
      <c r="E310" s="1">
        <f>IFERROR(VLOOKUP(1239,'PEDIDO 4'!$C$2:$E$230,3,0),0)</f>
        <v>0</v>
      </c>
      <c r="F310" s="1">
        <f>IFERROR(VLOOKUP(1240,'PEDIDO 4'!$C$2:$E$230,3,0),0)</f>
        <v>0</v>
      </c>
      <c r="G310" s="18">
        <f t="shared" ref="G310:G322" si="7">SUM(C310+D310+E310+F310)</f>
        <v>0</v>
      </c>
    </row>
    <row r="311" spans="1:7" ht="15.75" x14ac:dyDescent="0.25">
      <c r="A311" s="15" t="str">
        <f>'PEDIDO 4'!$B$2</f>
        <v>Sorocaba-Orlando Motoku Yabiku Me</v>
      </c>
      <c r="B311" s="12" t="s">
        <v>465</v>
      </c>
      <c r="C311" s="1">
        <f>IFERROR(VLOOKUP(1241,'PEDIDO 4'!$C$2:$E$230,3,0),0)</f>
        <v>0</v>
      </c>
      <c r="D311" s="1">
        <f>IFERROR(VLOOKUP(1242,'PEDIDO 4'!$C$2:$E$230,3,0),0)</f>
        <v>0</v>
      </c>
      <c r="E311" s="1">
        <f>IFERROR(VLOOKUP(1243,'PEDIDO 4'!$C$2:$E$230,3,0),0)</f>
        <v>0</v>
      </c>
      <c r="F311" s="1">
        <f>IFERROR(VLOOKUP(1244,'PEDIDO 4'!$C$2:$E$230,3,0),0)</f>
        <v>0</v>
      </c>
      <c r="G311" s="18">
        <f t="shared" si="7"/>
        <v>0</v>
      </c>
    </row>
    <row r="312" spans="1:7" ht="15.75" x14ac:dyDescent="0.25">
      <c r="A312" s="15" t="str">
        <f>'PEDIDO 4'!$B$2</f>
        <v>Sorocaba-Orlando Motoku Yabiku Me</v>
      </c>
      <c r="B312" s="12" t="s">
        <v>466</v>
      </c>
      <c r="C312" s="1">
        <f>IFERROR(VLOOKUP(1245,'PEDIDO 4'!$C$2:$E$230,3,0),0)</f>
        <v>0</v>
      </c>
      <c r="D312" s="1">
        <f>IFERROR(VLOOKUP(1246,'PEDIDO 4'!$C$2:$E$230,3,0),0)</f>
        <v>0</v>
      </c>
      <c r="E312" s="1">
        <f>IFERROR(VLOOKUP(1247,'PEDIDO 4'!$C$2:$E$230,3,0),0)</f>
        <v>0</v>
      </c>
      <c r="F312" s="1">
        <f>IFERROR(VLOOKUP(1248,'PEDIDO 4'!$C$2:$E$230,3,0),0)</f>
        <v>0</v>
      </c>
      <c r="G312" s="18">
        <f t="shared" si="7"/>
        <v>0</v>
      </c>
    </row>
    <row r="313" spans="1:7" ht="15.75" x14ac:dyDescent="0.25">
      <c r="A313" s="15" t="str">
        <f>'PEDIDO 4'!$B$2</f>
        <v>Sorocaba-Orlando Motoku Yabiku Me</v>
      </c>
      <c r="B313" s="12" t="s">
        <v>467</v>
      </c>
      <c r="C313" s="1">
        <f>IFERROR(VLOOKUP(25714,'PEDIDO 4'!$C$2:$E$230,3,0),0)</f>
        <v>0</v>
      </c>
      <c r="D313" s="1"/>
      <c r="E313" s="1"/>
      <c r="F313" s="1"/>
      <c r="G313" s="18">
        <f t="shared" si="7"/>
        <v>0</v>
      </c>
    </row>
    <row r="314" spans="1:7" ht="15.75" x14ac:dyDescent="0.25">
      <c r="A314" s="15" t="str">
        <f>'PEDIDO 4'!$B$2</f>
        <v>Sorocaba-Orlando Motoku Yabiku Me</v>
      </c>
      <c r="B314" s="12" t="s">
        <v>468</v>
      </c>
      <c r="C314" s="1">
        <f>IFERROR(VLOOKUP(25712,'PEDIDO 4'!$C$2:$E$230,3,0),0)</f>
        <v>0</v>
      </c>
      <c r="D314" s="1"/>
      <c r="E314" s="1"/>
      <c r="F314" s="1"/>
      <c r="G314" s="18">
        <f t="shared" si="7"/>
        <v>0</v>
      </c>
    </row>
    <row r="315" spans="1:7" ht="15.75" x14ac:dyDescent="0.25">
      <c r="A315" s="15" t="str">
        <f>'PEDIDO 4'!$B$2</f>
        <v>Sorocaba-Orlando Motoku Yabiku Me</v>
      </c>
      <c r="B315" s="12" t="s">
        <v>469</v>
      </c>
      <c r="C315" s="1">
        <f>IFERROR(VLOOKUP(25713,'PEDIDO 4'!$C$2:$E$230,3,0),0)</f>
        <v>0</v>
      </c>
      <c r="D315" s="1"/>
      <c r="E315" s="1"/>
      <c r="F315" s="1"/>
      <c r="G315" s="18">
        <f t="shared" si="7"/>
        <v>0</v>
      </c>
    </row>
    <row r="316" spans="1:7" ht="15.75" x14ac:dyDescent="0.25">
      <c r="A316" s="15" t="str">
        <f>'PEDIDO 4'!$B$2</f>
        <v>Sorocaba-Orlando Motoku Yabiku Me</v>
      </c>
      <c r="B316" s="12" t="s">
        <v>470</v>
      </c>
      <c r="C316" s="1">
        <f>IFERROR(VLOOKUP(1260,'PEDIDO 4'!$C$2:$E$230,3,0),0)</f>
        <v>0</v>
      </c>
      <c r="D316" s="1"/>
      <c r="E316" s="1"/>
      <c r="F316" s="1"/>
      <c r="G316" s="18">
        <f t="shared" si="7"/>
        <v>0</v>
      </c>
    </row>
    <row r="317" spans="1:7" ht="15.75" x14ac:dyDescent="0.25">
      <c r="A317" s="15" t="str">
        <f>'PEDIDO 4'!$B$2</f>
        <v>Sorocaba-Orlando Motoku Yabiku Me</v>
      </c>
      <c r="B317" s="12" t="s">
        <v>471</v>
      </c>
      <c r="C317" s="1">
        <f>IFERROR(VLOOKUP(1261,'PEDIDO 4'!$C$2:$E$230,3,0),0)</f>
        <v>0</v>
      </c>
      <c r="D317" s="1"/>
      <c r="E317" s="1"/>
      <c r="F317" s="1"/>
      <c r="G317" s="18">
        <f t="shared" si="7"/>
        <v>0</v>
      </c>
    </row>
    <row r="318" spans="1:7" ht="15.75" x14ac:dyDescent="0.25">
      <c r="A318" s="15" t="str">
        <f>'PEDIDO 4'!$B$2</f>
        <v>Sorocaba-Orlando Motoku Yabiku Me</v>
      </c>
      <c r="B318" s="12" t="s">
        <v>472</v>
      </c>
      <c r="C318" s="1">
        <f>IFERROR(VLOOKUP(1262,'PEDIDO 4'!$C$2:$E$230,3,0),0)</f>
        <v>0</v>
      </c>
      <c r="D318" s="1"/>
      <c r="E318" s="1"/>
      <c r="F318" s="1"/>
      <c r="G318" s="18">
        <f t="shared" si="7"/>
        <v>0</v>
      </c>
    </row>
    <row r="319" spans="1:7" ht="15.75" x14ac:dyDescent="0.25">
      <c r="A319" s="15" t="str">
        <f>'PEDIDO 4'!$B$2</f>
        <v>Sorocaba-Orlando Motoku Yabiku Me</v>
      </c>
      <c r="B319" s="12" t="s">
        <v>473</v>
      </c>
      <c r="C319" s="1">
        <f>IFERROR(VLOOKUP(1263,'PEDIDO 4'!$C$2:$E$230,3,0),0)</f>
        <v>0</v>
      </c>
      <c r="D319" s="1"/>
      <c r="E319" s="1"/>
      <c r="F319" s="1"/>
      <c r="G319" s="18">
        <f t="shared" si="7"/>
        <v>0</v>
      </c>
    </row>
    <row r="320" spans="1:7" ht="15.75" x14ac:dyDescent="0.25">
      <c r="A320" s="15" t="str">
        <f>'PEDIDO 4'!$B$2</f>
        <v>Sorocaba-Orlando Motoku Yabiku Me</v>
      </c>
      <c r="B320" s="12" t="s">
        <v>474</v>
      </c>
      <c r="C320" s="1">
        <f>IFERROR(VLOOKUP(1264,'PEDIDO 4'!$C$2:$E$230,3,0),0)</f>
        <v>0</v>
      </c>
      <c r="D320" s="1"/>
      <c r="E320" s="1"/>
      <c r="F320" s="1"/>
      <c r="G320" s="18">
        <f t="shared" si="7"/>
        <v>0</v>
      </c>
    </row>
    <row r="321" spans="1:7" ht="15.75" x14ac:dyDescent="0.25">
      <c r="A321" s="15" t="str">
        <f>'PEDIDO 4'!$B$2</f>
        <v>Sorocaba-Orlando Motoku Yabiku Me</v>
      </c>
      <c r="B321" s="12" t="s">
        <v>475</v>
      </c>
      <c r="C321" s="1">
        <f>IFERROR(VLOOKUP(1265,'PEDIDO 4'!$C$2:$E$230,3,0),0)</f>
        <v>0</v>
      </c>
      <c r="D321" s="1"/>
      <c r="E321" s="1"/>
      <c r="F321" s="1"/>
      <c r="G321" s="18">
        <f t="shared" si="7"/>
        <v>0</v>
      </c>
    </row>
    <row r="322" spans="1:7" ht="15.75" x14ac:dyDescent="0.25">
      <c r="A322" s="15" t="str">
        <f>'PEDIDO 4'!$B$2</f>
        <v>Sorocaba-Orlando Motoku Yabiku Me</v>
      </c>
      <c r="B322" s="12" t="s">
        <v>476</v>
      </c>
      <c r="C322" s="1">
        <f>IFERROR(VLOOKUP(1266,'PEDIDO 4'!$C$2:$E$230,3,0),0)</f>
        <v>0</v>
      </c>
      <c r="D322" s="1"/>
      <c r="E322" s="1"/>
      <c r="F322" s="1"/>
      <c r="G322" s="18">
        <f t="shared" si="7"/>
        <v>0</v>
      </c>
    </row>
    <row r="323" spans="1:7" ht="15.75" x14ac:dyDescent="0.25">
      <c r="A323" s="15" t="str">
        <f>'PEDIDO 4'!$B$2</f>
        <v>Sorocaba-Orlando Motoku Yabiku Me</v>
      </c>
      <c r="B323" s="12" t="s">
        <v>477</v>
      </c>
      <c r="C323" s="1">
        <f>IFERROR(VLOOKUP(1268,'PEDIDO 4'!$C$2:$E$230,3,0),0)</f>
        <v>0</v>
      </c>
      <c r="D323" s="1">
        <f>IFERROR(VLOOKUP(1269,'PEDIDO 4'!$C$2:$E$230,3,0),0)</f>
        <v>0</v>
      </c>
      <c r="E323" s="1">
        <f>IFERROR(VLOOKUP(1270,'PEDIDO 4'!$C$2:$E$230,3,0),0)</f>
        <v>0</v>
      </c>
      <c r="F323" s="1">
        <f>IFERROR(VLOOKUP(1271,'PEDIDO 4'!$C$2:$E$230,3,0),0)</f>
        <v>0</v>
      </c>
      <c r="G323" s="18">
        <f>SUM(C323+D323+E323+F323)</f>
        <v>0</v>
      </c>
    </row>
    <row r="324" spans="1:7" ht="15.75" x14ac:dyDescent="0.25">
      <c r="A324" s="17"/>
      <c r="B324" s="13"/>
      <c r="C324" s="13"/>
      <c r="D324" s="13"/>
      <c r="E324" s="13"/>
      <c r="F324" s="13"/>
      <c r="G324" s="19"/>
    </row>
    <row r="325" spans="1:7" ht="15.75" x14ac:dyDescent="0.25">
      <c r="A325" s="17"/>
      <c r="B325" s="13"/>
      <c r="C325" s="13"/>
      <c r="D325" s="13"/>
      <c r="E325" s="13"/>
      <c r="F325" s="13"/>
      <c r="G325" s="19"/>
    </row>
    <row r="326" spans="1:7" ht="15.75" x14ac:dyDescent="0.25">
      <c r="A326" s="15" t="str">
        <f>'PEDIDO 5'!$B$2</f>
        <v>Sorocaba-Orlando Motoku Yabiku Me</v>
      </c>
      <c r="B326" s="12" t="s">
        <v>399</v>
      </c>
      <c r="C326" s="1">
        <f>IFERROR(VLOOKUP(1,'PEDIDO 5'!$C$2:$E$230,3,0),0)</f>
        <v>0</v>
      </c>
      <c r="D326" s="1">
        <f>IFERROR(VLOOKUP(2,'PEDIDO 5'!$C$2:$E$230,3,0),0)</f>
        <v>0</v>
      </c>
      <c r="E326" s="1">
        <f>IFERROR(VLOOKUP(3,'PEDIDO 5'!$C$2:$E$230,3,0),0)</f>
        <v>0</v>
      </c>
      <c r="F326" s="1">
        <f>IFERROR(VLOOKUP(282,'PEDIDO 5'!$C$2:$E$230,3,0),0)</f>
        <v>0</v>
      </c>
      <c r="G326" s="18">
        <f>SUM(C326+D326+E326+F326)</f>
        <v>0</v>
      </c>
    </row>
    <row r="327" spans="1:7" ht="15.75" x14ac:dyDescent="0.25">
      <c r="A327" s="15" t="str">
        <f>'PEDIDO 5'!$B$2</f>
        <v>Sorocaba-Orlando Motoku Yabiku Me</v>
      </c>
      <c r="B327" s="12" t="s">
        <v>400</v>
      </c>
      <c r="C327" s="1">
        <f>IFERROR(VLOOKUP(5,'PEDIDO 5'!$C$2:$E$230,3,0),0)</f>
        <v>0</v>
      </c>
      <c r="D327" s="1">
        <f>IFERROR(VLOOKUP(6,'PEDIDO 5'!$C$2:$E$230,3,0),0)</f>
        <v>0</v>
      </c>
      <c r="E327" s="1">
        <f>IFERROR(VLOOKUP(7,'PEDIDO 5'!$C$2:$E$230,3,0),0)</f>
        <v>0</v>
      </c>
      <c r="F327" s="1">
        <f>IFERROR(VLOOKUP(258,'PEDIDO 5'!$C$2:$E$230,3,0),0)</f>
        <v>25</v>
      </c>
      <c r="G327" s="18">
        <f t="shared" ref="G327:G390" si="8">SUM(C327+D327+E327+F327)</f>
        <v>25</v>
      </c>
    </row>
    <row r="328" spans="1:7" ht="15.75" x14ac:dyDescent="0.25">
      <c r="A328" s="15" t="str">
        <f>'PEDIDO 5'!$B$2</f>
        <v>Sorocaba-Orlando Motoku Yabiku Me</v>
      </c>
      <c r="B328" s="12" t="s">
        <v>401</v>
      </c>
      <c r="C328" s="1">
        <f>IFERROR(VLOOKUP(13,'PEDIDO 5'!$C$2:$E$230,3,0),0)</f>
        <v>0</v>
      </c>
      <c r="D328" s="1">
        <f>IFERROR(VLOOKUP(14,'PEDIDO 5'!$C$2:$E$230,3,0),0)</f>
        <v>0</v>
      </c>
      <c r="E328" s="1">
        <f>IFERROR(VLOOKUP(15,'PEDIDO 5'!$C$2:$E$230,3,0),0)</f>
        <v>0</v>
      </c>
      <c r="F328" s="1">
        <f>IFERROR(VLOOKUP(289,'PEDIDO 5'!$C$2:$E$230,3,0),0)</f>
        <v>0</v>
      </c>
      <c r="G328" s="18">
        <f t="shared" si="8"/>
        <v>0</v>
      </c>
    </row>
    <row r="329" spans="1:7" ht="15.75" x14ac:dyDescent="0.25">
      <c r="A329" s="15" t="str">
        <f>'PEDIDO 5'!$B$2</f>
        <v>Sorocaba-Orlando Motoku Yabiku Me</v>
      </c>
      <c r="B329" s="12" t="s">
        <v>402</v>
      </c>
      <c r="C329" s="1">
        <f>IFERROR(VLOOKUP(267,'PEDIDO 5'!$C$2:$E$230,3,0),0)</f>
        <v>0</v>
      </c>
      <c r="D329" s="1">
        <f>IFERROR(VLOOKUP(268,'PEDIDO 5'!$C$2:$E$230,3,0),0)</f>
        <v>0</v>
      </c>
      <c r="E329" s="1">
        <f>IFERROR(VLOOKUP(270,'PEDIDO 5'!$C$2:$E$230,3,0),0)</f>
        <v>0</v>
      </c>
      <c r="F329" s="1">
        <f>IFERROR(VLOOKUP(269,'PEDIDO 5'!$C$2:$E$230,3,0),0)</f>
        <v>0</v>
      </c>
      <c r="G329" s="18">
        <f t="shared" si="8"/>
        <v>0</v>
      </c>
    </row>
    <row r="330" spans="1:7" ht="15.75" x14ac:dyDescent="0.25">
      <c r="A330" s="15" t="str">
        <f>'PEDIDO 5'!$B$2</f>
        <v>Sorocaba-Orlando Motoku Yabiku Me</v>
      </c>
      <c r="B330" s="12" t="s">
        <v>403</v>
      </c>
      <c r="C330" s="1">
        <f>IFERROR(VLOOKUP(17,'PEDIDO 5'!$C$2:$E$230,3,0),0)</f>
        <v>0</v>
      </c>
      <c r="D330" s="1">
        <f>IFERROR(VLOOKUP(18,'PEDIDO 5'!$C$2:$E$230,3,0),0)</f>
        <v>0</v>
      </c>
      <c r="E330" s="1">
        <f>IFERROR(VLOOKUP(19,'PEDIDO 5'!$C$2:$E$230,3,0),0)</f>
        <v>0</v>
      </c>
      <c r="F330" s="1">
        <f>IFERROR(VLOOKUP(290,'PEDIDO 5'!$C$2:$E$230,3,0),0)</f>
        <v>0</v>
      </c>
      <c r="G330" s="18">
        <f t="shared" si="8"/>
        <v>0</v>
      </c>
    </row>
    <row r="331" spans="1:7" ht="15.75" x14ac:dyDescent="0.25">
      <c r="A331" s="15" t="str">
        <f>'PEDIDO 5'!$B$2</f>
        <v>Sorocaba-Orlando Motoku Yabiku Me</v>
      </c>
      <c r="B331" s="12" t="s">
        <v>404</v>
      </c>
      <c r="C331" s="1">
        <f>IFERROR(VLOOKUP(23,'PEDIDO 5'!$C$2:$E$230,3,0),0)</f>
        <v>0</v>
      </c>
      <c r="D331" s="1">
        <f>IFERROR(VLOOKUP(24,'PEDIDO 5'!$C$2:$E$230,3,0),0)</f>
        <v>0</v>
      </c>
      <c r="E331" s="1">
        <f>IFERROR(VLOOKUP(25,'PEDIDO 5'!$C$2:$E$230,3,0),0)</f>
        <v>0</v>
      </c>
      <c r="F331" s="1">
        <f>IFERROR(VLOOKUP(291,'PEDIDO 5'!$C$2:$E$230,3,0),0)</f>
        <v>0</v>
      </c>
      <c r="G331" s="18">
        <f t="shared" si="8"/>
        <v>0</v>
      </c>
    </row>
    <row r="332" spans="1:7" ht="15.75" x14ac:dyDescent="0.25">
      <c r="A332" s="15" t="str">
        <f>'PEDIDO 5'!$B$2</f>
        <v>Sorocaba-Orlando Motoku Yabiku Me</v>
      </c>
      <c r="B332" s="12" t="s">
        <v>405</v>
      </c>
      <c r="C332" s="1">
        <f>IFERROR(VLOOKUP(27,'PEDIDO 5'!$C$2:$E$230,3,0),0)</f>
        <v>0</v>
      </c>
      <c r="D332" s="1">
        <f>IFERROR(VLOOKUP(28,'PEDIDO 5'!$C$2:$E$230,3,0),0)</f>
        <v>0</v>
      </c>
      <c r="E332" s="1">
        <f>IFERROR(VLOOKUP(29,'PEDIDO 5'!$C$2:$E$230,3,0),0)</f>
        <v>0</v>
      </c>
      <c r="F332" s="1">
        <f>IFERROR(VLOOKUP(292,'PEDIDO 5'!$C$2:$E$230,3,0),0)</f>
        <v>0</v>
      </c>
      <c r="G332" s="18">
        <f t="shared" si="8"/>
        <v>0</v>
      </c>
    </row>
    <row r="333" spans="1:7" ht="15.75" x14ac:dyDescent="0.25">
      <c r="A333" s="15" t="str">
        <f>'PEDIDO 5'!$B$2</f>
        <v>Sorocaba-Orlando Motoku Yabiku Me</v>
      </c>
      <c r="B333" s="12" t="s">
        <v>406</v>
      </c>
      <c r="C333" s="1">
        <f>IFERROR(VLOOKUP(227,'PEDIDO 5'!$C$2:$E$230,3,0),0)</f>
        <v>0</v>
      </c>
      <c r="D333" s="1">
        <f>IFERROR(VLOOKUP(228,'PEDIDO 5'!$C$2:$E$230,3,0),0)</f>
        <v>0</v>
      </c>
      <c r="E333" s="1">
        <f>IFERROR(VLOOKUP(229,'PEDIDO 5'!$C$2:$E$230,3,0),0)</f>
        <v>0</v>
      </c>
      <c r="F333" s="1">
        <f>IFERROR(VLOOKUP(230,'PEDIDO 5'!$C$2:$E$230,3,0),0)</f>
        <v>0</v>
      </c>
      <c r="G333" s="18">
        <f t="shared" si="8"/>
        <v>0</v>
      </c>
    </row>
    <row r="334" spans="1:7" ht="15.75" x14ac:dyDescent="0.25">
      <c r="A334" s="15" t="str">
        <f>'PEDIDO 5'!$B$2</f>
        <v>Sorocaba-Orlando Motoku Yabiku Me</v>
      </c>
      <c r="B334" s="12" t="s">
        <v>407</v>
      </c>
      <c r="C334" s="1">
        <f>IFERROR(VLOOKUP(231,'PEDIDO 5'!$C$2:$E$230,3,0),0)</f>
        <v>0</v>
      </c>
      <c r="D334" s="1">
        <f>IFERROR(VLOOKUP(232,'PEDIDO 5'!$C$2:$E$230,3,0),0)</f>
        <v>0</v>
      </c>
      <c r="E334" s="1">
        <f>IFERROR(VLOOKUP(234,'PEDIDO 5'!$C$2:$E$230,3,0),0)</f>
        <v>0</v>
      </c>
      <c r="F334" s="1">
        <f>IFERROR(VLOOKUP(233,'PEDIDO 5'!$C$2:$E$230,3,0),0)</f>
        <v>0</v>
      </c>
      <c r="G334" s="18">
        <f t="shared" si="8"/>
        <v>0</v>
      </c>
    </row>
    <row r="335" spans="1:7" ht="15.75" x14ac:dyDescent="0.25">
      <c r="A335" s="15" t="str">
        <f>'PEDIDO 5'!$B$2</f>
        <v>Sorocaba-Orlando Motoku Yabiku Me</v>
      </c>
      <c r="B335" s="12" t="s">
        <v>408</v>
      </c>
      <c r="C335" s="1">
        <f>IFERROR(VLOOKUP(237,'PEDIDO 5'!$C$2:$E$230,3,0),0)</f>
        <v>0</v>
      </c>
      <c r="D335" s="1">
        <f>IFERROR(VLOOKUP(238,'PEDIDO 5'!$C$2:$E$230,3,0),0)</f>
        <v>0</v>
      </c>
      <c r="E335" s="1">
        <f>IFERROR(VLOOKUP(240,'PEDIDO 5'!$C$2:$E$230,3,0),0)</f>
        <v>0</v>
      </c>
      <c r="F335" s="1">
        <f>IFERROR(VLOOKUP(239,'PEDIDO 5'!$C$2:$E$230,3,0),0)</f>
        <v>0</v>
      </c>
      <c r="G335" s="18">
        <f t="shared" si="8"/>
        <v>0</v>
      </c>
    </row>
    <row r="336" spans="1:7" ht="15.75" x14ac:dyDescent="0.25">
      <c r="A336" s="15" t="str">
        <f>'PEDIDO 5'!$B$2</f>
        <v>Sorocaba-Orlando Motoku Yabiku Me</v>
      </c>
      <c r="B336" s="12" t="s">
        <v>409</v>
      </c>
      <c r="C336" s="1">
        <f>IFERROR(VLOOKUP(25707,'PEDIDO 5'!$C$2:$E$230,3,0),0)</f>
        <v>0</v>
      </c>
      <c r="D336" s="1">
        <f>IFERROR(VLOOKUP(25708,'PEDIDO 5'!$C$2:$E$230,3,0),0)</f>
        <v>0</v>
      </c>
      <c r="E336" s="1">
        <f>IFERROR(VLOOKUP(25710,'PEDIDO 5'!$C$2:$E$230,3,0),0)</f>
        <v>0</v>
      </c>
      <c r="F336" s="1">
        <f>IFERROR(VLOOKUP(25709,'PEDIDO 5'!$C$2:$E$230,3,0),0)</f>
        <v>0</v>
      </c>
      <c r="G336" s="18">
        <f t="shared" si="8"/>
        <v>0</v>
      </c>
    </row>
    <row r="337" spans="1:7" ht="15.75" x14ac:dyDescent="0.25">
      <c r="A337" s="15" t="str">
        <f>'PEDIDO 5'!$B$2</f>
        <v>Sorocaba-Orlando Motoku Yabiku Me</v>
      </c>
      <c r="B337" s="12" t="s">
        <v>410</v>
      </c>
      <c r="C337" s="1">
        <f>IFERROR(VLOOKUP(25711,'PEDIDO 5'!$C$2:$E$230,3,0),0)</f>
        <v>0</v>
      </c>
      <c r="D337" s="1"/>
      <c r="E337" s="1"/>
      <c r="F337" s="1"/>
      <c r="G337" s="18">
        <f t="shared" si="8"/>
        <v>0</v>
      </c>
    </row>
    <row r="338" spans="1:7" ht="15.75" x14ac:dyDescent="0.25">
      <c r="A338" s="15" t="str">
        <f>'PEDIDO 5'!$B$2</f>
        <v>Sorocaba-Orlando Motoku Yabiku Me</v>
      </c>
      <c r="B338" s="12" t="s">
        <v>411</v>
      </c>
      <c r="C338" s="1">
        <f>IFERROR(VLOOKUP(35,'PEDIDO 5'!$C$2:$E$230,3,0),0)</f>
        <v>0</v>
      </c>
      <c r="D338" s="1">
        <f>IFERROR(VLOOKUP(36,'PEDIDO 5'!$C$2:$E$230,3,0),0)</f>
        <v>0</v>
      </c>
      <c r="E338" s="1">
        <f>IFERROR(VLOOKUP(37,'PEDIDO 5'!$C$2:$E$230,3,0),0)</f>
        <v>0</v>
      </c>
      <c r="F338" s="1">
        <f>IFERROR(VLOOKUP(294,'PEDIDO 5'!$C$2:$E$230,3,0),0)</f>
        <v>0</v>
      </c>
      <c r="G338" s="18">
        <f t="shared" si="8"/>
        <v>0</v>
      </c>
    </row>
    <row r="339" spans="1:7" ht="15.75" x14ac:dyDescent="0.25">
      <c r="A339" s="15" t="str">
        <f>'PEDIDO 5'!$B$2</f>
        <v>Sorocaba-Orlando Motoku Yabiku Me</v>
      </c>
      <c r="B339" s="12" t="s">
        <v>412</v>
      </c>
      <c r="C339" s="1">
        <f>IFERROR(VLOOKUP(39,'PEDIDO 5'!$C$2:$E$230,3,0),0)</f>
        <v>0</v>
      </c>
      <c r="D339" s="1">
        <f>IFERROR(VLOOKUP(40,'PEDIDO 5'!$C$2:$E$230,3,0),0)</f>
        <v>0</v>
      </c>
      <c r="E339" s="1">
        <f>IFERROR(VLOOKUP(42,'PEDIDO 5'!$C$2:$E$230,3,0),0)</f>
        <v>0</v>
      </c>
      <c r="F339" s="1">
        <f>IFERROR(VLOOKUP(295,'PEDIDO 5'!$C$2:$E$230,3,0),0)</f>
        <v>0</v>
      </c>
      <c r="G339" s="18">
        <f t="shared" si="8"/>
        <v>0</v>
      </c>
    </row>
    <row r="340" spans="1:7" ht="15.75" x14ac:dyDescent="0.25">
      <c r="A340" s="15" t="str">
        <f>'PEDIDO 5'!$B$2</f>
        <v>Sorocaba-Orlando Motoku Yabiku Me</v>
      </c>
      <c r="B340" s="12" t="s">
        <v>413</v>
      </c>
      <c r="C340" s="1">
        <f>IFERROR(VLOOKUP(44,'PEDIDO 5'!$C$2:$E$230,3,0),0)</f>
        <v>0</v>
      </c>
      <c r="D340" s="1">
        <f>IFERROR(VLOOKUP(45,'PEDIDO 5'!$C$2:$E$230,3,0),0)</f>
        <v>0</v>
      </c>
      <c r="E340" s="1">
        <f>IFERROR(VLOOKUP(46,'PEDIDO 5'!$C$2:$E$230,3,0),0)</f>
        <v>0</v>
      </c>
      <c r="F340" s="1">
        <f>IFERROR(VLOOKUP(283,'PEDIDO 5'!$C$2:$E$230,3,0),0)</f>
        <v>0</v>
      </c>
      <c r="G340" s="18">
        <f t="shared" si="8"/>
        <v>0</v>
      </c>
    </row>
    <row r="341" spans="1:7" ht="15.75" x14ac:dyDescent="0.25">
      <c r="A341" s="15" t="str">
        <f>'PEDIDO 5'!$B$2</f>
        <v>Sorocaba-Orlando Motoku Yabiku Me</v>
      </c>
      <c r="B341" s="12" t="s">
        <v>414</v>
      </c>
      <c r="C341" s="1">
        <f>IFERROR(VLOOKUP(48,'PEDIDO 5'!$C$2:$E$230,3,0),0)</f>
        <v>0</v>
      </c>
      <c r="D341" s="1">
        <f>IFERROR(VLOOKUP(49,'PEDIDO 5'!$C$2:$E$230,3,0),0)</f>
        <v>0</v>
      </c>
      <c r="E341" s="1">
        <f>IFERROR(VLOOKUP(50,'PEDIDO 5'!$C$2:$E$230,3,0),0)</f>
        <v>0</v>
      </c>
      <c r="F341" s="1">
        <f>IFERROR(VLOOKUP(298,'PEDIDO 5'!$C$2:$E$230,3,0),0)</f>
        <v>0</v>
      </c>
      <c r="G341" s="18">
        <f t="shared" si="8"/>
        <v>0</v>
      </c>
    </row>
    <row r="342" spans="1:7" ht="15.75" x14ac:dyDescent="0.25">
      <c r="A342" s="15" t="str">
        <f>'PEDIDO 5'!$B$2</f>
        <v>Sorocaba-Orlando Motoku Yabiku Me</v>
      </c>
      <c r="B342" s="12" t="s">
        <v>415</v>
      </c>
      <c r="C342" s="1">
        <f>IFERROR(VLOOKUP(52,'PEDIDO 5'!$C$2:$E$230,3,0),0)</f>
        <v>0</v>
      </c>
      <c r="D342" s="1">
        <f>IFERROR(VLOOKUP(53,'PEDIDO 5'!$C$2:$E$230,3,0),0)</f>
        <v>0</v>
      </c>
      <c r="E342" s="1">
        <f>IFERROR(VLOOKUP(54,'PEDIDO 5'!$C$2:$E$230,3,0),0)</f>
        <v>0</v>
      </c>
      <c r="F342" s="1">
        <f>IFERROR(VLOOKUP(299,'PEDIDO 5'!$C$2:$E$230,3,0),0)</f>
        <v>3</v>
      </c>
      <c r="G342" s="18">
        <f t="shared" si="8"/>
        <v>3</v>
      </c>
    </row>
    <row r="343" spans="1:7" ht="15.75" x14ac:dyDescent="0.25">
      <c r="A343" s="15" t="str">
        <f>'PEDIDO 5'!$B$2</f>
        <v>Sorocaba-Orlando Motoku Yabiku Me</v>
      </c>
      <c r="B343" s="12" t="s">
        <v>416</v>
      </c>
      <c r="C343" s="1">
        <f>IFERROR(VLOOKUP(56,'PEDIDO 5'!$C$2:$E$230,3,0),0)</f>
        <v>0</v>
      </c>
      <c r="D343" s="1">
        <f>IFERROR(VLOOKUP(61,'PEDIDO 5'!$C$2:$E$230,3,0),0)</f>
        <v>0</v>
      </c>
      <c r="E343" s="1">
        <f>IFERROR(VLOOKUP(58,'PEDIDO 5'!$C$2:$E$230,3,0),0)</f>
        <v>0</v>
      </c>
      <c r="F343" s="1">
        <f>IFERROR(VLOOKUP(300,'PEDIDO 5'!$C$2:$E$230,3,0),0)</f>
        <v>0</v>
      </c>
      <c r="G343" s="18">
        <f t="shared" si="8"/>
        <v>0</v>
      </c>
    </row>
    <row r="344" spans="1:7" ht="15.75" x14ac:dyDescent="0.25">
      <c r="A344" s="15" t="str">
        <f>'PEDIDO 5'!$B$2</f>
        <v>Sorocaba-Orlando Motoku Yabiku Me</v>
      </c>
      <c r="B344" s="12" t="s">
        <v>417</v>
      </c>
      <c r="C344" s="1">
        <f>IFERROR(VLOOKUP(60,'PEDIDO 5'!$C$2:$E$230,3,0),0)</f>
        <v>0</v>
      </c>
      <c r="D344" s="1">
        <f>IFERROR(VLOOKUP(120,'PEDIDO 5'!$C$2:$E$230,3,0),0)</f>
        <v>0</v>
      </c>
      <c r="E344" s="1">
        <f>IFERROR(VLOOKUP(62,'PEDIDO 5'!$C$2:$E$230,3,0),0)</f>
        <v>0</v>
      </c>
      <c r="F344" s="1">
        <f>IFERROR(VLOOKUP(301,'PEDIDO 5'!$C$2:$E$230,3,0),0)</f>
        <v>0</v>
      </c>
      <c r="G344" s="18">
        <f t="shared" si="8"/>
        <v>0</v>
      </c>
    </row>
    <row r="345" spans="1:7" ht="15.75" x14ac:dyDescent="0.25">
      <c r="A345" s="15" t="str">
        <f>'PEDIDO 5'!$B$2</f>
        <v>Sorocaba-Orlando Motoku Yabiku Me</v>
      </c>
      <c r="B345" s="12" t="s">
        <v>426</v>
      </c>
      <c r="C345" s="1">
        <f>IFERROR(VLOOKUP(112,'PEDIDO 5'!$C$2:$E$230,3,0),0)</f>
        <v>0</v>
      </c>
      <c r="D345" s="1">
        <f>IFERROR(VLOOKUP(113,'PEDIDO 5'!$C$2:$E$230,3,0),0)</f>
        <v>0</v>
      </c>
      <c r="E345" s="1">
        <f>IFERROR(VLOOKUP(114,'PEDIDO 5'!$C$2:$E$230,3,0),0)</f>
        <v>0</v>
      </c>
      <c r="F345" s="1">
        <f>IFERROR(VLOOKUP(296,'PEDIDO 5'!$C$2:$E$230,3,0),0)</f>
        <v>0</v>
      </c>
      <c r="G345" s="18">
        <f t="shared" si="8"/>
        <v>0</v>
      </c>
    </row>
    <row r="346" spans="1:7" ht="15.75" x14ac:dyDescent="0.25">
      <c r="A346" s="15" t="str">
        <f>'PEDIDO 5'!$B$2</f>
        <v>Sorocaba-Orlando Motoku Yabiku Me</v>
      </c>
      <c r="B346" s="12" t="s">
        <v>427</v>
      </c>
      <c r="C346" s="1">
        <f>IFERROR(VLOOKUP(116,'PEDIDO 5'!$C$2:$E$230,3,0),0)</f>
        <v>0</v>
      </c>
      <c r="D346" s="1">
        <f>IFERROR(VLOOKUP(117,'PEDIDO 5'!$C$2:$E$230,3,0),0)</f>
        <v>0</v>
      </c>
      <c r="E346" s="1">
        <f>IFERROR(VLOOKUP(118,'PEDIDO 5'!$C$2:$E$230,3,0),0)</f>
        <v>0</v>
      </c>
      <c r="F346" s="1">
        <f>IFERROR(VLOOKUP(293,'PEDIDO 5'!$C$2:$E$230,3,0),0)</f>
        <v>0</v>
      </c>
      <c r="G346" s="18">
        <f t="shared" si="8"/>
        <v>0</v>
      </c>
    </row>
    <row r="347" spans="1:7" ht="15.75" x14ac:dyDescent="0.25">
      <c r="A347" s="15" t="str">
        <f>'PEDIDO 5'!$B$2</f>
        <v>Sorocaba-Orlando Motoku Yabiku Me</v>
      </c>
      <c r="B347" s="12" t="s">
        <v>418</v>
      </c>
      <c r="C347" s="1">
        <f>IFERROR(VLOOKUP(963,'PEDIDO 5'!$C$2:$E$230,3,0),0)</f>
        <v>0</v>
      </c>
      <c r="D347" s="1">
        <f>IFERROR(VLOOKUP(965,'PEDIDO 5'!$C$2:$E$230,3,0),0)</f>
        <v>0</v>
      </c>
      <c r="E347" s="1">
        <f>IFERROR(VLOOKUP(966,'PEDIDO 5'!$C$2:$E$230,3,0),0)</f>
        <v>0</v>
      </c>
      <c r="F347" s="1">
        <f>IFERROR(VLOOKUP(964,'PEDIDO 5'!$C$2:$E$230,3,0),0)</f>
        <v>0</v>
      </c>
      <c r="G347" s="18">
        <f t="shared" si="8"/>
        <v>0</v>
      </c>
    </row>
    <row r="348" spans="1:7" ht="15.75" x14ac:dyDescent="0.25">
      <c r="A348" s="15" t="str">
        <f>'PEDIDO 5'!$B$2</f>
        <v>Sorocaba-Orlando Motoku Yabiku Me</v>
      </c>
      <c r="B348" s="12" t="s">
        <v>419</v>
      </c>
      <c r="C348" s="1">
        <f>IFERROR(VLOOKUP(2042,'PEDIDO 5'!$C$2:$E$230,3,0),0)</f>
        <v>0</v>
      </c>
      <c r="D348" s="1">
        <f>IFERROR(VLOOKUP(2041,'PEDIDO 5'!$C$2:$E$230,3,0),0)</f>
        <v>0</v>
      </c>
      <c r="E348" s="1">
        <f>IFERROR(VLOOKUP(2043,'PEDIDO 5'!$C$2:$E$230,3,0),0)</f>
        <v>0</v>
      </c>
      <c r="F348" s="1">
        <f>IFERROR(VLOOKUP(2040,'PEDIDO 5'!$C$2:$E$230,3,0),0)</f>
        <v>0</v>
      </c>
      <c r="G348" s="18">
        <f t="shared" si="8"/>
        <v>0</v>
      </c>
    </row>
    <row r="349" spans="1:7" ht="15.75" x14ac:dyDescent="0.25">
      <c r="A349" s="15" t="str">
        <f>'PEDIDO 5'!$B$2</f>
        <v>Sorocaba-Orlando Motoku Yabiku Me</v>
      </c>
      <c r="B349" s="12" t="s">
        <v>420</v>
      </c>
      <c r="C349" s="1">
        <f>IFERROR(VLOOKUP(2045,'PEDIDO 5'!$C$2:$E$230,3,0),0)</f>
        <v>0</v>
      </c>
      <c r="D349" s="1">
        <f>IFERROR(VLOOKUP(2046,'PEDIDO 5'!$C$2:$E$230,3,0),0)</f>
        <v>0</v>
      </c>
      <c r="E349" s="1">
        <f>IFERROR(VLOOKUP(2047,'PEDIDO 5'!$C$2:$E$230,3,0),0)</f>
        <v>0</v>
      </c>
      <c r="F349" s="1">
        <f>IFERROR(VLOOKUP(2048,'PEDIDO 5'!$C$2:$E$230,3,0),0)</f>
        <v>0</v>
      </c>
      <c r="G349" s="18">
        <f t="shared" si="8"/>
        <v>0</v>
      </c>
    </row>
    <row r="350" spans="1:7" ht="15.75" x14ac:dyDescent="0.25">
      <c r="A350" s="15" t="str">
        <f>'PEDIDO 5'!$B$2</f>
        <v>Sorocaba-Orlando Motoku Yabiku Me</v>
      </c>
      <c r="B350" s="12" t="s">
        <v>421</v>
      </c>
      <c r="C350" s="1">
        <f>IFERROR(VLOOKUP(2050,'PEDIDO 5'!$C$2:$E$230,3,0),0)</f>
        <v>0</v>
      </c>
      <c r="D350" s="1">
        <f>IFERROR(VLOOKUP(2051,'PEDIDO 5'!$C$2:$E$230,3,0),0)</f>
        <v>0</v>
      </c>
      <c r="E350" s="1">
        <f>IFERROR(VLOOKUP(2052,'PEDIDO 5'!$C$2:$E$230,3,0),0)</f>
        <v>0</v>
      </c>
      <c r="F350" s="1">
        <f>IFERROR(VLOOKUP(2053,'PEDIDO 5'!$C$2:$E$230,3,0),0)</f>
        <v>0</v>
      </c>
      <c r="G350" s="18">
        <f t="shared" si="8"/>
        <v>0</v>
      </c>
    </row>
    <row r="351" spans="1:7" ht="15.75" x14ac:dyDescent="0.25">
      <c r="A351" s="15" t="str">
        <f>'PEDIDO 5'!$B$2</f>
        <v>Sorocaba-Orlando Motoku Yabiku Me</v>
      </c>
      <c r="B351" s="12" t="s">
        <v>422</v>
      </c>
      <c r="C351" s="1">
        <f>IFERROR(VLOOKUP(216,'PEDIDO 5'!$C$2:$E$230,3,0),0)</f>
        <v>0</v>
      </c>
      <c r="D351" s="1">
        <f>IFERROR(VLOOKUP(217,'PEDIDO 5'!$C$2:$E$230,3,0),0)</f>
        <v>0</v>
      </c>
      <c r="E351" s="1">
        <f>IFERROR(VLOOKUP(218,'PEDIDO 5'!$C$2:$E$230,3,0),0)</f>
        <v>0</v>
      </c>
      <c r="F351" s="1">
        <f>IFERROR(VLOOKUP(305,'PEDIDO 5'!$C$2:$E$230,3,0),0)</f>
        <v>0</v>
      </c>
      <c r="G351" s="18">
        <f t="shared" si="8"/>
        <v>0</v>
      </c>
    </row>
    <row r="352" spans="1:7" ht="15.75" x14ac:dyDescent="0.25">
      <c r="A352" s="15" t="str">
        <f>'PEDIDO 5'!$B$2</f>
        <v>Sorocaba-Orlando Motoku Yabiku Me</v>
      </c>
      <c r="B352" s="12" t="s">
        <v>423</v>
      </c>
      <c r="C352" s="1">
        <f>IFERROR(VLOOKUP(100,'PEDIDO 5'!$C$2:$E$230,3,0),0)</f>
        <v>0</v>
      </c>
      <c r="D352" s="1">
        <f>IFERROR(VLOOKUP(101,'PEDIDO 5'!$C$2:$E$230,3,0),0)</f>
        <v>0</v>
      </c>
      <c r="E352" s="1">
        <f>IFERROR(VLOOKUP(102,'PEDIDO 5'!$C$2:$E$230,3,0),0)</f>
        <v>0</v>
      </c>
      <c r="F352" s="1">
        <f>IFERROR(VLOOKUP(306,'PEDIDO 5'!$C$2:$E$230,3,0),0)</f>
        <v>0</v>
      </c>
      <c r="G352" s="18">
        <f t="shared" si="8"/>
        <v>0</v>
      </c>
    </row>
    <row r="353" spans="1:7" ht="15.75" x14ac:dyDescent="0.25">
      <c r="A353" s="15" t="str">
        <f>'PEDIDO 5'!$B$2</f>
        <v>Sorocaba-Orlando Motoku Yabiku Me</v>
      </c>
      <c r="B353" s="12" t="s">
        <v>424</v>
      </c>
      <c r="C353" s="1">
        <f>IFERROR(VLOOKUP(104,'PEDIDO 5'!$C$2:$E$230,3,0),0)</f>
        <v>0</v>
      </c>
      <c r="D353" s="1">
        <f>IFERROR(VLOOKUP(105,'PEDIDO 5'!$C$2:$E$230,3,0),0)</f>
        <v>0</v>
      </c>
      <c r="E353" s="1">
        <f>IFERROR(VLOOKUP(106,'PEDIDO 5'!$C$2:$E$230,3,0),0)</f>
        <v>0</v>
      </c>
      <c r="F353" s="1">
        <f>IFERROR(VLOOKUP(307,'PEDIDO 5'!$C$2:$E$230,3,0),0)</f>
        <v>0</v>
      </c>
      <c r="G353" s="18">
        <f t="shared" si="8"/>
        <v>0</v>
      </c>
    </row>
    <row r="354" spans="1:7" ht="15.75" x14ac:dyDescent="0.25">
      <c r="A354" s="15" t="str">
        <f>'PEDIDO 5'!$B$2</f>
        <v>Sorocaba-Orlando Motoku Yabiku Me</v>
      </c>
      <c r="B354" s="12" t="s">
        <v>425</v>
      </c>
      <c r="C354" s="1">
        <f>IFERROR(VLOOKUP(400,'PEDIDO 5'!$C$2:$E$230,3,0),0)</f>
        <v>0</v>
      </c>
      <c r="D354" s="1">
        <f>IFERROR(VLOOKUP(401,'PEDIDO 5'!$C$2:$E$230,3,0),0)</f>
        <v>0</v>
      </c>
      <c r="E354" s="1">
        <f>IFERROR(VLOOKUP(402,'PEDIDO 5'!$C$2:$E$230,3,0),0)</f>
        <v>0</v>
      </c>
      <c r="F354" s="1">
        <f>IFERROR(VLOOKUP(403,'PEDIDO 5'!$C$2:$E$230,3,0),0)</f>
        <v>0</v>
      </c>
      <c r="G354" s="18">
        <f t="shared" si="8"/>
        <v>0</v>
      </c>
    </row>
    <row r="355" spans="1:7" ht="15.75" x14ac:dyDescent="0.25">
      <c r="A355" s="15" t="str">
        <f>'PEDIDO 5'!$B$2</f>
        <v>Sorocaba-Orlando Motoku Yabiku Me</v>
      </c>
      <c r="B355" s="12" t="s">
        <v>428</v>
      </c>
      <c r="C355" s="1">
        <f>IFERROR(VLOOKUP(22,'PEDIDO 5'!$C$2:$E$230,3,0),0)</f>
        <v>0</v>
      </c>
      <c r="D355" s="1"/>
      <c r="E355" s="1"/>
      <c r="F355" s="1"/>
      <c r="G355" s="18">
        <f t="shared" si="8"/>
        <v>0</v>
      </c>
    </row>
    <row r="356" spans="1:7" ht="15.75" x14ac:dyDescent="0.25">
      <c r="A356" s="15" t="str">
        <f>'PEDIDO 5'!$B$2</f>
        <v>Sorocaba-Orlando Motoku Yabiku Me</v>
      </c>
      <c r="B356" s="12" t="s">
        <v>429</v>
      </c>
      <c r="C356" s="1">
        <f>IFERROR(VLOOKUP(21,'PEDIDO 5'!$C$2:$E$230,3,0),0)</f>
        <v>0</v>
      </c>
      <c r="D356" s="1"/>
      <c r="E356" s="1"/>
      <c r="F356" s="1"/>
      <c r="G356" s="18">
        <f t="shared" si="8"/>
        <v>0</v>
      </c>
    </row>
    <row r="357" spans="1:7" ht="15.75" x14ac:dyDescent="0.25">
      <c r="A357" s="15" t="str">
        <f>'PEDIDO 5'!$B$2</f>
        <v>Sorocaba-Orlando Motoku Yabiku Me</v>
      </c>
      <c r="B357" s="12" t="s">
        <v>430</v>
      </c>
      <c r="C357" s="1">
        <f>IFERROR(VLOOKUP(1125,'PEDIDO 5'!$C$2:$E$230,3,0),0)</f>
        <v>0</v>
      </c>
      <c r="D357" s="1">
        <f>IFERROR(VLOOKUP(1126,'PEDIDO 5'!$C$2:$E$230,3,0),0)</f>
        <v>0</v>
      </c>
      <c r="E357" s="1">
        <f>IFERROR(VLOOKUP(1127,'PEDIDO 5'!$C$2:$E$230,3,0),0)</f>
        <v>0</v>
      </c>
      <c r="F357" s="1">
        <f>IFERROR(VLOOKUP(1128,'PEDIDO 5'!$C$2:$E$230,3,0),0)</f>
        <v>0</v>
      </c>
      <c r="G357" s="18">
        <f t="shared" si="8"/>
        <v>0</v>
      </c>
    </row>
    <row r="358" spans="1:7" ht="15.75" x14ac:dyDescent="0.25">
      <c r="A358" s="15" t="str">
        <f>'PEDIDO 5'!$B$2</f>
        <v>Sorocaba-Orlando Motoku Yabiku Me</v>
      </c>
      <c r="B358" s="12" t="s">
        <v>431</v>
      </c>
      <c r="C358" s="1">
        <f>IFERROR(VLOOKUP(1133,'PEDIDO 5'!$C$2:$E$230,3,0),0)</f>
        <v>0</v>
      </c>
      <c r="D358" s="1">
        <f>IFERROR(VLOOKUP(1134,'PEDIDO 5'!$C$2:$E$230,3,0),0)</f>
        <v>0</v>
      </c>
      <c r="E358" s="1">
        <f>IFERROR(VLOOKUP(1135,'PEDIDO 5'!$C$2:$E$230,3,0),0)</f>
        <v>0</v>
      </c>
      <c r="F358" s="1">
        <f>IFERROR(VLOOKUP(1136,'PEDIDO 5'!$C$2:$E$230,3,0),0)</f>
        <v>0</v>
      </c>
      <c r="G358" s="18">
        <f t="shared" si="8"/>
        <v>0</v>
      </c>
    </row>
    <row r="359" spans="1:7" ht="15.75" x14ac:dyDescent="0.25">
      <c r="A359" s="15" t="str">
        <f>'PEDIDO 5'!$B$2</f>
        <v>Sorocaba-Orlando Motoku Yabiku Me</v>
      </c>
      <c r="B359" s="12" t="s">
        <v>432</v>
      </c>
      <c r="C359" s="1">
        <f>IFERROR(VLOOKUP(1105,'PEDIDO 5'!$C$2:$E$230,3,0),0)</f>
        <v>0</v>
      </c>
      <c r="D359" s="1">
        <f>IFERROR(VLOOKUP(1106,'PEDIDO 5'!$C$2:$E$230,3,0),0)</f>
        <v>0</v>
      </c>
      <c r="E359" s="1">
        <f>IFERROR(VLOOKUP(1107,'PEDIDO 5'!$C$2:$E$230,3,0),0)</f>
        <v>0</v>
      </c>
      <c r="F359" s="1">
        <f>IFERROR(VLOOKUP(1108,'PEDIDO 5'!$C$2:$E$230,3,0),0)</f>
        <v>0</v>
      </c>
      <c r="G359" s="18">
        <f t="shared" si="8"/>
        <v>0</v>
      </c>
    </row>
    <row r="360" spans="1:7" ht="15.75" x14ac:dyDescent="0.25">
      <c r="A360" s="15" t="str">
        <f>'PEDIDO 5'!$B$2</f>
        <v>Sorocaba-Orlando Motoku Yabiku Me</v>
      </c>
      <c r="B360" s="12" t="s">
        <v>433</v>
      </c>
      <c r="C360" s="1">
        <f>IFERROR(VLOOKUP(1109,'PEDIDO 5'!$C$2:$E$230,3,0),0)</f>
        <v>0</v>
      </c>
      <c r="D360" s="1">
        <f>IFERROR(VLOOKUP(1110,'PEDIDO 5'!$C$2:$E$230,3,0),0)</f>
        <v>0</v>
      </c>
      <c r="E360" s="1">
        <f>IFERROR(VLOOKUP(1111,'PEDIDO 5'!$C$2:$E$230,3,0),0)</f>
        <v>0</v>
      </c>
      <c r="F360" s="1">
        <f>IFERROR(VLOOKUP(1112,'PEDIDO 5'!$C$2:$E$230,3,0),0)</f>
        <v>0</v>
      </c>
      <c r="G360" s="18">
        <f t="shared" si="8"/>
        <v>0</v>
      </c>
    </row>
    <row r="361" spans="1:7" ht="15.75" x14ac:dyDescent="0.25">
      <c r="A361" s="15" t="str">
        <f>'PEDIDO 5'!$B$2</f>
        <v>Sorocaba-Orlando Motoku Yabiku Me</v>
      </c>
      <c r="B361" s="12" t="s">
        <v>434</v>
      </c>
      <c r="C361" s="1">
        <f>IFERROR(VLOOKUP(1113,'PEDIDO 5'!$C$2:$E$230,3,0),0)</f>
        <v>0</v>
      </c>
      <c r="D361" s="1">
        <f>IFERROR(VLOOKUP(1114,'PEDIDO 5'!$C$2:$E$230,3,0),0)</f>
        <v>0</v>
      </c>
      <c r="E361" s="1">
        <f>IFERROR(VLOOKUP(1115,'PEDIDO 5'!$C$2:$E$230,3,0),0)</f>
        <v>0</v>
      </c>
      <c r="F361" s="1">
        <f>IFERROR(VLOOKUP(1116,'PEDIDO 5'!$C$2:$E$230,3,0),0)</f>
        <v>0</v>
      </c>
      <c r="G361" s="18">
        <f t="shared" si="8"/>
        <v>0</v>
      </c>
    </row>
    <row r="362" spans="1:7" ht="15.75" x14ac:dyDescent="0.25">
      <c r="A362" s="15" t="str">
        <f>'PEDIDO 5'!$B$2</f>
        <v>Sorocaba-Orlando Motoku Yabiku Me</v>
      </c>
      <c r="B362" s="12" t="s">
        <v>435</v>
      </c>
      <c r="C362" s="1">
        <f>IFERROR(VLOOKUP(1117,'PEDIDO 5'!$C$2:$E$230,3,0),0)</f>
        <v>0</v>
      </c>
      <c r="D362" s="1">
        <f>IFERROR(VLOOKUP(1118,'PEDIDO 5'!$C$2:$E$230,3,0),0)</f>
        <v>0</v>
      </c>
      <c r="E362" s="1">
        <f>IFERROR(VLOOKUP(1119,'PEDIDO 5'!$C$2:$E$230,3,0),0)</f>
        <v>0</v>
      </c>
      <c r="F362" s="1">
        <f>IFERROR(VLOOKUP(1120,'PEDIDO 5'!$C$2:$E$230,3,0),0)</f>
        <v>0</v>
      </c>
      <c r="G362" s="18">
        <f t="shared" si="8"/>
        <v>0</v>
      </c>
    </row>
    <row r="363" spans="1:7" ht="15.75" x14ac:dyDescent="0.25">
      <c r="A363" s="15" t="str">
        <f>'PEDIDO 5'!$B$2</f>
        <v>Sorocaba-Orlando Motoku Yabiku Me</v>
      </c>
      <c r="B363" s="12" t="s">
        <v>436</v>
      </c>
      <c r="C363" s="1">
        <f>IFERROR(VLOOKUP(1121,'PEDIDO 5'!$C$2:$E$230,3,0),0)</f>
        <v>0</v>
      </c>
      <c r="D363" s="1">
        <f>IFERROR(VLOOKUP(1122,'PEDIDO 5'!$C$2:$E$230,3,0),0)</f>
        <v>0</v>
      </c>
      <c r="E363" s="1">
        <f>IFERROR(VLOOKUP(1123,'PEDIDO 5'!$C$2:$E$230,3,0),0)</f>
        <v>0</v>
      </c>
      <c r="F363" s="1">
        <f>IFERROR(VLOOKUP(1124,'PEDIDO 5'!$C$2:$E$230,3,0),0)</f>
        <v>0</v>
      </c>
      <c r="G363" s="18">
        <f t="shared" si="8"/>
        <v>0</v>
      </c>
    </row>
    <row r="364" spans="1:7" ht="15.75" x14ac:dyDescent="0.25">
      <c r="A364" s="15" t="str">
        <f>'PEDIDO 5'!$B$2</f>
        <v>Sorocaba-Orlando Motoku Yabiku Me</v>
      </c>
      <c r="B364" s="12" t="s">
        <v>437</v>
      </c>
      <c r="C364" s="1">
        <f>IFERROR(VLOOKUP(1129,'PEDIDO 5'!$C$2:$E$230,3,0),0)</f>
        <v>0</v>
      </c>
      <c r="D364" s="1">
        <f>IFERROR(VLOOKUP(1130,'PEDIDO 5'!$C$2:$E$230,3,0),0)</f>
        <v>0</v>
      </c>
      <c r="E364" s="1">
        <f>IFERROR(VLOOKUP(1131,'PEDIDO 5'!$C$2:$E$230,3,0),0)</f>
        <v>0</v>
      </c>
      <c r="F364" s="1">
        <f>IFERROR(VLOOKUP(1132,'PEDIDO 5'!$C$2:$E$230,3,0),0)</f>
        <v>0</v>
      </c>
      <c r="G364" s="18">
        <f t="shared" si="8"/>
        <v>0</v>
      </c>
    </row>
    <row r="365" spans="1:7" ht="15.75" x14ac:dyDescent="0.25">
      <c r="A365" s="15" t="str">
        <f>'PEDIDO 5'!$B$2</f>
        <v>Sorocaba-Orlando Motoku Yabiku Me</v>
      </c>
      <c r="B365" s="12" t="s">
        <v>438</v>
      </c>
      <c r="C365" s="1">
        <f>IFERROR(VLOOKUP(1137,'PEDIDO 5'!$C$2:$E$230,3,0),0)</f>
        <v>0</v>
      </c>
      <c r="D365" s="1">
        <f>IFERROR(VLOOKUP(1138,'PEDIDO 5'!$C$2:$E$230,3,0),0)</f>
        <v>0</v>
      </c>
      <c r="E365" s="1">
        <f>IFERROR(VLOOKUP(1139,'PEDIDO 5'!$C$2:$E$230,3,0),0)</f>
        <v>0</v>
      </c>
      <c r="F365" s="1">
        <f>IFERROR(VLOOKUP(1140,'PEDIDO 5'!$C$2:$E$230,3,0),0)</f>
        <v>0</v>
      </c>
      <c r="G365" s="18">
        <f t="shared" si="8"/>
        <v>0</v>
      </c>
    </row>
    <row r="366" spans="1:7" ht="15.75" x14ac:dyDescent="0.25">
      <c r="A366" s="15" t="str">
        <f>'PEDIDO 5'!$B$2</f>
        <v>Sorocaba-Orlando Motoku Yabiku Me</v>
      </c>
      <c r="B366" s="12" t="s">
        <v>439</v>
      </c>
      <c r="C366" s="1">
        <f>IFERROR(VLOOKUP(1141,'PEDIDO 5'!$C$2:$E$230,3,0),0)</f>
        <v>0</v>
      </c>
      <c r="D366" s="1">
        <f>IFERROR(VLOOKUP(1142,'PEDIDO 5'!$C$2:$E$230,3,0),0)</f>
        <v>0</v>
      </c>
      <c r="E366" s="1">
        <f>IFERROR(VLOOKUP(1143,'PEDIDO 5'!$C$2:$E$230,3,0),0)</f>
        <v>0</v>
      </c>
      <c r="F366" s="1">
        <f>IFERROR(VLOOKUP(1144,'PEDIDO 5'!$C$2:$E$230,3,0),0)</f>
        <v>0</v>
      </c>
      <c r="G366" s="18">
        <f t="shared" si="8"/>
        <v>0</v>
      </c>
    </row>
    <row r="367" spans="1:7" ht="15.75" x14ac:dyDescent="0.25">
      <c r="A367" s="15" t="str">
        <f>'PEDIDO 5'!$B$2</f>
        <v>Sorocaba-Orlando Motoku Yabiku Me</v>
      </c>
      <c r="B367" s="12" t="s">
        <v>440</v>
      </c>
      <c r="C367" s="1">
        <f>IFERROR(VLOOKUP(1145,'PEDIDO 5'!$C$2:$E$230,3,0),0)</f>
        <v>0</v>
      </c>
      <c r="D367" s="1">
        <f>IFERROR(VLOOKUP(1146,'PEDIDO 5'!$C$2:$E$230,3,0),0)</f>
        <v>0</v>
      </c>
      <c r="E367" s="1">
        <f>IFERROR(VLOOKUP(1147,'PEDIDO 5'!$C$2:$E$230,3,0),0)</f>
        <v>0</v>
      </c>
      <c r="F367" s="1">
        <f>IFERROR(VLOOKUP(1148,'PEDIDO 5'!$C$2:$E$230,3,0),0)</f>
        <v>0</v>
      </c>
      <c r="G367" s="18">
        <f t="shared" si="8"/>
        <v>0</v>
      </c>
    </row>
    <row r="368" spans="1:7" ht="15.75" x14ac:dyDescent="0.25">
      <c r="A368" s="15" t="str">
        <f>'PEDIDO 5'!$B$2</f>
        <v>Sorocaba-Orlando Motoku Yabiku Me</v>
      </c>
      <c r="B368" s="12" t="s">
        <v>441</v>
      </c>
      <c r="C368" s="1">
        <f>IFERROR(VLOOKUP(1149,'PEDIDO 5'!$C$2:$E$230,3,0),0)</f>
        <v>0</v>
      </c>
      <c r="D368" s="1">
        <f>IFERROR(VLOOKUP(1150,'PEDIDO 5'!$C$2:$E$230,3,0),0)</f>
        <v>0</v>
      </c>
      <c r="E368" s="1">
        <f>IFERROR(VLOOKUP(1151,'PEDIDO 5'!$C$2:$E$230,3,0),0)</f>
        <v>0</v>
      </c>
      <c r="F368" s="1">
        <f>IFERROR(VLOOKUP(1152,'PEDIDO 5'!$C$2:$E$230,3,0),0)</f>
        <v>0</v>
      </c>
      <c r="G368" s="18">
        <f t="shared" si="8"/>
        <v>0</v>
      </c>
    </row>
    <row r="369" spans="1:7" ht="15.75" x14ac:dyDescent="0.25">
      <c r="A369" s="15" t="str">
        <f>'PEDIDO 5'!$B$2</f>
        <v>Sorocaba-Orlando Motoku Yabiku Me</v>
      </c>
      <c r="B369" s="12" t="s">
        <v>442</v>
      </c>
      <c r="C369" s="1">
        <f>IFERROR(VLOOKUP(1153,'PEDIDO 5'!$C$2:$E$230,3,0),0)</f>
        <v>0</v>
      </c>
      <c r="D369" s="1">
        <f>IFERROR(VLOOKUP(1154,'PEDIDO 5'!$C$2:$E$230,3,0),0)</f>
        <v>0</v>
      </c>
      <c r="E369" s="1">
        <f>IFERROR(VLOOKUP(1155,'PEDIDO 5'!$C$2:$E$230,3,0),0)</f>
        <v>0</v>
      </c>
      <c r="F369" s="1">
        <f>IFERROR(VLOOKUP(1156,'PEDIDO 5'!$C$2:$E$230,3,0),0)</f>
        <v>0</v>
      </c>
      <c r="G369" s="18">
        <f t="shared" si="8"/>
        <v>0</v>
      </c>
    </row>
    <row r="370" spans="1:7" ht="15.75" x14ac:dyDescent="0.25">
      <c r="A370" s="15" t="str">
        <f>'PEDIDO 5'!$B$2</f>
        <v>Sorocaba-Orlando Motoku Yabiku Me</v>
      </c>
      <c r="B370" s="12" t="s">
        <v>443</v>
      </c>
      <c r="C370" s="1">
        <f>IFERROR(VLOOKUP(1157,'PEDIDO 5'!$C$2:$E$230,3,0),0)</f>
        <v>0</v>
      </c>
      <c r="D370" s="1">
        <f>IFERROR(VLOOKUP(1158,'PEDIDO 5'!$C$2:$E$230,3,0),0)</f>
        <v>0</v>
      </c>
      <c r="E370" s="1">
        <f>IFERROR(VLOOKUP(1159,'PEDIDO 5'!$C$2:$E$230,3,0),0)</f>
        <v>0</v>
      </c>
      <c r="F370" s="1">
        <f>IFERROR(VLOOKUP(1160,'PEDIDO 5'!$C$2:$E$230,3,0),0)</f>
        <v>0</v>
      </c>
      <c r="G370" s="18">
        <f t="shared" si="8"/>
        <v>0</v>
      </c>
    </row>
    <row r="371" spans="1:7" ht="15.75" x14ac:dyDescent="0.25">
      <c r="A371" s="15" t="str">
        <f>'PEDIDO 5'!$B$2</f>
        <v>Sorocaba-Orlando Motoku Yabiku Me</v>
      </c>
      <c r="B371" s="12" t="s">
        <v>444</v>
      </c>
      <c r="C371" s="1">
        <f>IFERROR(VLOOKUP(1161,'PEDIDO 5'!$C$2:$E$230,3,0),0)</f>
        <v>0</v>
      </c>
      <c r="D371" s="1">
        <f>IFERROR(VLOOKUP(1162,'PEDIDO 5'!$C$2:$E$230,3,0),0)</f>
        <v>0</v>
      </c>
      <c r="E371" s="1">
        <f>IFERROR(VLOOKUP(1163,'PEDIDO 5'!$C$2:$E$230,3,0),0)</f>
        <v>0</v>
      </c>
      <c r="F371" s="1">
        <f>IFERROR(VLOOKUP(1164,'PEDIDO 5'!$C$2:$E$230,3,0),0)</f>
        <v>0</v>
      </c>
      <c r="G371" s="18">
        <f t="shared" si="8"/>
        <v>0</v>
      </c>
    </row>
    <row r="372" spans="1:7" ht="15.75" x14ac:dyDescent="0.25">
      <c r="A372" s="15" t="str">
        <f>'PEDIDO 5'!$B$2</f>
        <v>Sorocaba-Orlando Motoku Yabiku Me</v>
      </c>
      <c r="B372" s="12" t="s">
        <v>445</v>
      </c>
      <c r="C372" s="1">
        <f>IFERROR(VLOOKUP(1165,'PEDIDO 5'!$C$2:$E$230,3,0),0)</f>
        <v>0</v>
      </c>
      <c r="D372" s="1">
        <f>IFERROR(VLOOKUP(1166,'PEDIDO 5'!$C$2:$E$230,3,0),0)</f>
        <v>0</v>
      </c>
      <c r="E372" s="1">
        <f>IFERROR(VLOOKUP(1167,'PEDIDO 5'!$C$2:$E$230,3,0),0)</f>
        <v>0</v>
      </c>
      <c r="F372" s="1">
        <f>IFERROR(VLOOKUP(1168,'PEDIDO 5'!$C$2:$E$230,3,0),0)</f>
        <v>0</v>
      </c>
      <c r="G372" s="18">
        <f t="shared" si="8"/>
        <v>0</v>
      </c>
    </row>
    <row r="373" spans="1:7" ht="15.75" x14ac:dyDescent="0.25">
      <c r="A373" s="15" t="str">
        <f>'PEDIDO 5'!$B$2</f>
        <v>Sorocaba-Orlando Motoku Yabiku Me</v>
      </c>
      <c r="B373" s="12" t="s">
        <v>446</v>
      </c>
      <c r="C373" s="1">
        <f>IFERROR(VLOOKUP(1169,'PEDIDO 5'!$C$2:$E$230,3,0),0)</f>
        <v>0</v>
      </c>
      <c r="D373" s="1">
        <f>IFERROR(VLOOKUP(1170,'PEDIDO 5'!$C$2:$E$230,3,0),0)</f>
        <v>0</v>
      </c>
      <c r="E373" s="1">
        <f>IFERROR(VLOOKUP(1171,'PEDIDO 5'!$C$2:$E$230,3,0),0)</f>
        <v>0</v>
      </c>
      <c r="F373" s="1">
        <f>IFERROR(VLOOKUP(1172,'PEDIDO 5'!$C$2:$E$230,3,0),0)</f>
        <v>0</v>
      </c>
      <c r="G373" s="18">
        <f t="shared" si="8"/>
        <v>0</v>
      </c>
    </row>
    <row r="374" spans="1:7" ht="15.75" x14ac:dyDescent="0.25">
      <c r="A374" s="15" t="str">
        <f>'PEDIDO 5'!$B$2</f>
        <v>Sorocaba-Orlando Motoku Yabiku Me</v>
      </c>
      <c r="B374" s="12" t="s">
        <v>447</v>
      </c>
      <c r="C374" s="1">
        <f>IFERROR(VLOOKUP(1173,'PEDIDO 5'!$C$2:$E$230,3,0),0)</f>
        <v>0</v>
      </c>
      <c r="D374" s="1">
        <f>IFERROR(VLOOKUP(1174,'PEDIDO 5'!$C$2:$E$230,3,0),0)</f>
        <v>0</v>
      </c>
      <c r="E374" s="1">
        <f>IFERROR(VLOOKUP(1175,'PEDIDO 5'!$C$2:$E$230,3,0),0)</f>
        <v>0</v>
      </c>
      <c r="F374" s="1">
        <f>IFERROR(VLOOKUP(1176,'PEDIDO 5'!$C$2:$E$230,3,0),0)</f>
        <v>0</v>
      </c>
      <c r="G374" s="18">
        <f t="shared" si="8"/>
        <v>0</v>
      </c>
    </row>
    <row r="375" spans="1:7" ht="15.75" x14ac:dyDescent="0.25">
      <c r="A375" s="15" t="str">
        <f>'PEDIDO 5'!$B$2</f>
        <v>Sorocaba-Orlando Motoku Yabiku Me</v>
      </c>
      <c r="B375" s="12" t="s">
        <v>448</v>
      </c>
      <c r="C375" s="1">
        <f>IFERROR(VLOOKUP(1249,'PEDIDO 5'!$C$2:$E$230,3,0),0)</f>
        <v>0</v>
      </c>
      <c r="D375" s="1">
        <f>IFERROR(VLOOKUP(1250,'PEDIDO 5'!$C$2:$E$230,3,0),0)</f>
        <v>0</v>
      </c>
      <c r="E375" s="1">
        <f>IFERROR(VLOOKUP(1251,'PEDIDO 5'!$C$2:$E$230,3,0),0)</f>
        <v>0</v>
      </c>
      <c r="F375" s="1">
        <f>IFERROR(VLOOKUP(1252,'PEDIDO 5'!$C$2:$E$230,3,0),0)</f>
        <v>0</v>
      </c>
      <c r="G375" s="18">
        <f t="shared" si="8"/>
        <v>0</v>
      </c>
    </row>
    <row r="376" spans="1:7" ht="15.75" x14ac:dyDescent="0.25">
      <c r="A376" s="15" t="str">
        <f>'PEDIDO 5'!$B$2</f>
        <v>Sorocaba-Orlando Motoku Yabiku Me</v>
      </c>
      <c r="B376" s="12" t="s">
        <v>449</v>
      </c>
      <c r="C376" s="1">
        <f>IFERROR(VLOOKUP(1177,'PEDIDO 5'!$C$2:$E$230,3,0),0)</f>
        <v>0</v>
      </c>
      <c r="D376" s="1">
        <f>IFERROR(VLOOKUP(1178,'PEDIDO 5'!$C$2:$E$230,3,0),0)</f>
        <v>0</v>
      </c>
      <c r="E376" s="1">
        <f>IFERROR(VLOOKUP(1179,'PEDIDO 5'!$C$2:$E$230,3,0),0)</f>
        <v>0</v>
      </c>
      <c r="F376" s="1">
        <f>IFERROR(VLOOKUP(1180,'PEDIDO 5'!$C$2:$E$230,3,0),0)</f>
        <v>0</v>
      </c>
      <c r="G376" s="18">
        <f t="shared" si="8"/>
        <v>0</v>
      </c>
    </row>
    <row r="377" spans="1:7" ht="15.75" x14ac:dyDescent="0.25">
      <c r="A377" s="15" t="str">
        <f>'PEDIDO 5'!$B$2</f>
        <v>Sorocaba-Orlando Motoku Yabiku Me</v>
      </c>
      <c r="B377" s="12" t="s">
        <v>450</v>
      </c>
      <c r="C377" s="1">
        <f>IFERROR(VLOOKUP(1181,'PEDIDO 5'!$C$2:$E$230,3,0),0)</f>
        <v>0</v>
      </c>
      <c r="D377" s="1">
        <f>IFERROR(VLOOKUP(1182,'PEDIDO 5'!$C$2:$E$230,3,0),0)</f>
        <v>0</v>
      </c>
      <c r="E377" s="1">
        <f>IFERROR(VLOOKUP(1183,'PEDIDO 5'!$C$2:$E$230,3,0),0)</f>
        <v>0</v>
      </c>
      <c r="F377" s="1">
        <f>IFERROR(VLOOKUP(1184,'PEDIDO 5'!$C$2:$E$230,3,0),0)</f>
        <v>0</v>
      </c>
      <c r="G377" s="18">
        <f t="shared" si="8"/>
        <v>0</v>
      </c>
    </row>
    <row r="378" spans="1:7" ht="15.75" x14ac:dyDescent="0.25">
      <c r="A378" s="15" t="str">
        <f>'PEDIDO 5'!$B$2</f>
        <v>Sorocaba-Orlando Motoku Yabiku Me</v>
      </c>
      <c r="B378" s="12" t="s">
        <v>451</v>
      </c>
      <c r="C378" s="1">
        <f>IFERROR(VLOOKUP(1185,'PEDIDO 5'!$C$2:$E$230,3,0),0)</f>
        <v>0</v>
      </c>
      <c r="D378" s="1">
        <f>IFERROR(VLOOKUP(1186,'PEDIDO 5'!$C$2:$E$230,3,0),0)</f>
        <v>0</v>
      </c>
      <c r="E378" s="1">
        <f>IFERROR(VLOOKUP(1187,'PEDIDO 5'!$C$2:$E$230,3,0),0)</f>
        <v>0</v>
      </c>
      <c r="F378" s="1">
        <f>IFERROR(VLOOKUP(1188,'PEDIDO 5'!$C$2:$E$230,3,0),0)</f>
        <v>0</v>
      </c>
      <c r="G378" s="18">
        <f t="shared" si="8"/>
        <v>0</v>
      </c>
    </row>
    <row r="379" spans="1:7" ht="15.75" x14ac:dyDescent="0.25">
      <c r="A379" s="15" t="str">
        <f>'PEDIDO 5'!$B$2</f>
        <v>Sorocaba-Orlando Motoku Yabiku Me</v>
      </c>
      <c r="B379" s="12" t="s">
        <v>452</v>
      </c>
      <c r="C379" s="1">
        <f>IFERROR(VLOOKUP(1189,'PEDIDO 5'!$C$2:$E$230,3,0),0)</f>
        <v>0</v>
      </c>
      <c r="D379" s="1">
        <f>IFERROR(VLOOKUP(1190,'PEDIDO 5'!$C$2:$E$230,3,0),0)</f>
        <v>0</v>
      </c>
      <c r="E379" s="1">
        <f>IFERROR(VLOOKUP(1191,'PEDIDO 5'!$C$2:$E$230,3,0),0)</f>
        <v>0</v>
      </c>
      <c r="F379" s="1">
        <f>IFERROR(VLOOKUP(1192,'PEDIDO 5'!$C$2:$E$230,3,0),0)</f>
        <v>0</v>
      </c>
      <c r="G379" s="18">
        <f t="shared" si="8"/>
        <v>0</v>
      </c>
    </row>
    <row r="380" spans="1:7" ht="15.75" x14ac:dyDescent="0.25">
      <c r="A380" s="15" t="str">
        <f>'PEDIDO 5'!$B$2</f>
        <v>Sorocaba-Orlando Motoku Yabiku Me</v>
      </c>
      <c r="B380" s="12" t="s">
        <v>453</v>
      </c>
      <c r="C380" s="1">
        <f>IFERROR(VLOOKUP(1193,'PEDIDO 5'!$C$2:$E$230,3,0),0)</f>
        <v>0</v>
      </c>
      <c r="D380" s="1">
        <f>IFERROR(VLOOKUP(1194,'PEDIDO 5'!$C$2:$E$230,3,0),0)</f>
        <v>0</v>
      </c>
      <c r="E380" s="1">
        <f>IFERROR(VLOOKUP(1195,'PEDIDO 5'!$C$2:$E$230,3,0),0)</f>
        <v>0</v>
      </c>
      <c r="F380" s="1">
        <f>IFERROR(VLOOKUP(1196,'PEDIDO 5'!$C$2:$E$230,3,0),0)</f>
        <v>0</v>
      </c>
      <c r="G380" s="18">
        <f t="shared" si="8"/>
        <v>0</v>
      </c>
    </row>
    <row r="381" spans="1:7" ht="15.75" x14ac:dyDescent="0.25">
      <c r="A381" s="15" t="str">
        <f>'PEDIDO 5'!$B$2</f>
        <v>Sorocaba-Orlando Motoku Yabiku Me</v>
      </c>
      <c r="B381" s="12" t="s">
        <v>454</v>
      </c>
      <c r="C381" s="1">
        <f>IFERROR(VLOOKUP(1197,'PEDIDO 5'!$C$2:$E$230,3,0),0)</f>
        <v>0</v>
      </c>
      <c r="D381" s="1">
        <f>IFERROR(VLOOKUP(1198,'PEDIDO 5'!$C$2:$E$230,3,0),0)</f>
        <v>0</v>
      </c>
      <c r="E381" s="1">
        <f>IFERROR(VLOOKUP(1199,'PEDIDO 5'!$C$2:$E$230,3,0),0)</f>
        <v>0</v>
      </c>
      <c r="F381" s="1">
        <f>IFERROR(VLOOKUP(1200,'PEDIDO 5'!$C$2:$E$230,3,0),0)</f>
        <v>0</v>
      </c>
      <c r="G381" s="18">
        <f t="shared" si="8"/>
        <v>0</v>
      </c>
    </row>
    <row r="382" spans="1:7" ht="15.75" x14ac:dyDescent="0.25">
      <c r="A382" s="15" t="str">
        <f>'PEDIDO 5'!$B$2</f>
        <v>Sorocaba-Orlando Motoku Yabiku Me</v>
      </c>
      <c r="B382" s="12" t="s">
        <v>455</v>
      </c>
      <c r="C382" s="1">
        <f>IFERROR(VLOOKUP(1201,'PEDIDO 5'!$C$2:$E$230,3,0),0)</f>
        <v>0</v>
      </c>
      <c r="D382" s="1">
        <f>IFERROR(VLOOKUP(1202,'PEDIDO 5'!$C$2:$E$230,3,0),0)</f>
        <v>0</v>
      </c>
      <c r="E382" s="1">
        <f>IFERROR(VLOOKUP(1203,'PEDIDO 5'!$C$2:$E$230,3,0),0)</f>
        <v>0</v>
      </c>
      <c r="F382" s="1">
        <f>IFERROR(VLOOKUP(1204,'PEDIDO 5'!$C$2:$E$230,3,0),0)</f>
        <v>0</v>
      </c>
      <c r="G382" s="18">
        <f t="shared" si="8"/>
        <v>0</v>
      </c>
    </row>
    <row r="383" spans="1:7" ht="15.75" x14ac:dyDescent="0.25">
      <c r="A383" s="15" t="str">
        <f>'PEDIDO 5'!$B$2</f>
        <v>Sorocaba-Orlando Motoku Yabiku Me</v>
      </c>
      <c r="B383" s="12" t="s">
        <v>456</v>
      </c>
      <c r="C383" s="1">
        <f>IFERROR(VLOOKUP(1205,'PEDIDO 5'!$C$2:$E$230,3,0),0)</f>
        <v>0</v>
      </c>
      <c r="D383" s="1">
        <f>IFERROR(VLOOKUP(1206,'PEDIDO 5'!$C$2:$E$230,3,0),0)</f>
        <v>0</v>
      </c>
      <c r="E383" s="1">
        <f>IFERROR(VLOOKUP(1207,'PEDIDO 5'!$C$2:$E$230,3,0),0)</f>
        <v>0</v>
      </c>
      <c r="F383" s="1">
        <f>IFERROR(VLOOKUP(1208,'PEDIDO 5'!$C$2:$E$230,3,0),0)</f>
        <v>0</v>
      </c>
      <c r="G383" s="18">
        <f t="shared" si="8"/>
        <v>0</v>
      </c>
    </row>
    <row r="384" spans="1:7" ht="15.75" x14ac:dyDescent="0.25">
      <c r="A384" s="15" t="str">
        <f>'PEDIDO 5'!$B$2</f>
        <v>Sorocaba-Orlando Motoku Yabiku Me</v>
      </c>
      <c r="B384" s="12" t="s">
        <v>457</v>
      </c>
      <c r="C384" s="1">
        <f>IFERROR(VLOOKUP(1213,'PEDIDO 5'!$C$2:$E$230,3,0),0)</f>
        <v>0</v>
      </c>
      <c r="D384" s="1">
        <f>IFERROR(VLOOKUP(1214,'PEDIDO 5'!$C$2:$E$230,3,0),0)</f>
        <v>0</v>
      </c>
      <c r="E384" s="1">
        <f>IFERROR(VLOOKUP(1215,'PEDIDO 5'!$C$2:$E$230,3,0),0)</f>
        <v>0</v>
      </c>
      <c r="F384" s="10">
        <f>IFERROR(VLOOKUP(1216,'PEDIDO 5'!$C$2:$E$230,3,0),0)</f>
        <v>0</v>
      </c>
      <c r="G384" s="18">
        <f t="shared" si="8"/>
        <v>0</v>
      </c>
    </row>
    <row r="385" spans="1:7" ht="15.75" x14ac:dyDescent="0.25">
      <c r="A385" s="15" t="str">
        <f>'PEDIDO 5'!$B$2</f>
        <v>Sorocaba-Orlando Motoku Yabiku Me</v>
      </c>
      <c r="B385" s="12" t="s">
        <v>458</v>
      </c>
      <c r="C385" s="1">
        <f>IFERROR(VLOOKUP(1209,'PEDIDO 5'!$C$2:$E$230,3,0),0)</f>
        <v>0</v>
      </c>
      <c r="D385" s="1">
        <f>IFERROR(VLOOKUP(1210,'PEDIDO 5'!$C$2:$E$230,3,0),0)</f>
        <v>0</v>
      </c>
      <c r="E385" s="1">
        <f>IFERROR(VLOOKUP(1211,'PEDIDO 5'!$C$2:$E$230,3,0),0)</f>
        <v>0</v>
      </c>
      <c r="F385" s="1">
        <f>IFERROR(VLOOKUP(1212,'PEDIDO 5'!$C$2:$E$230,3,0),0)</f>
        <v>0</v>
      </c>
      <c r="G385" s="18">
        <f t="shared" si="8"/>
        <v>0</v>
      </c>
    </row>
    <row r="386" spans="1:7" ht="15.75" x14ac:dyDescent="0.25">
      <c r="A386" s="15" t="str">
        <f>'PEDIDO 5'!$B$2</f>
        <v>Sorocaba-Orlando Motoku Yabiku Me</v>
      </c>
      <c r="B386" s="12" t="s">
        <v>459</v>
      </c>
      <c r="C386" s="1">
        <f>IFERROR(VLOOKUP(1217,'PEDIDO 5'!$C$2:$E$230,3,0),0)</f>
        <v>0</v>
      </c>
      <c r="D386" s="1">
        <f>IFERROR(VLOOKUP(1218,'PEDIDO 5'!$C$2:$E$230,3,0),0)</f>
        <v>0</v>
      </c>
      <c r="E386" s="1">
        <f>IFERROR(VLOOKUP(1219,'PEDIDO 5'!$C$2:$E$230,3,0),0)</f>
        <v>0</v>
      </c>
      <c r="F386" s="1">
        <f>IFERROR(VLOOKUP(1220,'PEDIDO 5'!$C$2:$E$230,3,0),0)</f>
        <v>0</v>
      </c>
      <c r="G386" s="18">
        <f t="shared" si="8"/>
        <v>0</v>
      </c>
    </row>
    <row r="387" spans="1:7" ht="15.75" x14ac:dyDescent="0.25">
      <c r="A387" s="15" t="str">
        <f>'PEDIDO 5'!$B$2</f>
        <v>Sorocaba-Orlando Motoku Yabiku Me</v>
      </c>
      <c r="B387" s="12" t="s">
        <v>461</v>
      </c>
      <c r="C387" s="1">
        <f>IFERROR(VLOOKUP(1225,'PEDIDO 5'!$C$2:$E$230,3,0),0)</f>
        <v>0</v>
      </c>
      <c r="D387" s="1">
        <f>IFERROR(VLOOKUP(1226,'PEDIDO 5'!$C$2:$E$230,3,0),0)</f>
        <v>0</v>
      </c>
      <c r="E387" s="1">
        <f>IFERROR(VLOOKUP(1227,'PEDIDO 5'!$C$2:$E$230,3,0),0)</f>
        <v>0</v>
      </c>
      <c r="F387" s="1">
        <f>IFERROR(VLOOKUP(1228,'PEDIDO 5'!$C$2:$E$230,3,0),0)</f>
        <v>0</v>
      </c>
      <c r="G387" s="18">
        <f t="shared" si="8"/>
        <v>0</v>
      </c>
    </row>
    <row r="388" spans="1:7" ht="15.75" x14ac:dyDescent="0.25">
      <c r="A388" s="15" t="str">
        <f>'PEDIDO 5'!$B$2</f>
        <v>Sorocaba-Orlando Motoku Yabiku Me</v>
      </c>
      <c r="B388" s="12" t="s">
        <v>462</v>
      </c>
      <c r="C388" s="1">
        <f>IFERROR(VLOOKUP(1221,'PEDIDO 5'!$C$2:$E$230,3,0),0)</f>
        <v>0</v>
      </c>
      <c r="D388" s="1">
        <f>IFERROR(VLOOKUP(1222,'PEDIDO 5'!$C$2:$E$230,3,0),0)</f>
        <v>0</v>
      </c>
      <c r="E388" s="1">
        <f>IFERROR(VLOOKUP(1223,'PEDIDO 5'!$C$2:$E$230,3,0),0)</f>
        <v>0</v>
      </c>
      <c r="F388" s="1">
        <f>IFERROR(VLOOKUP(1224,'PEDIDO 5'!$C$2:$E$230,3,0),0)</f>
        <v>0</v>
      </c>
      <c r="G388" s="18">
        <f t="shared" si="8"/>
        <v>0</v>
      </c>
    </row>
    <row r="389" spans="1:7" ht="15.75" x14ac:dyDescent="0.25">
      <c r="A389" s="15" t="str">
        <f>'PEDIDO 5'!$B$2</f>
        <v>Sorocaba-Orlando Motoku Yabiku Me</v>
      </c>
      <c r="B389" s="12" t="s">
        <v>460</v>
      </c>
      <c r="C389" s="1">
        <f>IFERROR(VLOOKUP(1229,'PEDIDO 5'!$C$2:$E$230,3,0),0)</f>
        <v>0</v>
      </c>
      <c r="D389" s="1">
        <f>IFERROR(VLOOKUP(1230,'PEDIDO 5'!$C$2:$E$230,3,0),0)</f>
        <v>0</v>
      </c>
      <c r="E389" s="1">
        <f>IFERROR(VLOOKUP(1231,'PEDIDO 5'!$C$2:$E$230,3,0),0)</f>
        <v>0</v>
      </c>
      <c r="F389" s="1">
        <f>IFERROR(VLOOKUP(1232,'PEDIDO 5'!$C$2:$E$230,3,0),0)</f>
        <v>0</v>
      </c>
      <c r="G389" s="18">
        <f t="shared" si="8"/>
        <v>0</v>
      </c>
    </row>
    <row r="390" spans="1:7" ht="15.75" x14ac:dyDescent="0.25">
      <c r="A390" s="15" t="str">
        <f>'PEDIDO 5'!$B$2</f>
        <v>Sorocaba-Orlando Motoku Yabiku Me</v>
      </c>
      <c r="B390" s="12" t="s">
        <v>463</v>
      </c>
      <c r="C390" s="1">
        <f>IFERROR(VLOOKUP(1233,'PEDIDO 5'!$C$2:$E$230,3,0),0)</f>
        <v>0</v>
      </c>
      <c r="D390" s="1">
        <f>IFERROR(VLOOKUP(1234,'PEDIDO 5'!$C$2:$E$230,3,0),0)</f>
        <v>0</v>
      </c>
      <c r="E390" s="1">
        <f>IFERROR(VLOOKUP(1235,'PEDIDO 5'!$C$2:$E$230,3,0),0)</f>
        <v>0</v>
      </c>
      <c r="F390" s="1">
        <f>IFERROR(VLOOKUP(1236,'PEDIDO 5'!$C$2:$E$230,3,0),0)</f>
        <v>0</v>
      </c>
      <c r="G390" s="18">
        <f t="shared" si="8"/>
        <v>0</v>
      </c>
    </row>
    <row r="391" spans="1:7" ht="15.75" x14ac:dyDescent="0.25">
      <c r="A391" s="15" t="str">
        <f>'PEDIDO 5'!$B$2</f>
        <v>Sorocaba-Orlando Motoku Yabiku Me</v>
      </c>
      <c r="B391" s="12" t="s">
        <v>464</v>
      </c>
      <c r="C391" s="1">
        <f>IFERROR(VLOOKUP(1237,'PEDIDO 5'!$C$2:$E$230,3,0),0)</f>
        <v>0</v>
      </c>
      <c r="D391" s="1">
        <f>IFERROR(VLOOKUP(1238,'PEDIDO 5'!$C$2:$E$230,3,0),0)</f>
        <v>0</v>
      </c>
      <c r="E391" s="1">
        <f>IFERROR(VLOOKUP(1239,'PEDIDO 5'!$C$2:$E$230,3,0),0)</f>
        <v>0</v>
      </c>
      <c r="F391" s="1">
        <f>IFERROR(VLOOKUP(1240,'PEDIDO 5'!$C$2:$E$230,3,0),0)</f>
        <v>0</v>
      </c>
      <c r="G391" s="18">
        <f t="shared" ref="G391:G403" si="9">SUM(C391+D391+E391+F391)</f>
        <v>0</v>
      </c>
    </row>
    <row r="392" spans="1:7" ht="15.75" x14ac:dyDescent="0.25">
      <c r="A392" s="15" t="str">
        <f>'PEDIDO 5'!$B$2</f>
        <v>Sorocaba-Orlando Motoku Yabiku Me</v>
      </c>
      <c r="B392" s="12" t="s">
        <v>465</v>
      </c>
      <c r="C392" s="1">
        <f>IFERROR(VLOOKUP(1241,'PEDIDO 5'!$C$2:$E$230,3,0),0)</f>
        <v>0</v>
      </c>
      <c r="D392" s="1">
        <f>IFERROR(VLOOKUP(1242,'PEDIDO 5'!$C$2:$E$230,3,0),0)</f>
        <v>0</v>
      </c>
      <c r="E392" s="1">
        <f>IFERROR(VLOOKUP(1243,'PEDIDO 5'!$C$2:$E$230,3,0),0)</f>
        <v>0</v>
      </c>
      <c r="F392" s="1">
        <f>IFERROR(VLOOKUP(1244,'PEDIDO 5'!$C$2:$E$230,3,0),0)</f>
        <v>0</v>
      </c>
      <c r="G392" s="18">
        <f t="shared" si="9"/>
        <v>0</v>
      </c>
    </row>
    <row r="393" spans="1:7" ht="15.75" x14ac:dyDescent="0.25">
      <c r="A393" s="15" t="str">
        <f>'PEDIDO 5'!$B$2</f>
        <v>Sorocaba-Orlando Motoku Yabiku Me</v>
      </c>
      <c r="B393" s="12" t="s">
        <v>466</v>
      </c>
      <c r="C393" s="1">
        <f>IFERROR(VLOOKUP(1245,'PEDIDO 5'!$C$2:$E$230,3,0),0)</f>
        <v>0</v>
      </c>
      <c r="D393" s="1">
        <f>IFERROR(VLOOKUP(1246,'PEDIDO 5'!$C$2:$E$230,3,0),0)</f>
        <v>0</v>
      </c>
      <c r="E393" s="1">
        <f>IFERROR(VLOOKUP(1247,'PEDIDO 5'!$C$2:$E$230,3,0),0)</f>
        <v>0</v>
      </c>
      <c r="F393" s="1">
        <f>IFERROR(VLOOKUP(1248,'PEDIDO 5'!$C$2:$E$230,3,0),0)</f>
        <v>0</v>
      </c>
      <c r="G393" s="18">
        <f t="shared" si="9"/>
        <v>0</v>
      </c>
    </row>
    <row r="394" spans="1:7" ht="15.75" x14ac:dyDescent="0.25">
      <c r="A394" s="15" t="str">
        <f>'PEDIDO 5'!$B$2</f>
        <v>Sorocaba-Orlando Motoku Yabiku Me</v>
      </c>
      <c r="B394" s="12" t="s">
        <v>467</v>
      </c>
      <c r="C394" s="1">
        <f>IFERROR(VLOOKUP(25714,'PEDIDO 5'!$C$2:$E$230,3,0),0)</f>
        <v>0</v>
      </c>
      <c r="D394" s="1"/>
      <c r="E394" s="1"/>
      <c r="F394" s="1"/>
      <c r="G394" s="18">
        <f t="shared" si="9"/>
        <v>0</v>
      </c>
    </row>
    <row r="395" spans="1:7" ht="15.75" x14ac:dyDescent="0.25">
      <c r="A395" s="15" t="str">
        <f>'PEDIDO 5'!$B$2</f>
        <v>Sorocaba-Orlando Motoku Yabiku Me</v>
      </c>
      <c r="B395" s="12" t="s">
        <v>468</v>
      </c>
      <c r="C395" s="1">
        <f>IFERROR(VLOOKUP(25712,'PEDIDO 5'!$C$2:$E$230,3,0),0)</f>
        <v>0</v>
      </c>
      <c r="D395" s="1"/>
      <c r="E395" s="1"/>
      <c r="F395" s="1"/>
      <c r="G395" s="18">
        <f t="shared" si="9"/>
        <v>0</v>
      </c>
    </row>
    <row r="396" spans="1:7" ht="15.75" x14ac:dyDescent="0.25">
      <c r="A396" s="15" t="str">
        <f>'PEDIDO 5'!$B$2</f>
        <v>Sorocaba-Orlando Motoku Yabiku Me</v>
      </c>
      <c r="B396" s="12" t="s">
        <v>469</v>
      </c>
      <c r="C396" s="1">
        <f>IFERROR(VLOOKUP(25713,'PEDIDO 5'!$C$2:$E$230,3,0),0)</f>
        <v>0</v>
      </c>
      <c r="D396" s="1"/>
      <c r="E396" s="1"/>
      <c r="F396" s="1"/>
      <c r="G396" s="18">
        <f t="shared" si="9"/>
        <v>0</v>
      </c>
    </row>
    <row r="397" spans="1:7" ht="15.75" x14ac:dyDescent="0.25">
      <c r="A397" s="15" t="str">
        <f>'PEDIDO 5'!$B$2</f>
        <v>Sorocaba-Orlando Motoku Yabiku Me</v>
      </c>
      <c r="B397" s="12" t="s">
        <v>470</v>
      </c>
      <c r="C397" s="1">
        <f>IFERROR(VLOOKUP(1260,'PEDIDO 5'!$C$2:$E$230,3,0),0)</f>
        <v>0</v>
      </c>
      <c r="D397" s="1"/>
      <c r="E397" s="1"/>
      <c r="F397" s="1"/>
      <c r="G397" s="18">
        <f t="shared" si="9"/>
        <v>0</v>
      </c>
    </row>
    <row r="398" spans="1:7" ht="15.75" x14ac:dyDescent="0.25">
      <c r="A398" s="15" t="str">
        <f>'PEDIDO 5'!$B$2</f>
        <v>Sorocaba-Orlando Motoku Yabiku Me</v>
      </c>
      <c r="B398" s="12" t="s">
        <v>471</v>
      </c>
      <c r="C398" s="1">
        <f>IFERROR(VLOOKUP(1261,'PEDIDO 5'!$C$2:$E$230,3,0),0)</f>
        <v>0</v>
      </c>
      <c r="D398" s="1"/>
      <c r="E398" s="1"/>
      <c r="F398" s="1"/>
      <c r="G398" s="18">
        <f t="shared" si="9"/>
        <v>0</v>
      </c>
    </row>
    <row r="399" spans="1:7" ht="15.75" x14ac:dyDescent="0.25">
      <c r="A399" s="15" t="str">
        <f>'PEDIDO 5'!$B$2</f>
        <v>Sorocaba-Orlando Motoku Yabiku Me</v>
      </c>
      <c r="B399" s="12" t="s">
        <v>472</v>
      </c>
      <c r="C399" s="1">
        <f>IFERROR(VLOOKUP(1262,'PEDIDO 5'!$C$2:$E$230,3,0),0)</f>
        <v>0</v>
      </c>
      <c r="D399" s="1"/>
      <c r="E399" s="1"/>
      <c r="F399" s="1"/>
      <c r="G399" s="18">
        <f t="shared" si="9"/>
        <v>0</v>
      </c>
    </row>
    <row r="400" spans="1:7" ht="15.75" x14ac:dyDescent="0.25">
      <c r="A400" s="15" t="str">
        <f>'PEDIDO 5'!$B$2</f>
        <v>Sorocaba-Orlando Motoku Yabiku Me</v>
      </c>
      <c r="B400" s="12" t="s">
        <v>473</v>
      </c>
      <c r="C400" s="1">
        <f>IFERROR(VLOOKUP(1263,'PEDIDO 5'!$C$2:$E$230,3,0),0)</f>
        <v>0</v>
      </c>
      <c r="D400" s="1"/>
      <c r="E400" s="1"/>
      <c r="F400" s="1"/>
      <c r="G400" s="18">
        <f t="shared" si="9"/>
        <v>0</v>
      </c>
    </row>
    <row r="401" spans="1:7" ht="15.75" x14ac:dyDescent="0.25">
      <c r="A401" s="15" t="str">
        <f>'PEDIDO 5'!$B$2</f>
        <v>Sorocaba-Orlando Motoku Yabiku Me</v>
      </c>
      <c r="B401" s="12" t="s">
        <v>474</v>
      </c>
      <c r="C401" s="1">
        <f>IFERROR(VLOOKUP(1264,'PEDIDO 5'!$C$2:$E$230,3,0),0)</f>
        <v>0</v>
      </c>
      <c r="D401" s="1"/>
      <c r="E401" s="1"/>
      <c r="F401" s="1"/>
      <c r="G401" s="18">
        <f t="shared" si="9"/>
        <v>0</v>
      </c>
    </row>
    <row r="402" spans="1:7" ht="15.75" x14ac:dyDescent="0.25">
      <c r="A402" s="15" t="str">
        <f>'PEDIDO 5'!$B$2</f>
        <v>Sorocaba-Orlando Motoku Yabiku Me</v>
      </c>
      <c r="B402" s="12" t="s">
        <v>475</v>
      </c>
      <c r="C402" s="1">
        <f>IFERROR(VLOOKUP(1265,'PEDIDO 5'!$C$2:$E$230,3,0),0)</f>
        <v>0</v>
      </c>
      <c r="D402" s="1"/>
      <c r="E402" s="1"/>
      <c r="F402" s="1"/>
      <c r="G402" s="18">
        <f t="shared" si="9"/>
        <v>0</v>
      </c>
    </row>
    <row r="403" spans="1:7" ht="15.75" x14ac:dyDescent="0.25">
      <c r="A403" s="15" t="str">
        <f>'PEDIDO 5'!$B$2</f>
        <v>Sorocaba-Orlando Motoku Yabiku Me</v>
      </c>
      <c r="B403" s="12" t="s">
        <v>476</v>
      </c>
      <c r="C403" s="1">
        <f>IFERROR(VLOOKUP(1266,'PEDIDO 5'!$C$2:$E$230,3,0),0)</f>
        <v>0</v>
      </c>
      <c r="D403" s="1"/>
      <c r="E403" s="1"/>
      <c r="F403" s="1"/>
      <c r="G403" s="18">
        <f t="shared" si="9"/>
        <v>0</v>
      </c>
    </row>
    <row r="404" spans="1:7" ht="15.75" x14ac:dyDescent="0.25">
      <c r="A404" s="15" t="str">
        <f>'PEDIDO 5'!$B$2</f>
        <v>Sorocaba-Orlando Motoku Yabiku Me</v>
      </c>
      <c r="B404" s="12" t="s">
        <v>477</v>
      </c>
      <c r="C404" s="1">
        <f>IFERROR(VLOOKUP(1268,'PEDIDO 5'!$C$2:$E$230,3,0),0)</f>
        <v>0</v>
      </c>
      <c r="D404" s="1">
        <f>IFERROR(VLOOKUP(1269,'PEDIDO 5'!$C$2:$E$230,3,0),0)</f>
        <v>0</v>
      </c>
      <c r="E404" s="1">
        <f>IFERROR(VLOOKUP(1270,'PEDIDO 5'!$C$2:$E$230,3,0),0)</f>
        <v>0</v>
      </c>
      <c r="F404" s="1">
        <f>IFERROR(VLOOKUP(1271,'PEDIDO 5'!$C$2:$E$230,3,0),0)</f>
        <v>0</v>
      </c>
      <c r="G404" s="18">
        <f>SUM(C404+D404+E404+F404)</f>
        <v>0</v>
      </c>
    </row>
    <row r="405" spans="1:7" ht="15.75" x14ac:dyDescent="0.25">
      <c r="A405" s="17"/>
      <c r="B405" s="13"/>
      <c r="C405" s="13"/>
      <c r="D405" s="13"/>
      <c r="E405" s="13"/>
      <c r="F405" s="13"/>
      <c r="G405" s="19"/>
    </row>
    <row r="406" spans="1:7" ht="15.75" x14ac:dyDescent="0.25">
      <c r="A406" s="17"/>
      <c r="B406" s="13"/>
      <c r="C406" s="13"/>
      <c r="D406" s="13"/>
      <c r="E406" s="13"/>
      <c r="F406" s="13"/>
      <c r="G406" s="19"/>
    </row>
    <row r="407" spans="1:7" ht="15.75" x14ac:dyDescent="0.25">
      <c r="A407" s="15" t="str">
        <f>'PEDIDO 6'!$B$2</f>
        <v>Piedade-Comercial Spm Eireli</v>
      </c>
      <c r="B407" s="12" t="s">
        <v>399</v>
      </c>
      <c r="C407" s="1">
        <f>IFERROR(VLOOKUP(1,'PEDIDO 6'!$C$2:$E$230,3,0),0)</f>
        <v>0</v>
      </c>
      <c r="D407" s="1">
        <f>IFERROR(VLOOKUP(2,'PEDIDO 6'!$C$2:$E$230,3,0),0)</f>
        <v>0</v>
      </c>
      <c r="E407" s="1">
        <f>IFERROR(VLOOKUP(3,'PEDIDO 6'!$C$2:$E$230,3,0),0)</f>
        <v>0</v>
      </c>
      <c r="F407" s="1">
        <f>IFERROR(VLOOKUP(282,'PEDIDO 6'!$C$2:$E$230,3,0),0)</f>
        <v>42</v>
      </c>
      <c r="G407" s="18">
        <f>SUM(C407+D407+E407+F407)</f>
        <v>42</v>
      </c>
    </row>
    <row r="408" spans="1:7" ht="15.75" x14ac:dyDescent="0.25">
      <c r="A408" s="15" t="str">
        <f>'PEDIDO 6'!$B$2</f>
        <v>Piedade-Comercial Spm Eireli</v>
      </c>
      <c r="B408" s="12" t="s">
        <v>400</v>
      </c>
      <c r="C408" s="1">
        <f>IFERROR(VLOOKUP(5,'PEDIDO 6'!$C$2:$E$230,3,0),0)</f>
        <v>0</v>
      </c>
      <c r="D408" s="1">
        <f>IFERROR(VLOOKUP(6,'PEDIDO 6'!$C$2:$E$230,3,0),0)</f>
        <v>0</v>
      </c>
      <c r="E408" s="1">
        <f>IFERROR(VLOOKUP(7,'PEDIDO 6'!$C$2:$E$230,3,0),0)</f>
        <v>0</v>
      </c>
      <c r="F408" s="1">
        <f>IFERROR(VLOOKUP(258,'PEDIDO 6'!$C$2:$E$230,3,0),0)</f>
        <v>0</v>
      </c>
      <c r="G408" s="18">
        <f t="shared" ref="G408:G471" si="10">SUM(C408+D408+E408+F408)</f>
        <v>0</v>
      </c>
    </row>
    <row r="409" spans="1:7" ht="15.75" x14ac:dyDescent="0.25">
      <c r="A409" s="15" t="str">
        <f>'PEDIDO 6'!$B$2</f>
        <v>Piedade-Comercial Spm Eireli</v>
      </c>
      <c r="B409" s="12" t="s">
        <v>401</v>
      </c>
      <c r="C409" s="1">
        <f>IFERROR(VLOOKUP(13,'PEDIDO 6'!$C$2:$E$230,3,0),0)</f>
        <v>0</v>
      </c>
      <c r="D409" s="1">
        <f>IFERROR(VLOOKUP(14,'PEDIDO 6'!$C$2:$E$230,3,0),0)</f>
        <v>0</v>
      </c>
      <c r="E409" s="1">
        <f>IFERROR(VLOOKUP(15,'PEDIDO 6'!$C$2:$E$230,3,0),0)</f>
        <v>0</v>
      </c>
      <c r="F409" s="1">
        <f>IFERROR(VLOOKUP(289,'PEDIDO 6'!$C$2:$E$230,3,0),0)</f>
        <v>0</v>
      </c>
      <c r="G409" s="18">
        <f t="shared" si="10"/>
        <v>0</v>
      </c>
    </row>
    <row r="410" spans="1:7" ht="15.75" x14ac:dyDescent="0.25">
      <c r="A410" s="15" t="str">
        <f>'PEDIDO 6'!$B$2</f>
        <v>Piedade-Comercial Spm Eireli</v>
      </c>
      <c r="B410" s="12" t="s">
        <v>402</v>
      </c>
      <c r="C410" s="1">
        <f>IFERROR(VLOOKUP(267,'PEDIDO 6'!$C$2:$E$230,3,0),0)</f>
        <v>0</v>
      </c>
      <c r="D410" s="1">
        <f>IFERROR(VLOOKUP(268,'PEDIDO 6'!$C$2:$E$230,3,0),0)</f>
        <v>0</v>
      </c>
      <c r="E410" s="1">
        <f>IFERROR(VLOOKUP(270,'PEDIDO 6'!$C$2:$E$230,3,0),0)</f>
        <v>0</v>
      </c>
      <c r="F410" s="1">
        <f>IFERROR(VLOOKUP(269,'PEDIDO 6'!$C$2:$E$230,3,0),0)</f>
        <v>0</v>
      </c>
      <c r="G410" s="18">
        <f t="shared" si="10"/>
        <v>0</v>
      </c>
    </row>
    <row r="411" spans="1:7" ht="15.75" x14ac:dyDescent="0.25">
      <c r="A411" s="15" t="str">
        <f>'PEDIDO 6'!$B$2</f>
        <v>Piedade-Comercial Spm Eireli</v>
      </c>
      <c r="B411" s="12" t="s">
        <v>403</v>
      </c>
      <c r="C411" s="1">
        <f>IFERROR(VLOOKUP(17,'PEDIDO 6'!$C$2:$E$230,3,0),0)</f>
        <v>0</v>
      </c>
      <c r="D411" s="1">
        <f>IFERROR(VLOOKUP(18,'PEDIDO 6'!$C$2:$E$230,3,0),0)</f>
        <v>0</v>
      </c>
      <c r="E411" s="1">
        <f>IFERROR(VLOOKUP(19,'PEDIDO 6'!$C$2:$E$230,3,0),0)</f>
        <v>0</v>
      </c>
      <c r="F411" s="1">
        <f>IFERROR(VLOOKUP(290,'PEDIDO 6'!$C$2:$E$230,3,0),0)</f>
        <v>0</v>
      </c>
      <c r="G411" s="18">
        <f t="shared" si="10"/>
        <v>0</v>
      </c>
    </row>
    <row r="412" spans="1:7" ht="15.75" x14ac:dyDescent="0.25">
      <c r="A412" s="15" t="str">
        <f>'PEDIDO 6'!$B$2</f>
        <v>Piedade-Comercial Spm Eireli</v>
      </c>
      <c r="B412" s="12" t="s">
        <v>404</v>
      </c>
      <c r="C412" s="1">
        <f>IFERROR(VLOOKUP(23,'PEDIDO 6'!$C$2:$E$230,3,0),0)</f>
        <v>0</v>
      </c>
      <c r="D412" s="1">
        <f>IFERROR(VLOOKUP(24,'PEDIDO 6'!$C$2:$E$230,3,0),0)</f>
        <v>0</v>
      </c>
      <c r="E412" s="1">
        <f>IFERROR(VLOOKUP(25,'PEDIDO 6'!$C$2:$E$230,3,0),0)</f>
        <v>0</v>
      </c>
      <c r="F412" s="1">
        <f>IFERROR(VLOOKUP(291,'PEDIDO 6'!$C$2:$E$230,3,0),0)</f>
        <v>0</v>
      </c>
      <c r="G412" s="18">
        <f t="shared" si="10"/>
        <v>0</v>
      </c>
    </row>
    <row r="413" spans="1:7" ht="15.75" x14ac:dyDescent="0.25">
      <c r="A413" s="15" t="str">
        <f>'PEDIDO 6'!$B$2</f>
        <v>Piedade-Comercial Spm Eireli</v>
      </c>
      <c r="B413" s="12" t="s">
        <v>405</v>
      </c>
      <c r="C413" s="1">
        <f>IFERROR(VLOOKUP(27,'PEDIDO 6'!$C$2:$E$230,3,0),0)</f>
        <v>0</v>
      </c>
      <c r="D413" s="1">
        <f>IFERROR(VLOOKUP(28,'PEDIDO 6'!$C$2:$E$230,3,0),0)</f>
        <v>0</v>
      </c>
      <c r="E413" s="1">
        <f>IFERROR(VLOOKUP(29,'PEDIDO 6'!$C$2:$E$230,3,0),0)</f>
        <v>0</v>
      </c>
      <c r="F413" s="1">
        <f>IFERROR(VLOOKUP(292,'PEDIDO 6'!$C$2:$E$230,3,0),0)</f>
        <v>0</v>
      </c>
      <c r="G413" s="18">
        <f t="shared" si="10"/>
        <v>0</v>
      </c>
    </row>
    <row r="414" spans="1:7" ht="15.75" x14ac:dyDescent="0.25">
      <c r="A414" s="15" t="str">
        <f>'PEDIDO 6'!$B$2</f>
        <v>Piedade-Comercial Spm Eireli</v>
      </c>
      <c r="B414" s="12" t="s">
        <v>406</v>
      </c>
      <c r="C414" s="1">
        <f>IFERROR(VLOOKUP(227,'PEDIDO 6'!$C$2:$E$230,3,0),0)</f>
        <v>0</v>
      </c>
      <c r="D414" s="1">
        <f>IFERROR(VLOOKUP(228,'PEDIDO 6'!$C$2:$E$230,3,0),0)</f>
        <v>0</v>
      </c>
      <c r="E414" s="1">
        <f>IFERROR(VLOOKUP(229,'PEDIDO 6'!$C$2:$E$230,3,0),0)</f>
        <v>0</v>
      </c>
      <c r="F414" s="1">
        <f>IFERROR(VLOOKUP(230,'PEDIDO 6'!$C$2:$E$230,3,0),0)</f>
        <v>0</v>
      </c>
      <c r="G414" s="18">
        <f t="shared" si="10"/>
        <v>0</v>
      </c>
    </row>
    <row r="415" spans="1:7" ht="15.75" x14ac:dyDescent="0.25">
      <c r="A415" s="15" t="str">
        <f>'PEDIDO 6'!$B$2</f>
        <v>Piedade-Comercial Spm Eireli</v>
      </c>
      <c r="B415" s="12" t="s">
        <v>407</v>
      </c>
      <c r="C415" s="1">
        <f>IFERROR(VLOOKUP(231,'PEDIDO 6'!$C$2:$E$230,3,0),0)</f>
        <v>0</v>
      </c>
      <c r="D415" s="1">
        <f>IFERROR(VLOOKUP(232,'PEDIDO 6'!$C$2:$E$230,3,0),0)</f>
        <v>0</v>
      </c>
      <c r="E415" s="1">
        <f>IFERROR(VLOOKUP(234,'PEDIDO 6'!$C$2:$E$230,3,0),0)</f>
        <v>0</v>
      </c>
      <c r="F415" s="1">
        <f>IFERROR(VLOOKUP(233,'PEDIDO 6'!$C$2:$E$230,3,0),0)</f>
        <v>0</v>
      </c>
      <c r="G415" s="18">
        <f t="shared" si="10"/>
        <v>0</v>
      </c>
    </row>
    <row r="416" spans="1:7" ht="15.75" x14ac:dyDescent="0.25">
      <c r="A416" s="15" t="str">
        <f>'PEDIDO 6'!$B$2</f>
        <v>Piedade-Comercial Spm Eireli</v>
      </c>
      <c r="B416" s="12" t="s">
        <v>408</v>
      </c>
      <c r="C416" s="1">
        <f>IFERROR(VLOOKUP(237,'PEDIDO 6'!$C$2:$E$230,3,0),0)</f>
        <v>0</v>
      </c>
      <c r="D416" s="1">
        <f>IFERROR(VLOOKUP(238,'PEDIDO 6'!$C$2:$E$230,3,0),0)</f>
        <v>0</v>
      </c>
      <c r="E416" s="1">
        <f>IFERROR(VLOOKUP(240,'PEDIDO 6'!$C$2:$E$230,3,0),0)</f>
        <v>0</v>
      </c>
      <c r="F416" s="1">
        <f>IFERROR(VLOOKUP(239,'PEDIDO 6'!$C$2:$E$230,3,0),0)</f>
        <v>0</v>
      </c>
      <c r="G416" s="18">
        <f t="shared" si="10"/>
        <v>0</v>
      </c>
    </row>
    <row r="417" spans="1:7" ht="15.75" x14ac:dyDescent="0.25">
      <c r="A417" s="15" t="str">
        <f>'PEDIDO 6'!$B$2</f>
        <v>Piedade-Comercial Spm Eireli</v>
      </c>
      <c r="B417" s="12" t="s">
        <v>409</v>
      </c>
      <c r="C417" s="1">
        <f>IFERROR(VLOOKUP(25707,'PEDIDO 6'!$C$2:$E$230,3,0),0)</f>
        <v>0</v>
      </c>
      <c r="D417" s="1">
        <f>IFERROR(VLOOKUP(25708,'PEDIDO 6'!$C$2:$E$230,3,0),0)</f>
        <v>0</v>
      </c>
      <c r="E417" s="1">
        <f>IFERROR(VLOOKUP(25710,'PEDIDO 6'!$C$2:$E$230,3,0),0)</f>
        <v>0</v>
      </c>
      <c r="F417" s="1">
        <f>IFERROR(VLOOKUP(25709,'PEDIDO 6'!$C$2:$E$230,3,0),0)</f>
        <v>0</v>
      </c>
      <c r="G417" s="18">
        <f t="shared" si="10"/>
        <v>0</v>
      </c>
    </row>
    <row r="418" spans="1:7" ht="15.75" x14ac:dyDescent="0.25">
      <c r="A418" s="15" t="str">
        <f>'PEDIDO 6'!$B$2</f>
        <v>Piedade-Comercial Spm Eireli</v>
      </c>
      <c r="B418" s="12" t="s">
        <v>410</v>
      </c>
      <c r="C418" s="1">
        <f>IFERROR(VLOOKUP(25711,'PEDIDO 6'!$C$2:$E$230,3,0),0)</f>
        <v>0</v>
      </c>
      <c r="D418" s="1"/>
      <c r="E418" s="1"/>
      <c r="F418" s="1"/>
      <c r="G418" s="18">
        <f t="shared" si="10"/>
        <v>0</v>
      </c>
    </row>
    <row r="419" spans="1:7" ht="15.75" x14ac:dyDescent="0.25">
      <c r="A419" s="15" t="str">
        <f>'PEDIDO 6'!$B$2</f>
        <v>Piedade-Comercial Spm Eireli</v>
      </c>
      <c r="B419" s="12" t="s">
        <v>411</v>
      </c>
      <c r="C419" s="1">
        <f>IFERROR(VLOOKUP(35,'PEDIDO 6'!$C$2:$E$230,3,0),0)</f>
        <v>0</v>
      </c>
      <c r="D419" s="1">
        <f>IFERROR(VLOOKUP(36,'PEDIDO 6'!$C$2:$E$230,3,0),0)</f>
        <v>0</v>
      </c>
      <c r="E419" s="1">
        <f>IFERROR(VLOOKUP(37,'PEDIDO 6'!$C$2:$E$230,3,0),0)</f>
        <v>0</v>
      </c>
      <c r="F419" s="1">
        <f>IFERROR(VLOOKUP(294,'PEDIDO 6'!$C$2:$E$230,3,0),0)</f>
        <v>0</v>
      </c>
      <c r="G419" s="18">
        <f t="shared" si="10"/>
        <v>0</v>
      </c>
    </row>
    <row r="420" spans="1:7" ht="15.75" x14ac:dyDescent="0.25">
      <c r="A420" s="15" t="str">
        <f>'PEDIDO 6'!$B$2</f>
        <v>Piedade-Comercial Spm Eireli</v>
      </c>
      <c r="B420" s="12" t="s">
        <v>412</v>
      </c>
      <c r="C420" s="1">
        <f>IFERROR(VLOOKUP(39,'PEDIDO 6'!$C$2:$E$230,3,0),0)</f>
        <v>0</v>
      </c>
      <c r="D420" s="1">
        <f>IFERROR(VLOOKUP(40,'PEDIDO 6'!$C$2:$E$230,3,0),0)</f>
        <v>0</v>
      </c>
      <c r="E420" s="1">
        <f>IFERROR(VLOOKUP(42,'PEDIDO 6'!$C$2:$E$230,3,0),0)</f>
        <v>0</v>
      </c>
      <c r="F420" s="1">
        <f>IFERROR(VLOOKUP(295,'PEDIDO 6'!$C$2:$E$230,3,0),0)</f>
        <v>0</v>
      </c>
      <c r="G420" s="18">
        <f t="shared" si="10"/>
        <v>0</v>
      </c>
    </row>
    <row r="421" spans="1:7" ht="15.75" x14ac:dyDescent="0.25">
      <c r="A421" s="15" t="str">
        <f>'PEDIDO 6'!$B$2</f>
        <v>Piedade-Comercial Spm Eireli</v>
      </c>
      <c r="B421" s="12" t="s">
        <v>413</v>
      </c>
      <c r="C421" s="1">
        <f>IFERROR(VLOOKUP(44,'PEDIDO 6'!$C$2:$E$230,3,0),0)</f>
        <v>0</v>
      </c>
      <c r="D421" s="1">
        <f>IFERROR(VLOOKUP(45,'PEDIDO 6'!$C$2:$E$230,3,0),0)</f>
        <v>0</v>
      </c>
      <c r="E421" s="1">
        <f>IFERROR(VLOOKUP(46,'PEDIDO 6'!$C$2:$E$230,3,0),0)</f>
        <v>0</v>
      </c>
      <c r="F421" s="1">
        <f>IFERROR(VLOOKUP(283,'PEDIDO 6'!$C$2:$E$230,3,0),0)</f>
        <v>4</v>
      </c>
      <c r="G421" s="18">
        <f t="shared" si="10"/>
        <v>4</v>
      </c>
    </row>
    <row r="422" spans="1:7" ht="15.75" x14ac:dyDescent="0.25">
      <c r="A422" s="15" t="str">
        <f>'PEDIDO 6'!$B$2</f>
        <v>Piedade-Comercial Spm Eireli</v>
      </c>
      <c r="B422" s="12" t="s">
        <v>414</v>
      </c>
      <c r="C422" s="1">
        <f>IFERROR(VLOOKUP(48,'PEDIDO 6'!$C$2:$E$230,3,0),0)</f>
        <v>0</v>
      </c>
      <c r="D422" s="1">
        <f>IFERROR(VLOOKUP(49,'PEDIDO 6'!$C$2:$E$230,3,0),0)</f>
        <v>0</v>
      </c>
      <c r="E422" s="1">
        <f>IFERROR(VLOOKUP(50,'PEDIDO 6'!$C$2:$E$230,3,0),0)</f>
        <v>0</v>
      </c>
      <c r="F422" s="1">
        <f>IFERROR(VLOOKUP(298,'PEDIDO 6'!$C$2:$E$230,3,0),0)</f>
        <v>0</v>
      </c>
      <c r="G422" s="18">
        <f t="shared" si="10"/>
        <v>0</v>
      </c>
    </row>
    <row r="423" spans="1:7" ht="15.75" x14ac:dyDescent="0.25">
      <c r="A423" s="15" t="str">
        <f>'PEDIDO 6'!$B$2</f>
        <v>Piedade-Comercial Spm Eireli</v>
      </c>
      <c r="B423" s="12" t="s">
        <v>415</v>
      </c>
      <c r="C423" s="1">
        <f>IFERROR(VLOOKUP(52,'PEDIDO 6'!$C$2:$E$230,3,0),0)</f>
        <v>0</v>
      </c>
      <c r="D423" s="1">
        <f>IFERROR(VLOOKUP(53,'PEDIDO 6'!$C$2:$E$230,3,0),0)</f>
        <v>0</v>
      </c>
      <c r="E423" s="1">
        <f>IFERROR(VLOOKUP(54,'PEDIDO 6'!$C$2:$E$230,3,0),0)</f>
        <v>0</v>
      </c>
      <c r="F423" s="1">
        <f>IFERROR(VLOOKUP(299,'PEDIDO 6'!$C$2:$E$230,3,0),0)</f>
        <v>0</v>
      </c>
      <c r="G423" s="18">
        <f t="shared" si="10"/>
        <v>0</v>
      </c>
    </row>
    <row r="424" spans="1:7" ht="15.75" x14ac:dyDescent="0.25">
      <c r="A424" s="15" t="str">
        <f>'PEDIDO 6'!$B$2</f>
        <v>Piedade-Comercial Spm Eireli</v>
      </c>
      <c r="B424" s="12" t="s">
        <v>416</v>
      </c>
      <c r="C424" s="1">
        <f>IFERROR(VLOOKUP(56,'PEDIDO 6'!$C$2:$E$230,3,0),0)</f>
        <v>0</v>
      </c>
      <c r="D424" s="1">
        <f>IFERROR(VLOOKUP(61,'PEDIDO 6'!$C$2:$E$230,3,0),0)</f>
        <v>0</v>
      </c>
      <c r="E424" s="1">
        <f>IFERROR(VLOOKUP(58,'PEDIDO 6'!$C$2:$E$230,3,0),0)</f>
        <v>0</v>
      </c>
      <c r="F424" s="1">
        <f>IFERROR(VLOOKUP(300,'PEDIDO 6'!$C$2:$E$230,3,0),0)</f>
        <v>0</v>
      </c>
      <c r="G424" s="18">
        <f t="shared" si="10"/>
        <v>0</v>
      </c>
    </row>
    <row r="425" spans="1:7" ht="15.75" x14ac:dyDescent="0.25">
      <c r="A425" s="15" t="str">
        <f>'PEDIDO 6'!$B$2</f>
        <v>Piedade-Comercial Spm Eireli</v>
      </c>
      <c r="B425" s="12" t="s">
        <v>417</v>
      </c>
      <c r="C425" s="1">
        <f>IFERROR(VLOOKUP(60,'PEDIDO 6'!$C$2:$E$230,3,0),0)</f>
        <v>0</v>
      </c>
      <c r="D425" s="1">
        <f>IFERROR(VLOOKUP(120,'PEDIDO 6'!$C$2:$E$230,3,0),0)</f>
        <v>0</v>
      </c>
      <c r="E425" s="1">
        <f>IFERROR(VLOOKUP(62,'PEDIDO 6'!$C$2:$E$230,3,0),0)</f>
        <v>0</v>
      </c>
      <c r="F425" s="1">
        <f>IFERROR(VLOOKUP(301,'PEDIDO 6'!$C$2:$E$230,3,0),0)</f>
        <v>0</v>
      </c>
      <c r="G425" s="18">
        <f t="shared" si="10"/>
        <v>0</v>
      </c>
    </row>
    <row r="426" spans="1:7" ht="15.75" x14ac:dyDescent="0.25">
      <c r="A426" s="15" t="str">
        <f>'PEDIDO 6'!$B$2</f>
        <v>Piedade-Comercial Spm Eireli</v>
      </c>
      <c r="B426" s="12" t="s">
        <v>426</v>
      </c>
      <c r="C426" s="1">
        <f>IFERROR(VLOOKUP(112,'PEDIDO 6'!$C$2:$E$230,3,0),0)</f>
        <v>0</v>
      </c>
      <c r="D426" s="1">
        <f>IFERROR(VLOOKUP(113,'PEDIDO 6'!$C$2:$E$230,3,0),0)</f>
        <v>0</v>
      </c>
      <c r="E426" s="1">
        <f>IFERROR(VLOOKUP(114,'PEDIDO 6'!$C$2:$E$230,3,0),0)</f>
        <v>0</v>
      </c>
      <c r="F426" s="1">
        <f>IFERROR(VLOOKUP(296,'PEDIDO 6'!$C$2:$E$230,3,0),0)</f>
        <v>0</v>
      </c>
      <c r="G426" s="18">
        <f t="shared" si="10"/>
        <v>0</v>
      </c>
    </row>
    <row r="427" spans="1:7" ht="15.75" x14ac:dyDescent="0.25">
      <c r="A427" s="15" t="str">
        <f>'PEDIDO 6'!$B$2</f>
        <v>Piedade-Comercial Spm Eireli</v>
      </c>
      <c r="B427" s="12" t="s">
        <v>427</v>
      </c>
      <c r="C427" s="1">
        <f>IFERROR(VLOOKUP(116,'PEDIDO 6'!$C$2:$E$230,3,0),0)</f>
        <v>0</v>
      </c>
      <c r="D427" s="1">
        <f>IFERROR(VLOOKUP(117,'PEDIDO 6'!$C$2:$E$230,3,0),0)</f>
        <v>0</v>
      </c>
      <c r="E427" s="1">
        <f>IFERROR(VLOOKUP(118,'PEDIDO 6'!$C$2:$E$230,3,0),0)</f>
        <v>0</v>
      </c>
      <c r="F427" s="1">
        <f>IFERROR(VLOOKUP(293,'PEDIDO 6'!$C$2:$E$230,3,0),0)</f>
        <v>0</v>
      </c>
      <c r="G427" s="18">
        <f t="shared" si="10"/>
        <v>0</v>
      </c>
    </row>
    <row r="428" spans="1:7" ht="15.75" x14ac:dyDescent="0.25">
      <c r="A428" s="15" t="str">
        <f>'PEDIDO 6'!$B$2</f>
        <v>Piedade-Comercial Spm Eireli</v>
      </c>
      <c r="B428" s="12" t="s">
        <v>418</v>
      </c>
      <c r="C428" s="1">
        <f>IFERROR(VLOOKUP(963,'PEDIDO 6'!$C$2:$E$230,3,0),0)</f>
        <v>0</v>
      </c>
      <c r="D428" s="1">
        <f>IFERROR(VLOOKUP(965,'PEDIDO 6'!$C$2:$E$230,3,0),0)</f>
        <v>0</v>
      </c>
      <c r="E428" s="1">
        <f>IFERROR(VLOOKUP(966,'PEDIDO 6'!$C$2:$E$230,3,0),0)</f>
        <v>0</v>
      </c>
      <c r="F428" s="1">
        <f>IFERROR(VLOOKUP(964,'PEDIDO 6'!$C$2:$E$230,3,0),0)</f>
        <v>0</v>
      </c>
      <c r="G428" s="18">
        <f t="shared" si="10"/>
        <v>0</v>
      </c>
    </row>
    <row r="429" spans="1:7" ht="15.75" x14ac:dyDescent="0.25">
      <c r="A429" s="15" t="str">
        <f>'PEDIDO 6'!$B$2</f>
        <v>Piedade-Comercial Spm Eireli</v>
      </c>
      <c r="B429" s="12" t="s">
        <v>419</v>
      </c>
      <c r="C429" s="1">
        <f>IFERROR(VLOOKUP(2042,'PEDIDO 6'!$C$2:$E$230,3,0),0)</f>
        <v>0</v>
      </c>
      <c r="D429" s="1">
        <f>IFERROR(VLOOKUP(2041,'PEDIDO 6'!$C$2:$E$230,3,0),0)</f>
        <v>0</v>
      </c>
      <c r="E429" s="1">
        <f>IFERROR(VLOOKUP(2043,'PEDIDO 6'!$C$2:$E$230,3,0),0)</f>
        <v>0</v>
      </c>
      <c r="F429" s="1">
        <f>IFERROR(VLOOKUP(2040,'PEDIDO 6'!$C$2:$E$230,3,0),0)</f>
        <v>0</v>
      </c>
      <c r="G429" s="18">
        <f t="shared" si="10"/>
        <v>0</v>
      </c>
    </row>
    <row r="430" spans="1:7" ht="15.75" x14ac:dyDescent="0.25">
      <c r="A430" s="15" t="str">
        <f>'PEDIDO 6'!$B$2</f>
        <v>Piedade-Comercial Spm Eireli</v>
      </c>
      <c r="B430" s="12" t="s">
        <v>420</v>
      </c>
      <c r="C430" s="1">
        <f>IFERROR(VLOOKUP(2045,'PEDIDO 6'!$C$2:$E$230,3,0),0)</f>
        <v>0</v>
      </c>
      <c r="D430" s="1">
        <f>IFERROR(VLOOKUP(2046,'PEDIDO 6'!$C$2:$E$230,3,0),0)</f>
        <v>0</v>
      </c>
      <c r="E430" s="1">
        <f>IFERROR(VLOOKUP(2047,'PEDIDO 6'!$C$2:$E$230,3,0),0)</f>
        <v>0</v>
      </c>
      <c r="F430" s="1">
        <f>IFERROR(VLOOKUP(2048,'PEDIDO 6'!$C$2:$E$230,3,0),0)</f>
        <v>0</v>
      </c>
      <c r="G430" s="18">
        <f t="shared" si="10"/>
        <v>0</v>
      </c>
    </row>
    <row r="431" spans="1:7" ht="15.75" x14ac:dyDescent="0.25">
      <c r="A431" s="15" t="str">
        <f>'PEDIDO 6'!$B$2</f>
        <v>Piedade-Comercial Spm Eireli</v>
      </c>
      <c r="B431" s="12" t="s">
        <v>421</v>
      </c>
      <c r="C431" s="1">
        <f>IFERROR(VLOOKUP(2050,'PEDIDO 6'!$C$2:$E$230,3,0),0)</f>
        <v>0</v>
      </c>
      <c r="D431" s="1">
        <f>IFERROR(VLOOKUP(2051,'PEDIDO 6'!$C$2:$E$230,3,0),0)</f>
        <v>0</v>
      </c>
      <c r="E431" s="1">
        <f>IFERROR(VLOOKUP(2052,'PEDIDO 6'!$C$2:$E$230,3,0),0)</f>
        <v>0</v>
      </c>
      <c r="F431" s="1">
        <f>IFERROR(VLOOKUP(2053,'PEDIDO 6'!$C$2:$E$230,3,0),0)</f>
        <v>0</v>
      </c>
      <c r="G431" s="18">
        <f t="shared" si="10"/>
        <v>0</v>
      </c>
    </row>
    <row r="432" spans="1:7" ht="15.75" x14ac:dyDescent="0.25">
      <c r="A432" s="15" t="str">
        <f>'PEDIDO 6'!$B$2</f>
        <v>Piedade-Comercial Spm Eireli</v>
      </c>
      <c r="B432" s="12" t="s">
        <v>422</v>
      </c>
      <c r="C432" s="1">
        <f>IFERROR(VLOOKUP(216,'PEDIDO 6'!$C$2:$E$230,3,0),0)</f>
        <v>0</v>
      </c>
      <c r="D432" s="1">
        <f>IFERROR(VLOOKUP(217,'PEDIDO 6'!$C$2:$E$230,3,0),0)</f>
        <v>0</v>
      </c>
      <c r="E432" s="1">
        <f>IFERROR(VLOOKUP(218,'PEDIDO 6'!$C$2:$E$230,3,0),0)</f>
        <v>0</v>
      </c>
      <c r="F432" s="1">
        <f>IFERROR(VLOOKUP(305,'PEDIDO 6'!$C$2:$E$230,3,0),0)</f>
        <v>0</v>
      </c>
      <c r="G432" s="18">
        <f t="shared" si="10"/>
        <v>0</v>
      </c>
    </row>
    <row r="433" spans="1:7" ht="15.75" x14ac:dyDescent="0.25">
      <c r="A433" s="15" t="str">
        <f>'PEDIDO 6'!$B$2</f>
        <v>Piedade-Comercial Spm Eireli</v>
      </c>
      <c r="B433" s="12" t="s">
        <v>423</v>
      </c>
      <c r="C433" s="1">
        <f>IFERROR(VLOOKUP(100,'PEDIDO 6'!$C$2:$E$230,3,0),0)</f>
        <v>0</v>
      </c>
      <c r="D433" s="1">
        <f>IFERROR(VLOOKUP(101,'PEDIDO 6'!$C$2:$E$230,3,0),0)</f>
        <v>0</v>
      </c>
      <c r="E433" s="1">
        <f>IFERROR(VLOOKUP(102,'PEDIDO 6'!$C$2:$E$230,3,0),0)</f>
        <v>0</v>
      </c>
      <c r="F433" s="1">
        <f>IFERROR(VLOOKUP(306,'PEDIDO 6'!$C$2:$E$230,3,0),0)</f>
        <v>0</v>
      </c>
      <c r="G433" s="18">
        <f t="shared" si="10"/>
        <v>0</v>
      </c>
    </row>
    <row r="434" spans="1:7" ht="15.75" x14ac:dyDescent="0.25">
      <c r="A434" s="15" t="str">
        <f>'PEDIDO 6'!$B$2</f>
        <v>Piedade-Comercial Spm Eireli</v>
      </c>
      <c r="B434" s="12" t="s">
        <v>424</v>
      </c>
      <c r="C434" s="1">
        <f>IFERROR(VLOOKUP(104,'PEDIDO 6'!$C$2:$E$230,3,0),0)</f>
        <v>0</v>
      </c>
      <c r="D434" s="1">
        <f>IFERROR(VLOOKUP(105,'PEDIDO 6'!$C$2:$E$230,3,0),0)</f>
        <v>0</v>
      </c>
      <c r="E434" s="1">
        <f>IFERROR(VLOOKUP(106,'PEDIDO 6'!$C$2:$E$230,3,0),0)</f>
        <v>0</v>
      </c>
      <c r="F434" s="1">
        <f>IFERROR(VLOOKUP(307,'PEDIDO 6'!$C$2:$E$230,3,0),0)</f>
        <v>0</v>
      </c>
      <c r="G434" s="18">
        <f t="shared" si="10"/>
        <v>0</v>
      </c>
    </row>
    <row r="435" spans="1:7" ht="15.75" x14ac:dyDescent="0.25">
      <c r="A435" s="15" t="str">
        <f>'PEDIDO 6'!$B$2</f>
        <v>Piedade-Comercial Spm Eireli</v>
      </c>
      <c r="B435" s="12" t="s">
        <v>425</v>
      </c>
      <c r="C435" s="1">
        <f>IFERROR(VLOOKUP(400,'PEDIDO 6'!$C$2:$E$230,3,0),0)</f>
        <v>0</v>
      </c>
      <c r="D435" s="1">
        <f>IFERROR(VLOOKUP(401,'PEDIDO 6'!$C$2:$E$230,3,0),0)</f>
        <v>0</v>
      </c>
      <c r="E435" s="1">
        <f>IFERROR(VLOOKUP(402,'PEDIDO 6'!$C$2:$E$230,3,0),0)</f>
        <v>0</v>
      </c>
      <c r="F435" s="1">
        <f>IFERROR(VLOOKUP(403,'PEDIDO 6'!$C$2:$E$230,3,0),0)</f>
        <v>0</v>
      </c>
      <c r="G435" s="18">
        <f t="shared" si="10"/>
        <v>0</v>
      </c>
    </row>
    <row r="436" spans="1:7" ht="15.75" x14ac:dyDescent="0.25">
      <c r="A436" s="15" t="str">
        <f>'PEDIDO 6'!$B$2</f>
        <v>Piedade-Comercial Spm Eireli</v>
      </c>
      <c r="B436" s="12" t="s">
        <v>428</v>
      </c>
      <c r="C436" s="1">
        <f>IFERROR(VLOOKUP(22,'PEDIDO 6'!$C$2:$E$230,3,0),0)</f>
        <v>0</v>
      </c>
      <c r="D436" s="1"/>
      <c r="E436" s="1"/>
      <c r="F436" s="1"/>
      <c r="G436" s="18">
        <f t="shared" si="10"/>
        <v>0</v>
      </c>
    </row>
    <row r="437" spans="1:7" ht="15.75" x14ac:dyDescent="0.25">
      <c r="A437" s="15" t="str">
        <f>'PEDIDO 6'!$B$2</f>
        <v>Piedade-Comercial Spm Eireli</v>
      </c>
      <c r="B437" s="12" t="s">
        <v>429</v>
      </c>
      <c r="C437" s="1">
        <f>IFERROR(VLOOKUP(21,'PEDIDO 6'!$C$2:$E$230,3,0),0)</f>
        <v>0</v>
      </c>
      <c r="D437" s="1"/>
      <c r="E437" s="1"/>
      <c r="F437" s="1"/>
      <c r="G437" s="18">
        <f t="shared" si="10"/>
        <v>0</v>
      </c>
    </row>
    <row r="438" spans="1:7" ht="15.75" x14ac:dyDescent="0.25">
      <c r="A438" s="15" t="str">
        <f>'PEDIDO 6'!$B$2</f>
        <v>Piedade-Comercial Spm Eireli</v>
      </c>
      <c r="B438" s="12" t="s">
        <v>430</v>
      </c>
      <c r="C438" s="1">
        <f>IFERROR(VLOOKUP(1125,'PEDIDO 6'!$C$2:$E$230,3,0),0)</f>
        <v>0</v>
      </c>
      <c r="D438" s="1">
        <f>IFERROR(VLOOKUP(1126,'PEDIDO 6'!$C$2:$E$230,3,0),0)</f>
        <v>0</v>
      </c>
      <c r="E438" s="1">
        <f>IFERROR(VLOOKUP(1127,'PEDIDO 6'!$C$2:$E$230,3,0),0)</f>
        <v>0</v>
      </c>
      <c r="F438" s="1">
        <f>IFERROR(VLOOKUP(1128,'PEDIDO 6'!$C$2:$E$230,3,0),0)</f>
        <v>0</v>
      </c>
      <c r="G438" s="18">
        <f t="shared" si="10"/>
        <v>0</v>
      </c>
    </row>
    <row r="439" spans="1:7" ht="15.75" x14ac:dyDescent="0.25">
      <c r="A439" s="15" t="str">
        <f>'PEDIDO 6'!$B$2</f>
        <v>Piedade-Comercial Spm Eireli</v>
      </c>
      <c r="B439" s="12" t="s">
        <v>431</v>
      </c>
      <c r="C439" s="1">
        <f>IFERROR(VLOOKUP(1133,'PEDIDO 6'!$C$2:$E$230,3,0),0)</f>
        <v>0</v>
      </c>
      <c r="D439" s="1">
        <f>IFERROR(VLOOKUP(1134,'PEDIDO 6'!$C$2:$E$230,3,0),0)</f>
        <v>0</v>
      </c>
      <c r="E439" s="1">
        <f>IFERROR(VLOOKUP(1135,'PEDIDO 6'!$C$2:$E$230,3,0),0)</f>
        <v>0</v>
      </c>
      <c r="F439" s="1">
        <f>IFERROR(VLOOKUP(1136,'PEDIDO 6'!$C$2:$E$230,3,0),0)</f>
        <v>0</v>
      </c>
      <c r="G439" s="18">
        <f t="shared" si="10"/>
        <v>0</v>
      </c>
    </row>
    <row r="440" spans="1:7" ht="15.75" x14ac:dyDescent="0.25">
      <c r="A440" s="15" t="str">
        <f>'PEDIDO 6'!$B$2</f>
        <v>Piedade-Comercial Spm Eireli</v>
      </c>
      <c r="B440" s="12" t="s">
        <v>432</v>
      </c>
      <c r="C440" s="1">
        <f>IFERROR(VLOOKUP(1105,'PEDIDO 6'!$C$2:$E$230,3,0),0)</f>
        <v>0</v>
      </c>
      <c r="D440" s="1">
        <f>IFERROR(VLOOKUP(1106,'PEDIDO 6'!$C$2:$E$230,3,0),0)</f>
        <v>0</v>
      </c>
      <c r="E440" s="1">
        <f>IFERROR(VLOOKUP(1107,'PEDIDO 6'!$C$2:$E$230,3,0),0)</f>
        <v>0</v>
      </c>
      <c r="F440" s="1">
        <f>IFERROR(VLOOKUP(1108,'PEDIDO 6'!$C$2:$E$230,3,0),0)</f>
        <v>0</v>
      </c>
      <c r="G440" s="18">
        <f t="shared" si="10"/>
        <v>0</v>
      </c>
    </row>
    <row r="441" spans="1:7" ht="15.75" x14ac:dyDescent="0.25">
      <c r="A441" s="15" t="str">
        <f>'PEDIDO 6'!$B$2</f>
        <v>Piedade-Comercial Spm Eireli</v>
      </c>
      <c r="B441" s="12" t="s">
        <v>433</v>
      </c>
      <c r="C441" s="1">
        <f>IFERROR(VLOOKUP(1109,'PEDIDO 6'!$C$2:$E$230,3,0),0)</f>
        <v>0</v>
      </c>
      <c r="D441" s="1">
        <f>IFERROR(VLOOKUP(1110,'PEDIDO 6'!$C$2:$E$230,3,0),0)</f>
        <v>0</v>
      </c>
      <c r="E441" s="1">
        <f>IFERROR(VLOOKUP(1111,'PEDIDO 6'!$C$2:$E$230,3,0),0)</f>
        <v>0</v>
      </c>
      <c r="F441" s="1">
        <f>IFERROR(VLOOKUP(1112,'PEDIDO 6'!$C$2:$E$230,3,0),0)</f>
        <v>0</v>
      </c>
      <c r="G441" s="18">
        <f t="shared" si="10"/>
        <v>0</v>
      </c>
    </row>
    <row r="442" spans="1:7" ht="15.75" x14ac:dyDescent="0.25">
      <c r="A442" s="15" t="str">
        <f>'PEDIDO 6'!$B$2</f>
        <v>Piedade-Comercial Spm Eireli</v>
      </c>
      <c r="B442" s="12" t="s">
        <v>434</v>
      </c>
      <c r="C442" s="1">
        <f>IFERROR(VLOOKUP(1113,'PEDIDO 6'!$C$2:$E$230,3,0),0)</f>
        <v>0</v>
      </c>
      <c r="D442" s="1">
        <f>IFERROR(VLOOKUP(1114,'PEDIDO 6'!$C$2:$E$230,3,0),0)</f>
        <v>0</v>
      </c>
      <c r="E442" s="1">
        <f>IFERROR(VLOOKUP(1115,'PEDIDO 6'!$C$2:$E$230,3,0),0)</f>
        <v>0</v>
      </c>
      <c r="F442" s="1">
        <f>IFERROR(VLOOKUP(1116,'PEDIDO 6'!$C$2:$E$230,3,0),0)</f>
        <v>0</v>
      </c>
      <c r="G442" s="18">
        <f t="shared" si="10"/>
        <v>0</v>
      </c>
    </row>
    <row r="443" spans="1:7" ht="15.75" x14ac:dyDescent="0.25">
      <c r="A443" s="15" t="str">
        <f>'PEDIDO 6'!$B$2</f>
        <v>Piedade-Comercial Spm Eireli</v>
      </c>
      <c r="B443" s="12" t="s">
        <v>435</v>
      </c>
      <c r="C443" s="1">
        <f>IFERROR(VLOOKUP(1117,'PEDIDO 6'!$C$2:$E$230,3,0),0)</f>
        <v>0</v>
      </c>
      <c r="D443" s="1">
        <f>IFERROR(VLOOKUP(1118,'PEDIDO 6'!$C$2:$E$230,3,0),0)</f>
        <v>0</v>
      </c>
      <c r="E443" s="1">
        <f>IFERROR(VLOOKUP(1119,'PEDIDO 6'!$C$2:$E$230,3,0),0)</f>
        <v>0</v>
      </c>
      <c r="F443" s="1">
        <f>IFERROR(VLOOKUP(1120,'PEDIDO 6'!$C$2:$E$230,3,0),0)</f>
        <v>0</v>
      </c>
      <c r="G443" s="18">
        <f t="shared" si="10"/>
        <v>0</v>
      </c>
    </row>
    <row r="444" spans="1:7" ht="15.75" x14ac:dyDescent="0.25">
      <c r="A444" s="15" t="str">
        <f>'PEDIDO 6'!$B$2</f>
        <v>Piedade-Comercial Spm Eireli</v>
      </c>
      <c r="B444" s="12" t="s">
        <v>436</v>
      </c>
      <c r="C444" s="1">
        <f>IFERROR(VLOOKUP(1121,'PEDIDO 6'!$C$2:$E$230,3,0),0)</f>
        <v>0</v>
      </c>
      <c r="D444" s="1">
        <f>IFERROR(VLOOKUP(1122,'PEDIDO 6'!$C$2:$E$230,3,0),0)</f>
        <v>0</v>
      </c>
      <c r="E444" s="1">
        <f>IFERROR(VLOOKUP(1123,'PEDIDO 6'!$C$2:$E$230,3,0),0)</f>
        <v>0</v>
      </c>
      <c r="F444" s="1">
        <f>IFERROR(VLOOKUP(1124,'PEDIDO 6'!$C$2:$E$230,3,0),0)</f>
        <v>0</v>
      </c>
      <c r="G444" s="18">
        <f t="shared" si="10"/>
        <v>0</v>
      </c>
    </row>
    <row r="445" spans="1:7" ht="15.75" x14ac:dyDescent="0.25">
      <c r="A445" s="15" t="str">
        <f>'PEDIDO 6'!$B$2</f>
        <v>Piedade-Comercial Spm Eireli</v>
      </c>
      <c r="B445" s="12" t="s">
        <v>437</v>
      </c>
      <c r="C445" s="1">
        <f>IFERROR(VLOOKUP(1129,'PEDIDO 6'!$C$2:$E$230,3,0),0)</f>
        <v>0</v>
      </c>
      <c r="D445" s="1">
        <f>IFERROR(VLOOKUP(1130,'PEDIDO 6'!$C$2:$E$230,3,0),0)</f>
        <v>0</v>
      </c>
      <c r="E445" s="1">
        <f>IFERROR(VLOOKUP(1131,'PEDIDO 6'!$C$2:$E$230,3,0),0)</f>
        <v>0</v>
      </c>
      <c r="F445" s="1">
        <f>IFERROR(VLOOKUP(1132,'PEDIDO 6'!$C$2:$E$230,3,0),0)</f>
        <v>0</v>
      </c>
      <c r="G445" s="18">
        <f t="shared" si="10"/>
        <v>0</v>
      </c>
    </row>
    <row r="446" spans="1:7" ht="15.75" x14ac:dyDescent="0.25">
      <c r="A446" s="15" t="str">
        <f>'PEDIDO 6'!$B$2</f>
        <v>Piedade-Comercial Spm Eireli</v>
      </c>
      <c r="B446" s="12" t="s">
        <v>438</v>
      </c>
      <c r="C446" s="1">
        <f>IFERROR(VLOOKUP(1137,'PEDIDO 6'!$C$2:$E$230,3,0),0)</f>
        <v>0</v>
      </c>
      <c r="D446" s="1">
        <f>IFERROR(VLOOKUP(1138,'PEDIDO 6'!$C$2:$E$230,3,0),0)</f>
        <v>0</v>
      </c>
      <c r="E446" s="1">
        <f>IFERROR(VLOOKUP(1139,'PEDIDO 6'!$C$2:$E$230,3,0),0)</f>
        <v>0</v>
      </c>
      <c r="F446" s="1">
        <f>IFERROR(VLOOKUP(1140,'PEDIDO 6'!$C$2:$E$230,3,0),0)</f>
        <v>0</v>
      </c>
      <c r="G446" s="18">
        <f t="shared" si="10"/>
        <v>0</v>
      </c>
    </row>
    <row r="447" spans="1:7" ht="15.75" x14ac:dyDescent="0.25">
      <c r="A447" s="15" t="str">
        <f>'PEDIDO 6'!$B$2</f>
        <v>Piedade-Comercial Spm Eireli</v>
      </c>
      <c r="B447" s="12" t="s">
        <v>439</v>
      </c>
      <c r="C447" s="1">
        <f>IFERROR(VLOOKUP(1141,'PEDIDO 6'!$C$2:$E$230,3,0),0)</f>
        <v>0</v>
      </c>
      <c r="D447" s="1">
        <f>IFERROR(VLOOKUP(1142,'PEDIDO 6'!$C$2:$E$230,3,0),0)</f>
        <v>0</v>
      </c>
      <c r="E447" s="1">
        <f>IFERROR(VLOOKUP(1143,'PEDIDO 6'!$C$2:$E$230,3,0),0)</f>
        <v>0</v>
      </c>
      <c r="F447" s="1">
        <f>IFERROR(VLOOKUP(1144,'PEDIDO 6'!$C$2:$E$230,3,0),0)</f>
        <v>0</v>
      </c>
      <c r="G447" s="18">
        <f t="shared" si="10"/>
        <v>0</v>
      </c>
    </row>
    <row r="448" spans="1:7" ht="15.75" x14ac:dyDescent="0.25">
      <c r="A448" s="15" t="str">
        <f>'PEDIDO 6'!$B$2</f>
        <v>Piedade-Comercial Spm Eireli</v>
      </c>
      <c r="B448" s="12" t="s">
        <v>440</v>
      </c>
      <c r="C448" s="1">
        <f>IFERROR(VLOOKUP(1145,'PEDIDO 6'!$C$2:$E$230,3,0),0)</f>
        <v>0</v>
      </c>
      <c r="D448" s="1">
        <f>IFERROR(VLOOKUP(1146,'PEDIDO 6'!$C$2:$E$230,3,0),0)</f>
        <v>0</v>
      </c>
      <c r="E448" s="1">
        <f>IFERROR(VLOOKUP(1147,'PEDIDO 6'!$C$2:$E$230,3,0),0)</f>
        <v>0</v>
      </c>
      <c r="F448" s="1">
        <f>IFERROR(VLOOKUP(1148,'PEDIDO 6'!$C$2:$E$230,3,0),0)</f>
        <v>0</v>
      </c>
      <c r="G448" s="18">
        <f t="shared" si="10"/>
        <v>0</v>
      </c>
    </row>
    <row r="449" spans="1:7" ht="15.75" x14ac:dyDescent="0.25">
      <c r="A449" s="15" t="str">
        <f>'PEDIDO 6'!$B$2</f>
        <v>Piedade-Comercial Spm Eireli</v>
      </c>
      <c r="B449" s="12" t="s">
        <v>441</v>
      </c>
      <c r="C449" s="1">
        <f>IFERROR(VLOOKUP(1149,'PEDIDO 6'!$C$2:$E$230,3,0),0)</f>
        <v>0</v>
      </c>
      <c r="D449" s="1">
        <f>IFERROR(VLOOKUP(1150,'PEDIDO 6'!$C$2:$E$230,3,0),0)</f>
        <v>0</v>
      </c>
      <c r="E449" s="1">
        <f>IFERROR(VLOOKUP(1151,'PEDIDO 6'!$C$2:$E$230,3,0),0)</f>
        <v>0</v>
      </c>
      <c r="F449" s="1">
        <f>IFERROR(VLOOKUP(1152,'PEDIDO 6'!$C$2:$E$230,3,0),0)</f>
        <v>0</v>
      </c>
      <c r="G449" s="18">
        <f t="shared" si="10"/>
        <v>0</v>
      </c>
    </row>
    <row r="450" spans="1:7" ht="15.75" x14ac:dyDescent="0.25">
      <c r="A450" s="15" t="str">
        <f>'PEDIDO 6'!$B$2</f>
        <v>Piedade-Comercial Spm Eireli</v>
      </c>
      <c r="B450" s="12" t="s">
        <v>442</v>
      </c>
      <c r="C450" s="1">
        <f>IFERROR(VLOOKUP(1153,'PEDIDO 6'!$C$2:$E$230,3,0),0)</f>
        <v>0</v>
      </c>
      <c r="D450" s="1">
        <f>IFERROR(VLOOKUP(1154,'PEDIDO 6'!$C$2:$E$230,3,0),0)</f>
        <v>0</v>
      </c>
      <c r="E450" s="1">
        <f>IFERROR(VLOOKUP(1155,'PEDIDO 6'!$C$2:$E$230,3,0),0)</f>
        <v>0</v>
      </c>
      <c r="F450" s="1">
        <f>IFERROR(VLOOKUP(1156,'PEDIDO 6'!$C$2:$E$230,3,0),0)</f>
        <v>0</v>
      </c>
      <c r="G450" s="18">
        <f t="shared" si="10"/>
        <v>0</v>
      </c>
    </row>
    <row r="451" spans="1:7" ht="15.75" x14ac:dyDescent="0.25">
      <c r="A451" s="15" t="str">
        <f>'PEDIDO 6'!$B$2</f>
        <v>Piedade-Comercial Spm Eireli</v>
      </c>
      <c r="B451" s="12" t="s">
        <v>443</v>
      </c>
      <c r="C451" s="1">
        <f>IFERROR(VLOOKUP(1157,'PEDIDO 6'!$C$2:$E$230,3,0),0)</f>
        <v>0</v>
      </c>
      <c r="D451" s="1">
        <f>IFERROR(VLOOKUP(1158,'PEDIDO 6'!$C$2:$E$230,3,0),0)</f>
        <v>0</v>
      </c>
      <c r="E451" s="1">
        <f>IFERROR(VLOOKUP(1159,'PEDIDO 6'!$C$2:$E$230,3,0),0)</f>
        <v>0</v>
      </c>
      <c r="F451" s="1">
        <f>IFERROR(VLOOKUP(1160,'PEDIDO 6'!$C$2:$E$230,3,0),0)</f>
        <v>0</v>
      </c>
      <c r="G451" s="18">
        <f t="shared" si="10"/>
        <v>0</v>
      </c>
    </row>
    <row r="452" spans="1:7" ht="15.75" x14ac:dyDescent="0.25">
      <c r="A452" s="15" t="str">
        <f>'PEDIDO 6'!$B$2</f>
        <v>Piedade-Comercial Spm Eireli</v>
      </c>
      <c r="B452" s="12" t="s">
        <v>444</v>
      </c>
      <c r="C452" s="1">
        <f>IFERROR(VLOOKUP(1161,'PEDIDO 6'!$C$2:$E$230,3,0),0)</f>
        <v>0</v>
      </c>
      <c r="D452" s="1">
        <f>IFERROR(VLOOKUP(1162,'PEDIDO 6'!$C$2:$E$230,3,0),0)</f>
        <v>0</v>
      </c>
      <c r="E452" s="1">
        <f>IFERROR(VLOOKUP(1163,'PEDIDO 6'!$C$2:$E$230,3,0),0)</f>
        <v>0</v>
      </c>
      <c r="F452" s="1">
        <f>IFERROR(VLOOKUP(1164,'PEDIDO 6'!$C$2:$E$230,3,0),0)</f>
        <v>0</v>
      </c>
      <c r="G452" s="18">
        <f t="shared" si="10"/>
        <v>0</v>
      </c>
    </row>
    <row r="453" spans="1:7" ht="15.75" x14ac:dyDescent="0.25">
      <c r="A453" s="15" t="str">
        <f>'PEDIDO 6'!$B$2</f>
        <v>Piedade-Comercial Spm Eireli</v>
      </c>
      <c r="B453" s="12" t="s">
        <v>445</v>
      </c>
      <c r="C453" s="1">
        <f>IFERROR(VLOOKUP(1165,'PEDIDO 6'!$C$2:$E$230,3,0),0)</f>
        <v>0</v>
      </c>
      <c r="D453" s="1">
        <f>IFERROR(VLOOKUP(1166,'PEDIDO 6'!$C$2:$E$230,3,0),0)</f>
        <v>0</v>
      </c>
      <c r="E453" s="1">
        <f>IFERROR(VLOOKUP(1167,'PEDIDO 6'!$C$2:$E$230,3,0),0)</f>
        <v>0</v>
      </c>
      <c r="F453" s="1">
        <f>IFERROR(VLOOKUP(1168,'PEDIDO 6'!$C$2:$E$230,3,0),0)</f>
        <v>0</v>
      </c>
      <c r="G453" s="18">
        <f t="shared" si="10"/>
        <v>0</v>
      </c>
    </row>
    <row r="454" spans="1:7" ht="15.75" x14ac:dyDescent="0.25">
      <c r="A454" s="15" t="str">
        <f>'PEDIDO 6'!$B$2</f>
        <v>Piedade-Comercial Spm Eireli</v>
      </c>
      <c r="B454" s="12" t="s">
        <v>446</v>
      </c>
      <c r="C454" s="1">
        <f>IFERROR(VLOOKUP(1169,'PEDIDO 6'!$C$2:$E$230,3,0),0)</f>
        <v>0</v>
      </c>
      <c r="D454" s="1">
        <f>IFERROR(VLOOKUP(1170,'PEDIDO 6'!$C$2:$E$230,3,0),0)</f>
        <v>0</v>
      </c>
      <c r="E454" s="1">
        <f>IFERROR(VLOOKUP(1171,'PEDIDO 6'!$C$2:$E$230,3,0),0)</f>
        <v>0</v>
      </c>
      <c r="F454" s="1">
        <f>IFERROR(VLOOKUP(1172,'PEDIDO 6'!$C$2:$E$230,3,0),0)</f>
        <v>0</v>
      </c>
      <c r="G454" s="18">
        <f t="shared" si="10"/>
        <v>0</v>
      </c>
    </row>
    <row r="455" spans="1:7" ht="15.75" x14ac:dyDescent="0.25">
      <c r="A455" s="15" t="str">
        <f>'PEDIDO 6'!$B$2</f>
        <v>Piedade-Comercial Spm Eireli</v>
      </c>
      <c r="B455" s="12" t="s">
        <v>447</v>
      </c>
      <c r="C455" s="1">
        <f>IFERROR(VLOOKUP(1173,'PEDIDO 6'!$C$2:$E$230,3,0),0)</f>
        <v>0</v>
      </c>
      <c r="D455" s="1">
        <f>IFERROR(VLOOKUP(1174,'PEDIDO 6'!$C$2:$E$230,3,0),0)</f>
        <v>0</v>
      </c>
      <c r="E455" s="1">
        <f>IFERROR(VLOOKUP(1175,'PEDIDO 6'!$C$2:$E$230,3,0),0)</f>
        <v>0</v>
      </c>
      <c r="F455" s="1">
        <f>IFERROR(VLOOKUP(1176,'PEDIDO 6'!$C$2:$E$230,3,0),0)</f>
        <v>0</v>
      </c>
      <c r="G455" s="18">
        <f t="shared" si="10"/>
        <v>0</v>
      </c>
    </row>
    <row r="456" spans="1:7" ht="15.75" x14ac:dyDescent="0.25">
      <c r="A456" s="15" t="str">
        <f>'PEDIDO 6'!$B$2</f>
        <v>Piedade-Comercial Spm Eireli</v>
      </c>
      <c r="B456" s="12" t="s">
        <v>448</v>
      </c>
      <c r="C456" s="1">
        <f>IFERROR(VLOOKUP(1249,'PEDIDO 6'!$C$2:$E$230,3,0),0)</f>
        <v>0</v>
      </c>
      <c r="D456" s="1">
        <f>IFERROR(VLOOKUP(1250,'PEDIDO 6'!$C$2:$E$230,3,0),0)</f>
        <v>0</v>
      </c>
      <c r="E456" s="1">
        <f>IFERROR(VLOOKUP(1251,'PEDIDO 6'!$C$2:$E$230,3,0),0)</f>
        <v>0</v>
      </c>
      <c r="F456" s="1">
        <f>IFERROR(VLOOKUP(1252,'PEDIDO 6'!$C$2:$E$230,3,0),0)</f>
        <v>0</v>
      </c>
      <c r="G456" s="18">
        <f t="shared" si="10"/>
        <v>0</v>
      </c>
    </row>
    <row r="457" spans="1:7" ht="15.75" x14ac:dyDescent="0.25">
      <c r="A457" s="15" t="str">
        <f>'PEDIDO 6'!$B$2</f>
        <v>Piedade-Comercial Spm Eireli</v>
      </c>
      <c r="B457" s="12" t="s">
        <v>449</v>
      </c>
      <c r="C457" s="1">
        <f>IFERROR(VLOOKUP(1177,'PEDIDO 6'!$C$2:$E$230,3,0),0)</f>
        <v>0</v>
      </c>
      <c r="D457" s="1">
        <f>IFERROR(VLOOKUP(1178,'PEDIDO 6'!$C$2:$E$230,3,0),0)</f>
        <v>0</v>
      </c>
      <c r="E457" s="1">
        <f>IFERROR(VLOOKUP(1179,'PEDIDO 6'!$C$2:$E$230,3,0),0)</f>
        <v>0</v>
      </c>
      <c r="F457" s="1">
        <f>IFERROR(VLOOKUP(1180,'PEDIDO 6'!$C$2:$E$230,3,0),0)</f>
        <v>0</v>
      </c>
      <c r="G457" s="18">
        <f t="shared" si="10"/>
        <v>0</v>
      </c>
    </row>
    <row r="458" spans="1:7" ht="15.75" x14ac:dyDescent="0.25">
      <c r="A458" s="15" t="str">
        <f>'PEDIDO 6'!$B$2</f>
        <v>Piedade-Comercial Spm Eireli</v>
      </c>
      <c r="B458" s="12" t="s">
        <v>450</v>
      </c>
      <c r="C458" s="1">
        <f>IFERROR(VLOOKUP(1181,'PEDIDO 6'!$C$2:$E$230,3,0),0)</f>
        <v>0</v>
      </c>
      <c r="D458" s="1">
        <f>IFERROR(VLOOKUP(1182,'PEDIDO 6'!$C$2:$E$230,3,0),0)</f>
        <v>0</v>
      </c>
      <c r="E458" s="1">
        <f>IFERROR(VLOOKUP(1183,'PEDIDO 6'!$C$2:$E$230,3,0),0)</f>
        <v>0</v>
      </c>
      <c r="F458" s="1">
        <f>IFERROR(VLOOKUP(1184,'PEDIDO 6'!$C$2:$E$230,3,0),0)</f>
        <v>0</v>
      </c>
      <c r="G458" s="18">
        <f t="shared" si="10"/>
        <v>0</v>
      </c>
    </row>
    <row r="459" spans="1:7" ht="15.75" x14ac:dyDescent="0.25">
      <c r="A459" s="15" t="str">
        <f>'PEDIDO 6'!$B$2</f>
        <v>Piedade-Comercial Spm Eireli</v>
      </c>
      <c r="B459" s="12" t="s">
        <v>451</v>
      </c>
      <c r="C459" s="1">
        <f>IFERROR(VLOOKUP(1185,'PEDIDO 6'!$C$2:$E$230,3,0),0)</f>
        <v>0</v>
      </c>
      <c r="D459" s="1">
        <f>IFERROR(VLOOKUP(1186,'PEDIDO 6'!$C$2:$E$230,3,0),0)</f>
        <v>0</v>
      </c>
      <c r="E459" s="1">
        <f>IFERROR(VLOOKUP(1187,'PEDIDO 6'!$C$2:$E$230,3,0),0)</f>
        <v>0</v>
      </c>
      <c r="F459" s="1">
        <f>IFERROR(VLOOKUP(1188,'PEDIDO 6'!$C$2:$E$230,3,0),0)</f>
        <v>0</v>
      </c>
      <c r="G459" s="18">
        <f t="shared" si="10"/>
        <v>0</v>
      </c>
    </row>
    <row r="460" spans="1:7" ht="15.75" x14ac:dyDescent="0.25">
      <c r="A460" s="15" t="str">
        <f>'PEDIDO 6'!$B$2</f>
        <v>Piedade-Comercial Spm Eireli</v>
      </c>
      <c r="B460" s="12" t="s">
        <v>452</v>
      </c>
      <c r="C460" s="1">
        <f>IFERROR(VLOOKUP(1189,'PEDIDO 6'!$C$2:$E$230,3,0),0)</f>
        <v>0</v>
      </c>
      <c r="D460" s="1">
        <f>IFERROR(VLOOKUP(1190,'PEDIDO 6'!$C$2:$E$230,3,0),0)</f>
        <v>0</v>
      </c>
      <c r="E460" s="1">
        <f>IFERROR(VLOOKUP(1191,'PEDIDO 6'!$C$2:$E$230,3,0),0)</f>
        <v>0</v>
      </c>
      <c r="F460" s="1">
        <f>IFERROR(VLOOKUP(1192,'PEDIDO 6'!$C$2:$E$230,3,0),0)</f>
        <v>0</v>
      </c>
      <c r="G460" s="18">
        <f t="shared" si="10"/>
        <v>0</v>
      </c>
    </row>
    <row r="461" spans="1:7" ht="15.75" x14ac:dyDescent="0.25">
      <c r="A461" s="15" t="str">
        <f>'PEDIDO 6'!$B$2</f>
        <v>Piedade-Comercial Spm Eireli</v>
      </c>
      <c r="B461" s="12" t="s">
        <v>453</v>
      </c>
      <c r="C461" s="1">
        <f>IFERROR(VLOOKUP(1193,'PEDIDO 6'!$C$2:$E$230,3,0),0)</f>
        <v>0</v>
      </c>
      <c r="D461" s="1">
        <f>IFERROR(VLOOKUP(1194,'PEDIDO 6'!$C$2:$E$230,3,0),0)</f>
        <v>0</v>
      </c>
      <c r="E461" s="1">
        <f>IFERROR(VLOOKUP(1195,'PEDIDO 6'!$C$2:$E$230,3,0),0)</f>
        <v>0</v>
      </c>
      <c r="F461" s="1">
        <f>IFERROR(VLOOKUP(1196,'PEDIDO 6'!$C$2:$E$230,3,0),0)</f>
        <v>0</v>
      </c>
      <c r="G461" s="18">
        <f t="shared" si="10"/>
        <v>0</v>
      </c>
    </row>
    <row r="462" spans="1:7" ht="15.75" x14ac:dyDescent="0.25">
      <c r="A462" s="15" t="str">
        <f>'PEDIDO 6'!$B$2</f>
        <v>Piedade-Comercial Spm Eireli</v>
      </c>
      <c r="B462" s="12" t="s">
        <v>454</v>
      </c>
      <c r="C462" s="1">
        <f>IFERROR(VLOOKUP(1197,'PEDIDO 6'!$C$2:$E$230,3,0),0)</f>
        <v>0</v>
      </c>
      <c r="D462" s="1">
        <f>IFERROR(VLOOKUP(1198,'PEDIDO 6'!$C$2:$E$230,3,0),0)</f>
        <v>0</v>
      </c>
      <c r="E462" s="1">
        <f>IFERROR(VLOOKUP(1199,'PEDIDO 6'!$C$2:$E$230,3,0),0)</f>
        <v>0</v>
      </c>
      <c r="F462" s="1">
        <f>IFERROR(VLOOKUP(1200,'PEDIDO 6'!$C$2:$E$230,3,0),0)</f>
        <v>0</v>
      </c>
      <c r="G462" s="18">
        <f t="shared" si="10"/>
        <v>0</v>
      </c>
    </row>
    <row r="463" spans="1:7" ht="15.75" x14ac:dyDescent="0.25">
      <c r="A463" s="15" t="str">
        <f>'PEDIDO 6'!$B$2</f>
        <v>Piedade-Comercial Spm Eireli</v>
      </c>
      <c r="B463" s="12" t="s">
        <v>455</v>
      </c>
      <c r="C463" s="1">
        <f>IFERROR(VLOOKUP(1201,'PEDIDO 6'!$C$2:$E$230,3,0),0)</f>
        <v>0</v>
      </c>
      <c r="D463" s="1">
        <f>IFERROR(VLOOKUP(1202,'PEDIDO 6'!$C$2:$E$230,3,0),0)</f>
        <v>0</v>
      </c>
      <c r="E463" s="1">
        <f>IFERROR(VLOOKUP(1203,'PEDIDO 6'!$C$2:$E$230,3,0),0)</f>
        <v>0</v>
      </c>
      <c r="F463" s="1">
        <f>IFERROR(VLOOKUP(1204,'PEDIDO 6'!$C$2:$E$230,3,0),0)</f>
        <v>0</v>
      </c>
      <c r="G463" s="18">
        <f t="shared" si="10"/>
        <v>0</v>
      </c>
    </row>
    <row r="464" spans="1:7" ht="15.75" x14ac:dyDescent="0.25">
      <c r="A464" s="15" t="str">
        <f>'PEDIDO 6'!$B$2</f>
        <v>Piedade-Comercial Spm Eireli</v>
      </c>
      <c r="B464" s="12" t="s">
        <v>456</v>
      </c>
      <c r="C464" s="1">
        <f>IFERROR(VLOOKUP(1205,'PEDIDO 6'!$C$2:$E$230,3,0),0)</f>
        <v>0</v>
      </c>
      <c r="D464" s="1">
        <f>IFERROR(VLOOKUP(1206,'PEDIDO 6'!$C$2:$E$230,3,0),0)</f>
        <v>0</v>
      </c>
      <c r="E464" s="1">
        <f>IFERROR(VLOOKUP(1207,'PEDIDO 6'!$C$2:$E$230,3,0),0)</f>
        <v>0</v>
      </c>
      <c r="F464" s="1">
        <f>IFERROR(VLOOKUP(1208,'PEDIDO 6'!$C$2:$E$230,3,0),0)</f>
        <v>0</v>
      </c>
      <c r="G464" s="18">
        <f t="shared" si="10"/>
        <v>0</v>
      </c>
    </row>
    <row r="465" spans="1:7" ht="15.75" x14ac:dyDescent="0.25">
      <c r="A465" s="15" t="str">
        <f>'PEDIDO 6'!$B$2</f>
        <v>Piedade-Comercial Spm Eireli</v>
      </c>
      <c r="B465" s="12" t="s">
        <v>457</v>
      </c>
      <c r="C465" s="1">
        <f>IFERROR(VLOOKUP(1213,'PEDIDO 6'!$C$2:$E$230,3,0),0)</f>
        <v>0</v>
      </c>
      <c r="D465" s="1">
        <f>IFERROR(VLOOKUP(1214,'PEDIDO 6'!$C$2:$E$230,3,0),0)</f>
        <v>0</v>
      </c>
      <c r="E465" s="1">
        <f>IFERROR(VLOOKUP(1215,'PEDIDO 6'!$C$2:$E$230,3,0),0)</f>
        <v>0</v>
      </c>
      <c r="F465" s="10">
        <f>IFERROR(VLOOKUP(1216,'PEDIDO 6'!$C$2:$E$230,3,0),0)</f>
        <v>0</v>
      </c>
      <c r="G465" s="18">
        <f t="shared" si="10"/>
        <v>0</v>
      </c>
    </row>
    <row r="466" spans="1:7" ht="15.75" x14ac:dyDescent="0.25">
      <c r="A466" s="15" t="str">
        <f>'PEDIDO 6'!$B$2</f>
        <v>Piedade-Comercial Spm Eireli</v>
      </c>
      <c r="B466" s="12" t="s">
        <v>458</v>
      </c>
      <c r="C466" s="1">
        <f>IFERROR(VLOOKUP(1209,'PEDIDO 6'!$C$2:$E$230,3,0),0)</f>
        <v>0</v>
      </c>
      <c r="D466" s="1">
        <f>IFERROR(VLOOKUP(1210,'PEDIDO 6'!$C$2:$E$230,3,0),0)</f>
        <v>0</v>
      </c>
      <c r="E466" s="1">
        <f>IFERROR(VLOOKUP(1211,'PEDIDO 6'!$C$2:$E$230,3,0),0)</f>
        <v>0</v>
      </c>
      <c r="F466" s="1">
        <f>IFERROR(VLOOKUP(1212,'PEDIDO 6'!$C$2:$E$230,3,0),0)</f>
        <v>0</v>
      </c>
      <c r="G466" s="18">
        <f t="shared" si="10"/>
        <v>0</v>
      </c>
    </row>
    <row r="467" spans="1:7" ht="15.75" x14ac:dyDescent="0.25">
      <c r="A467" s="15" t="str">
        <f>'PEDIDO 6'!$B$2</f>
        <v>Piedade-Comercial Spm Eireli</v>
      </c>
      <c r="B467" s="12" t="s">
        <v>459</v>
      </c>
      <c r="C467" s="1">
        <f>IFERROR(VLOOKUP(1217,'PEDIDO 6'!$C$2:$E$230,3,0),0)</f>
        <v>0</v>
      </c>
      <c r="D467" s="1">
        <f>IFERROR(VLOOKUP(1218,'PEDIDO 6'!$C$2:$E$230,3,0),0)</f>
        <v>0</v>
      </c>
      <c r="E467" s="1">
        <f>IFERROR(VLOOKUP(1219,'PEDIDO 6'!$C$2:$E$230,3,0),0)</f>
        <v>0</v>
      </c>
      <c r="F467" s="1">
        <f>IFERROR(VLOOKUP(1220,'PEDIDO 6'!$C$2:$E$230,3,0),0)</f>
        <v>0</v>
      </c>
      <c r="G467" s="18">
        <f t="shared" si="10"/>
        <v>0</v>
      </c>
    </row>
    <row r="468" spans="1:7" ht="15.75" x14ac:dyDescent="0.25">
      <c r="A468" s="15" t="str">
        <f>'PEDIDO 6'!$B$2</f>
        <v>Piedade-Comercial Spm Eireli</v>
      </c>
      <c r="B468" s="12" t="s">
        <v>461</v>
      </c>
      <c r="C468" s="1">
        <f>IFERROR(VLOOKUP(1225,'PEDIDO 6'!$C$2:$E$230,3,0),0)</f>
        <v>0</v>
      </c>
      <c r="D468" s="1">
        <f>IFERROR(VLOOKUP(1226,'PEDIDO 6'!$C$2:$E$230,3,0),0)</f>
        <v>0</v>
      </c>
      <c r="E468" s="1">
        <f>IFERROR(VLOOKUP(1227,'PEDIDO 6'!$C$2:$E$230,3,0),0)</f>
        <v>0</v>
      </c>
      <c r="F468" s="1">
        <f>IFERROR(VLOOKUP(1228,'PEDIDO 6'!$C$2:$E$230,3,0),0)</f>
        <v>0</v>
      </c>
      <c r="G468" s="18">
        <f t="shared" si="10"/>
        <v>0</v>
      </c>
    </row>
    <row r="469" spans="1:7" ht="15.75" x14ac:dyDescent="0.25">
      <c r="A469" s="15" t="str">
        <f>'PEDIDO 6'!$B$2</f>
        <v>Piedade-Comercial Spm Eireli</v>
      </c>
      <c r="B469" s="12" t="s">
        <v>462</v>
      </c>
      <c r="C469" s="1">
        <f>IFERROR(VLOOKUP(1221,'PEDIDO 6'!$C$2:$E$230,3,0),0)</f>
        <v>0</v>
      </c>
      <c r="D469" s="1">
        <f>IFERROR(VLOOKUP(1222,'PEDIDO 6'!$C$2:$E$230,3,0),0)</f>
        <v>0</v>
      </c>
      <c r="E469" s="1">
        <f>IFERROR(VLOOKUP(1223,'PEDIDO 6'!$C$2:$E$230,3,0),0)</f>
        <v>0</v>
      </c>
      <c r="F469" s="1">
        <f>IFERROR(VLOOKUP(1224,'PEDIDO 6'!$C$2:$E$230,3,0),0)</f>
        <v>0</v>
      </c>
      <c r="G469" s="18">
        <f t="shared" si="10"/>
        <v>0</v>
      </c>
    </row>
    <row r="470" spans="1:7" ht="15.75" x14ac:dyDescent="0.25">
      <c r="A470" s="15" t="str">
        <f>'PEDIDO 6'!$B$2</f>
        <v>Piedade-Comercial Spm Eireli</v>
      </c>
      <c r="B470" s="12" t="s">
        <v>460</v>
      </c>
      <c r="C470" s="1">
        <f>IFERROR(VLOOKUP(1229,'PEDIDO 6'!$C$2:$E$230,3,0),0)</f>
        <v>0</v>
      </c>
      <c r="D470" s="1">
        <f>IFERROR(VLOOKUP(1230,'PEDIDO 6'!$C$2:$E$230,3,0),0)</f>
        <v>0</v>
      </c>
      <c r="E470" s="1">
        <f>IFERROR(VLOOKUP(1231,'PEDIDO 6'!$C$2:$E$230,3,0),0)</f>
        <v>0</v>
      </c>
      <c r="F470" s="1">
        <f>IFERROR(VLOOKUP(1232,'PEDIDO 6'!$C$2:$E$230,3,0),0)</f>
        <v>0</v>
      </c>
      <c r="G470" s="18">
        <f t="shared" si="10"/>
        <v>0</v>
      </c>
    </row>
    <row r="471" spans="1:7" ht="15.75" x14ac:dyDescent="0.25">
      <c r="A471" s="15" t="str">
        <f>'PEDIDO 6'!$B$2</f>
        <v>Piedade-Comercial Spm Eireli</v>
      </c>
      <c r="B471" s="12" t="s">
        <v>463</v>
      </c>
      <c r="C471" s="1">
        <f>IFERROR(VLOOKUP(1233,'PEDIDO 6'!$C$2:$E$230,3,0),0)</f>
        <v>0</v>
      </c>
      <c r="D471" s="1">
        <f>IFERROR(VLOOKUP(1234,'PEDIDO 6'!$C$2:$E$230,3,0),0)</f>
        <v>0</v>
      </c>
      <c r="E471" s="1">
        <f>IFERROR(VLOOKUP(1235,'PEDIDO 6'!$C$2:$E$230,3,0),0)</f>
        <v>0</v>
      </c>
      <c r="F471" s="1">
        <f>IFERROR(VLOOKUP(1236,'PEDIDO 6'!$C$2:$E$230,3,0),0)</f>
        <v>0</v>
      </c>
      <c r="G471" s="18">
        <f t="shared" si="10"/>
        <v>0</v>
      </c>
    </row>
    <row r="472" spans="1:7" ht="15.75" x14ac:dyDescent="0.25">
      <c r="A472" s="15" t="str">
        <f>'PEDIDO 6'!$B$2</f>
        <v>Piedade-Comercial Spm Eireli</v>
      </c>
      <c r="B472" s="12" t="s">
        <v>464</v>
      </c>
      <c r="C472" s="1">
        <f>IFERROR(VLOOKUP(1237,'PEDIDO 6'!$C$2:$E$230,3,0),0)</f>
        <v>0</v>
      </c>
      <c r="D472" s="1">
        <f>IFERROR(VLOOKUP(1238,'PEDIDO 6'!$C$2:$E$230,3,0),0)</f>
        <v>0</v>
      </c>
      <c r="E472" s="1">
        <f>IFERROR(VLOOKUP(1239,'PEDIDO 6'!$C$2:$E$230,3,0),0)</f>
        <v>0</v>
      </c>
      <c r="F472" s="1">
        <f>IFERROR(VLOOKUP(1240,'PEDIDO 6'!$C$2:$E$230,3,0),0)</f>
        <v>0</v>
      </c>
      <c r="G472" s="18">
        <f t="shared" ref="G472:G484" si="11">SUM(C472+D472+E472+F472)</f>
        <v>0</v>
      </c>
    </row>
    <row r="473" spans="1:7" ht="15.75" x14ac:dyDescent="0.25">
      <c r="A473" s="15" t="str">
        <f>'PEDIDO 6'!$B$2</f>
        <v>Piedade-Comercial Spm Eireli</v>
      </c>
      <c r="B473" s="12" t="s">
        <v>465</v>
      </c>
      <c r="C473" s="1">
        <f>IFERROR(VLOOKUP(1241,'PEDIDO 6'!$C$2:$E$230,3,0),0)</f>
        <v>0</v>
      </c>
      <c r="D473" s="1">
        <f>IFERROR(VLOOKUP(1242,'PEDIDO 6'!$C$2:$E$230,3,0),0)</f>
        <v>0</v>
      </c>
      <c r="E473" s="1">
        <f>IFERROR(VLOOKUP(1243,'PEDIDO 6'!$C$2:$E$230,3,0),0)</f>
        <v>0</v>
      </c>
      <c r="F473" s="1">
        <f>IFERROR(VLOOKUP(1244,'PEDIDO 6'!$C$2:$E$230,3,0),0)</f>
        <v>0</v>
      </c>
      <c r="G473" s="18">
        <f t="shared" si="11"/>
        <v>0</v>
      </c>
    </row>
    <row r="474" spans="1:7" ht="15.75" x14ac:dyDescent="0.25">
      <c r="A474" s="15" t="str">
        <f>'PEDIDO 6'!$B$2</f>
        <v>Piedade-Comercial Spm Eireli</v>
      </c>
      <c r="B474" s="12" t="s">
        <v>466</v>
      </c>
      <c r="C474" s="1">
        <f>IFERROR(VLOOKUP(1245,'PEDIDO 6'!$C$2:$E$230,3,0),0)</f>
        <v>0</v>
      </c>
      <c r="D474" s="1">
        <f>IFERROR(VLOOKUP(1246,'PEDIDO 6'!$C$2:$E$230,3,0),0)</f>
        <v>0</v>
      </c>
      <c r="E474" s="1">
        <f>IFERROR(VLOOKUP(1247,'PEDIDO 6'!$C$2:$E$230,3,0),0)</f>
        <v>0</v>
      </c>
      <c r="F474" s="1">
        <f>IFERROR(VLOOKUP(1248,'PEDIDO 6'!$C$2:$E$230,3,0),0)</f>
        <v>0</v>
      </c>
      <c r="G474" s="18">
        <f t="shared" si="11"/>
        <v>0</v>
      </c>
    </row>
    <row r="475" spans="1:7" ht="15.75" x14ac:dyDescent="0.25">
      <c r="A475" s="15" t="str">
        <f>'PEDIDO 6'!$B$2</f>
        <v>Piedade-Comercial Spm Eireli</v>
      </c>
      <c r="B475" s="12" t="s">
        <v>467</v>
      </c>
      <c r="C475" s="1">
        <f>IFERROR(VLOOKUP(25714,'PEDIDO 6'!$C$2:$E$230,3,0),0)</f>
        <v>0</v>
      </c>
      <c r="D475" s="1"/>
      <c r="E475" s="1"/>
      <c r="F475" s="1"/>
      <c r="G475" s="18">
        <f t="shared" si="11"/>
        <v>0</v>
      </c>
    </row>
    <row r="476" spans="1:7" ht="15.75" x14ac:dyDescent="0.25">
      <c r="A476" s="15" t="str">
        <f>'PEDIDO 6'!$B$2</f>
        <v>Piedade-Comercial Spm Eireli</v>
      </c>
      <c r="B476" s="12" t="s">
        <v>468</v>
      </c>
      <c r="C476" s="1">
        <f>IFERROR(VLOOKUP(25712,'PEDIDO 6'!$C$2:$E$230,3,0),0)</f>
        <v>0</v>
      </c>
      <c r="D476" s="1"/>
      <c r="E476" s="1"/>
      <c r="F476" s="1"/>
      <c r="G476" s="18">
        <f t="shared" si="11"/>
        <v>0</v>
      </c>
    </row>
    <row r="477" spans="1:7" ht="15.75" x14ac:dyDescent="0.25">
      <c r="A477" s="15" t="str">
        <f>'PEDIDO 6'!$B$2</f>
        <v>Piedade-Comercial Spm Eireli</v>
      </c>
      <c r="B477" s="12" t="s">
        <v>469</v>
      </c>
      <c r="C477" s="1">
        <f>IFERROR(VLOOKUP(25713,'PEDIDO 6'!$C$2:$E$230,3,0),0)</f>
        <v>0</v>
      </c>
      <c r="D477" s="1"/>
      <c r="E477" s="1"/>
      <c r="F477" s="1"/>
      <c r="G477" s="18">
        <f t="shared" si="11"/>
        <v>0</v>
      </c>
    </row>
    <row r="478" spans="1:7" ht="15.75" x14ac:dyDescent="0.25">
      <c r="A478" s="15" t="str">
        <f>'PEDIDO 6'!$B$2</f>
        <v>Piedade-Comercial Spm Eireli</v>
      </c>
      <c r="B478" s="12" t="s">
        <v>470</v>
      </c>
      <c r="C478" s="1">
        <f>IFERROR(VLOOKUP(1260,'PEDIDO 6'!$C$2:$E$230,3,0),0)</f>
        <v>0</v>
      </c>
      <c r="D478" s="1"/>
      <c r="E478" s="1"/>
      <c r="F478" s="1"/>
      <c r="G478" s="18">
        <f t="shared" si="11"/>
        <v>0</v>
      </c>
    </row>
    <row r="479" spans="1:7" ht="15.75" x14ac:dyDescent="0.25">
      <c r="A479" s="15" t="str">
        <f>'PEDIDO 6'!$B$2</f>
        <v>Piedade-Comercial Spm Eireli</v>
      </c>
      <c r="B479" s="12" t="s">
        <v>471</v>
      </c>
      <c r="C479" s="1">
        <f>IFERROR(VLOOKUP(1261,'PEDIDO 6'!$C$2:$E$230,3,0),0)</f>
        <v>0</v>
      </c>
      <c r="D479" s="1"/>
      <c r="E479" s="1"/>
      <c r="F479" s="1"/>
      <c r="G479" s="18">
        <f t="shared" si="11"/>
        <v>0</v>
      </c>
    </row>
    <row r="480" spans="1:7" ht="15.75" x14ac:dyDescent="0.25">
      <c r="A480" s="15" t="str">
        <f>'PEDIDO 6'!$B$2</f>
        <v>Piedade-Comercial Spm Eireli</v>
      </c>
      <c r="B480" s="12" t="s">
        <v>472</v>
      </c>
      <c r="C480" s="1">
        <f>IFERROR(VLOOKUP(1262,'PEDIDO 6'!$C$2:$E$230,3,0),0)</f>
        <v>0</v>
      </c>
      <c r="D480" s="1"/>
      <c r="E480" s="1"/>
      <c r="F480" s="1"/>
      <c r="G480" s="18">
        <f t="shared" si="11"/>
        <v>0</v>
      </c>
    </row>
    <row r="481" spans="1:7" ht="15.75" x14ac:dyDescent="0.25">
      <c r="A481" s="15" t="str">
        <f>'PEDIDO 6'!$B$2</f>
        <v>Piedade-Comercial Spm Eireli</v>
      </c>
      <c r="B481" s="12" t="s">
        <v>473</v>
      </c>
      <c r="C481" s="1">
        <f>IFERROR(VLOOKUP(1263,'PEDIDO 6'!$C$2:$E$230,3,0),0)</f>
        <v>0</v>
      </c>
      <c r="D481" s="1"/>
      <c r="E481" s="1"/>
      <c r="F481" s="1"/>
      <c r="G481" s="18">
        <f t="shared" si="11"/>
        <v>0</v>
      </c>
    </row>
    <row r="482" spans="1:7" ht="15.75" x14ac:dyDescent="0.25">
      <c r="A482" s="15" t="str">
        <f>'PEDIDO 6'!$B$2</f>
        <v>Piedade-Comercial Spm Eireli</v>
      </c>
      <c r="B482" s="12" t="s">
        <v>474</v>
      </c>
      <c r="C482" s="1">
        <f>IFERROR(VLOOKUP(1264,'PEDIDO 6'!$C$2:$E$230,3,0),0)</f>
        <v>0</v>
      </c>
      <c r="D482" s="1"/>
      <c r="E482" s="1"/>
      <c r="F482" s="1"/>
      <c r="G482" s="18">
        <f t="shared" si="11"/>
        <v>0</v>
      </c>
    </row>
    <row r="483" spans="1:7" ht="15.75" x14ac:dyDescent="0.25">
      <c r="A483" s="15" t="str">
        <f>'PEDIDO 6'!$B$2</f>
        <v>Piedade-Comercial Spm Eireli</v>
      </c>
      <c r="B483" s="12" t="s">
        <v>475</v>
      </c>
      <c r="C483" s="1">
        <f>IFERROR(VLOOKUP(1265,'PEDIDO 6'!$C$2:$E$230,3,0),0)</f>
        <v>0</v>
      </c>
      <c r="D483" s="1"/>
      <c r="E483" s="1"/>
      <c r="F483" s="1"/>
      <c r="G483" s="18">
        <f t="shared" si="11"/>
        <v>0</v>
      </c>
    </row>
    <row r="484" spans="1:7" ht="15.75" x14ac:dyDescent="0.25">
      <c r="A484" s="15" t="str">
        <f>'PEDIDO 6'!$B$2</f>
        <v>Piedade-Comercial Spm Eireli</v>
      </c>
      <c r="B484" s="12" t="s">
        <v>476</v>
      </c>
      <c r="C484" s="1">
        <f>IFERROR(VLOOKUP(1266,'PEDIDO 6'!$C$2:$E$230,3,0),0)</f>
        <v>0</v>
      </c>
      <c r="D484" s="1"/>
      <c r="E484" s="1"/>
      <c r="F484" s="1"/>
      <c r="G484" s="18">
        <f t="shared" si="11"/>
        <v>0</v>
      </c>
    </row>
    <row r="485" spans="1:7" ht="15.75" x14ac:dyDescent="0.25">
      <c r="A485" s="15" t="str">
        <f>'PEDIDO 6'!$B$2</f>
        <v>Piedade-Comercial Spm Eireli</v>
      </c>
      <c r="B485" s="12" t="s">
        <v>477</v>
      </c>
      <c r="C485" s="1">
        <f>IFERROR(VLOOKUP(1268,'PEDIDO 6'!$C$2:$E$230,3,0),0)</f>
        <v>0</v>
      </c>
      <c r="D485" s="1">
        <f>IFERROR(VLOOKUP(1269,'PEDIDO 6'!$C$2:$E$230,3,0),0)</f>
        <v>0</v>
      </c>
      <c r="E485" s="1">
        <f>IFERROR(VLOOKUP(1270,'PEDIDO 6'!$C$2:$E$230,3,0),0)</f>
        <v>0</v>
      </c>
      <c r="F485" s="1">
        <f>IFERROR(VLOOKUP(1271,'PEDIDO 6'!$C$2:$E$230,3,0),0)</f>
        <v>0</v>
      </c>
      <c r="G485" s="18">
        <f>SUM(C485+D485+E485+F485)</f>
        <v>0</v>
      </c>
    </row>
    <row r="486" spans="1:7" ht="15.75" x14ac:dyDescent="0.25">
      <c r="A486" s="17"/>
      <c r="B486" s="13"/>
      <c r="C486" s="13"/>
      <c r="D486" s="13"/>
      <c r="E486" s="13"/>
      <c r="F486" s="13"/>
      <c r="G486" s="19"/>
    </row>
    <row r="487" spans="1:7" ht="15.75" x14ac:dyDescent="0.25">
      <c r="A487" s="17"/>
      <c r="B487" s="13"/>
      <c r="C487" s="13"/>
      <c r="D487" s="13"/>
      <c r="E487" s="13"/>
      <c r="F487" s="13"/>
      <c r="G487" s="19"/>
    </row>
    <row r="488" spans="1:7" ht="15.75" x14ac:dyDescent="0.25">
      <c r="A488" s="15" t="str">
        <f>'PEDIDO 7'!$B$2</f>
        <v>Pilar Do Sul-Fabricio Jose Di Rado</v>
      </c>
      <c r="B488" s="12" t="s">
        <v>399</v>
      </c>
      <c r="C488" s="1">
        <f>IFERROR(VLOOKUP(1,'PEDIDO 7'!$C$2:$E$230,3,0),0)</f>
        <v>6</v>
      </c>
      <c r="D488" s="1">
        <f>IFERROR(VLOOKUP(2,'PEDIDO 7'!$C$2:$E$230,3,0),0)</f>
        <v>0</v>
      </c>
      <c r="E488" s="1">
        <f>IFERROR(VLOOKUP(3,'PEDIDO 7'!$C$2:$E$230,3,0),0)</f>
        <v>0</v>
      </c>
      <c r="F488" s="1">
        <f>IFERROR(VLOOKUP(282,'PEDIDO 7'!$C$2:$E$230,3,0),0)</f>
        <v>0</v>
      </c>
      <c r="G488" s="18">
        <f>SUM(C488+D488+E488+F488)</f>
        <v>6</v>
      </c>
    </row>
    <row r="489" spans="1:7" ht="15.75" x14ac:dyDescent="0.25">
      <c r="A489" s="15" t="str">
        <f>'PEDIDO 7'!$B$2</f>
        <v>Pilar Do Sul-Fabricio Jose Di Rado</v>
      </c>
      <c r="B489" s="12" t="s">
        <v>400</v>
      </c>
      <c r="C489" s="1">
        <f>IFERROR(VLOOKUP(5,'PEDIDO 7'!$C$2:$E$230,3,0),0)</f>
        <v>0</v>
      </c>
      <c r="D489" s="1">
        <f>IFERROR(VLOOKUP(6,'PEDIDO 7'!$C$2:$E$230,3,0),0)</f>
        <v>0</v>
      </c>
      <c r="E489" s="1">
        <f>IFERROR(VLOOKUP(7,'PEDIDO 7'!$C$2:$E$230,3,0),0)</f>
        <v>0</v>
      </c>
      <c r="F489" s="1">
        <f>IFERROR(VLOOKUP(258,'PEDIDO 7'!$C$2:$E$230,3,0),0)</f>
        <v>0</v>
      </c>
      <c r="G489" s="18">
        <f t="shared" ref="G489:G552" si="12">SUM(C489+D489+E489+F489)</f>
        <v>0</v>
      </c>
    </row>
    <row r="490" spans="1:7" ht="15.75" x14ac:dyDescent="0.25">
      <c r="A490" s="15" t="str">
        <f>'PEDIDO 7'!$B$2</f>
        <v>Pilar Do Sul-Fabricio Jose Di Rado</v>
      </c>
      <c r="B490" s="12" t="s">
        <v>401</v>
      </c>
      <c r="C490" s="1">
        <f>IFERROR(VLOOKUP(13,'PEDIDO 7'!$C$2:$E$230,3,0),0)</f>
        <v>0</v>
      </c>
      <c r="D490" s="1">
        <f>IFERROR(VLOOKUP(14,'PEDIDO 7'!$C$2:$E$230,3,0),0)</f>
        <v>0</v>
      </c>
      <c r="E490" s="1">
        <f>IFERROR(VLOOKUP(15,'PEDIDO 7'!$C$2:$E$230,3,0),0)</f>
        <v>0</v>
      </c>
      <c r="F490" s="1">
        <f>IFERROR(VLOOKUP(289,'PEDIDO 7'!$C$2:$E$230,3,0),0)</f>
        <v>0</v>
      </c>
      <c r="G490" s="18">
        <f t="shared" si="12"/>
        <v>0</v>
      </c>
    </row>
    <row r="491" spans="1:7" ht="15.75" x14ac:dyDescent="0.25">
      <c r="A491" s="15" t="str">
        <f>'PEDIDO 7'!$B$2</f>
        <v>Pilar Do Sul-Fabricio Jose Di Rado</v>
      </c>
      <c r="B491" s="12" t="s">
        <v>402</v>
      </c>
      <c r="C491" s="1">
        <f>IFERROR(VLOOKUP(267,'PEDIDO 7'!$C$2:$E$230,3,0),0)</f>
        <v>0</v>
      </c>
      <c r="D491" s="1">
        <f>IFERROR(VLOOKUP(268,'PEDIDO 7'!$C$2:$E$230,3,0),0)</f>
        <v>0</v>
      </c>
      <c r="E491" s="1">
        <f>IFERROR(VLOOKUP(270,'PEDIDO 7'!$C$2:$E$230,3,0),0)</f>
        <v>0</v>
      </c>
      <c r="F491" s="1">
        <f>IFERROR(VLOOKUP(269,'PEDIDO 7'!$C$2:$E$230,3,0),0)</f>
        <v>0</v>
      </c>
      <c r="G491" s="18">
        <f t="shared" si="12"/>
        <v>0</v>
      </c>
    </row>
    <row r="492" spans="1:7" ht="15.75" x14ac:dyDescent="0.25">
      <c r="A492" s="15" t="str">
        <f>'PEDIDO 7'!$B$2</f>
        <v>Pilar Do Sul-Fabricio Jose Di Rado</v>
      </c>
      <c r="B492" s="12" t="s">
        <v>403</v>
      </c>
      <c r="C492" s="1">
        <f>IFERROR(VLOOKUP(17,'PEDIDO 7'!$C$2:$E$230,3,0),0)</f>
        <v>0</v>
      </c>
      <c r="D492" s="1">
        <f>IFERROR(VLOOKUP(18,'PEDIDO 7'!$C$2:$E$230,3,0),0)</f>
        <v>0</v>
      </c>
      <c r="E492" s="1">
        <f>IFERROR(VLOOKUP(19,'PEDIDO 7'!$C$2:$E$230,3,0),0)</f>
        <v>0</v>
      </c>
      <c r="F492" s="1">
        <f>IFERROR(VLOOKUP(290,'PEDIDO 7'!$C$2:$E$230,3,0),0)</f>
        <v>0</v>
      </c>
      <c r="G492" s="18">
        <f t="shared" si="12"/>
        <v>0</v>
      </c>
    </row>
    <row r="493" spans="1:7" ht="15.75" x14ac:dyDescent="0.25">
      <c r="A493" s="15" t="str">
        <f>'PEDIDO 7'!$B$2</f>
        <v>Pilar Do Sul-Fabricio Jose Di Rado</v>
      </c>
      <c r="B493" s="12" t="s">
        <v>404</v>
      </c>
      <c r="C493" s="1">
        <f>IFERROR(VLOOKUP(23,'PEDIDO 7'!$C$2:$E$230,3,0),0)</f>
        <v>6</v>
      </c>
      <c r="D493" s="1">
        <f>IFERROR(VLOOKUP(24,'PEDIDO 7'!$C$2:$E$230,3,0),0)</f>
        <v>0</v>
      </c>
      <c r="E493" s="1">
        <f>IFERROR(VLOOKUP(25,'PEDIDO 7'!$C$2:$E$230,3,0),0)</f>
        <v>0</v>
      </c>
      <c r="F493" s="1">
        <f>IFERROR(VLOOKUP(291,'PEDIDO 7'!$C$2:$E$230,3,0),0)</f>
        <v>0</v>
      </c>
      <c r="G493" s="18">
        <f t="shared" si="12"/>
        <v>6</v>
      </c>
    </row>
    <row r="494" spans="1:7" ht="15.75" x14ac:dyDescent="0.25">
      <c r="A494" s="15" t="str">
        <f>'PEDIDO 7'!$B$2</f>
        <v>Pilar Do Sul-Fabricio Jose Di Rado</v>
      </c>
      <c r="B494" s="12" t="s">
        <v>405</v>
      </c>
      <c r="C494" s="1">
        <f>IFERROR(VLOOKUP(27,'PEDIDO 7'!$C$2:$E$230,3,0),0)</f>
        <v>0</v>
      </c>
      <c r="D494" s="1">
        <f>IFERROR(VLOOKUP(28,'PEDIDO 7'!$C$2:$E$230,3,0),0)</f>
        <v>0</v>
      </c>
      <c r="E494" s="1">
        <f>IFERROR(VLOOKUP(29,'PEDIDO 7'!$C$2:$E$230,3,0),0)</f>
        <v>0</v>
      </c>
      <c r="F494" s="1">
        <f>IFERROR(VLOOKUP(292,'PEDIDO 7'!$C$2:$E$230,3,0),0)</f>
        <v>0</v>
      </c>
      <c r="G494" s="18">
        <f t="shared" si="12"/>
        <v>0</v>
      </c>
    </row>
    <row r="495" spans="1:7" ht="15.75" x14ac:dyDescent="0.25">
      <c r="A495" s="15" t="str">
        <f>'PEDIDO 7'!$B$2</f>
        <v>Pilar Do Sul-Fabricio Jose Di Rado</v>
      </c>
      <c r="B495" s="12" t="s">
        <v>406</v>
      </c>
      <c r="C495" s="1">
        <f>IFERROR(VLOOKUP(227,'PEDIDO 7'!$C$2:$E$230,3,0),0)</f>
        <v>0</v>
      </c>
      <c r="D495" s="1">
        <f>IFERROR(VLOOKUP(228,'PEDIDO 7'!$C$2:$E$230,3,0),0)</f>
        <v>0</v>
      </c>
      <c r="E495" s="1">
        <f>IFERROR(VLOOKUP(229,'PEDIDO 7'!$C$2:$E$230,3,0),0)</f>
        <v>0</v>
      </c>
      <c r="F495" s="1">
        <f>IFERROR(VLOOKUP(230,'PEDIDO 7'!$C$2:$E$230,3,0),0)</f>
        <v>0</v>
      </c>
      <c r="G495" s="18">
        <f t="shared" si="12"/>
        <v>0</v>
      </c>
    </row>
    <row r="496" spans="1:7" ht="15.75" x14ac:dyDescent="0.25">
      <c r="A496" s="15" t="str">
        <f>'PEDIDO 7'!$B$2</f>
        <v>Pilar Do Sul-Fabricio Jose Di Rado</v>
      </c>
      <c r="B496" s="12" t="s">
        <v>407</v>
      </c>
      <c r="C496" s="1">
        <f>IFERROR(VLOOKUP(231,'PEDIDO 7'!$C$2:$E$230,3,0),0)</f>
        <v>0</v>
      </c>
      <c r="D496" s="1">
        <f>IFERROR(VLOOKUP(232,'PEDIDO 7'!$C$2:$E$230,3,0),0)</f>
        <v>0</v>
      </c>
      <c r="E496" s="1">
        <f>IFERROR(VLOOKUP(234,'PEDIDO 7'!$C$2:$E$230,3,0),0)</f>
        <v>0</v>
      </c>
      <c r="F496" s="1">
        <f>IFERROR(VLOOKUP(233,'PEDIDO 7'!$C$2:$E$230,3,0),0)</f>
        <v>0</v>
      </c>
      <c r="G496" s="18">
        <f t="shared" si="12"/>
        <v>0</v>
      </c>
    </row>
    <row r="497" spans="1:7" ht="15.75" x14ac:dyDescent="0.25">
      <c r="A497" s="15" t="str">
        <f>'PEDIDO 7'!$B$2</f>
        <v>Pilar Do Sul-Fabricio Jose Di Rado</v>
      </c>
      <c r="B497" s="12" t="s">
        <v>408</v>
      </c>
      <c r="C497" s="1">
        <f>IFERROR(VLOOKUP(237,'PEDIDO 7'!$C$2:$E$230,3,0),0)</f>
        <v>0</v>
      </c>
      <c r="D497" s="1">
        <f>IFERROR(VLOOKUP(238,'PEDIDO 7'!$C$2:$E$230,3,0),0)</f>
        <v>0</v>
      </c>
      <c r="E497" s="1">
        <f>IFERROR(VLOOKUP(240,'PEDIDO 7'!$C$2:$E$230,3,0),0)</f>
        <v>0</v>
      </c>
      <c r="F497" s="1">
        <f>IFERROR(VLOOKUP(239,'PEDIDO 7'!$C$2:$E$230,3,0),0)</f>
        <v>0</v>
      </c>
      <c r="G497" s="18">
        <f t="shared" si="12"/>
        <v>0</v>
      </c>
    </row>
    <row r="498" spans="1:7" ht="15.75" x14ac:dyDescent="0.25">
      <c r="A498" s="15" t="str">
        <f>'PEDIDO 7'!$B$2</f>
        <v>Pilar Do Sul-Fabricio Jose Di Rado</v>
      </c>
      <c r="B498" s="12" t="s">
        <v>409</v>
      </c>
      <c r="C498" s="1">
        <f>IFERROR(VLOOKUP(25707,'PEDIDO 7'!$C$2:$E$230,3,0),0)</f>
        <v>0</v>
      </c>
      <c r="D498" s="1">
        <f>IFERROR(VLOOKUP(25708,'PEDIDO 7'!$C$2:$E$230,3,0),0)</f>
        <v>0</v>
      </c>
      <c r="E498" s="1">
        <f>IFERROR(VLOOKUP(25710,'PEDIDO 7'!$C$2:$E$230,3,0),0)</f>
        <v>0</v>
      </c>
      <c r="F498" s="1">
        <f>IFERROR(VLOOKUP(25709,'PEDIDO 7'!$C$2:$E$230,3,0),0)</f>
        <v>0</v>
      </c>
      <c r="G498" s="18">
        <f t="shared" si="12"/>
        <v>0</v>
      </c>
    </row>
    <row r="499" spans="1:7" ht="15.75" x14ac:dyDescent="0.25">
      <c r="A499" s="15" t="str">
        <f>'PEDIDO 7'!$B$2</f>
        <v>Pilar Do Sul-Fabricio Jose Di Rado</v>
      </c>
      <c r="B499" s="12" t="s">
        <v>410</v>
      </c>
      <c r="C499" s="1">
        <f>IFERROR(VLOOKUP(25711,'PEDIDO 7'!$C$2:$E$230,3,0),0)</f>
        <v>0</v>
      </c>
      <c r="D499" s="1"/>
      <c r="E499" s="1"/>
      <c r="F499" s="1"/>
      <c r="G499" s="18">
        <f t="shared" si="12"/>
        <v>0</v>
      </c>
    </row>
    <row r="500" spans="1:7" ht="15.75" x14ac:dyDescent="0.25">
      <c r="A500" s="15" t="str">
        <f>'PEDIDO 7'!$B$2</f>
        <v>Pilar Do Sul-Fabricio Jose Di Rado</v>
      </c>
      <c r="B500" s="12" t="s">
        <v>411</v>
      </c>
      <c r="C500" s="1">
        <f>IFERROR(VLOOKUP(35,'PEDIDO 7'!$C$2:$E$230,3,0),0)</f>
        <v>0</v>
      </c>
      <c r="D500" s="1">
        <f>IFERROR(VLOOKUP(36,'PEDIDO 7'!$C$2:$E$230,3,0),0)</f>
        <v>0</v>
      </c>
      <c r="E500" s="1">
        <f>IFERROR(VLOOKUP(37,'PEDIDO 7'!$C$2:$E$230,3,0),0)</f>
        <v>0</v>
      </c>
      <c r="F500" s="1">
        <f>IFERROR(VLOOKUP(294,'PEDIDO 7'!$C$2:$E$230,3,0),0)</f>
        <v>1</v>
      </c>
      <c r="G500" s="18">
        <f t="shared" si="12"/>
        <v>1</v>
      </c>
    </row>
    <row r="501" spans="1:7" ht="15.75" x14ac:dyDescent="0.25">
      <c r="A501" s="15" t="str">
        <f>'PEDIDO 7'!$B$2</f>
        <v>Pilar Do Sul-Fabricio Jose Di Rado</v>
      </c>
      <c r="B501" s="12" t="s">
        <v>412</v>
      </c>
      <c r="C501" s="1">
        <f>IFERROR(VLOOKUP(39,'PEDIDO 7'!$C$2:$E$230,3,0),0)</f>
        <v>3</v>
      </c>
      <c r="D501" s="1">
        <f>IFERROR(VLOOKUP(40,'PEDIDO 7'!$C$2:$E$230,3,0),0)</f>
        <v>0</v>
      </c>
      <c r="E501" s="1">
        <f>IFERROR(VLOOKUP(42,'PEDIDO 7'!$C$2:$E$230,3,0),0)</f>
        <v>0</v>
      </c>
      <c r="F501" s="1">
        <f>IFERROR(VLOOKUP(295,'PEDIDO 7'!$C$2:$E$230,3,0),0)</f>
        <v>1</v>
      </c>
      <c r="G501" s="18">
        <f t="shared" si="12"/>
        <v>4</v>
      </c>
    </row>
    <row r="502" spans="1:7" ht="15.75" x14ac:dyDescent="0.25">
      <c r="A502" s="15" t="str">
        <f>'PEDIDO 7'!$B$2</f>
        <v>Pilar Do Sul-Fabricio Jose Di Rado</v>
      </c>
      <c r="B502" s="12" t="s">
        <v>413</v>
      </c>
      <c r="C502" s="1">
        <f>IFERROR(VLOOKUP(44,'PEDIDO 7'!$C$2:$E$230,3,0),0)</f>
        <v>0</v>
      </c>
      <c r="D502" s="1">
        <f>IFERROR(VLOOKUP(45,'PEDIDO 7'!$C$2:$E$230,3,0),0)</f>
        <v>0</v>
      </c>
      <c r="E502" s="1">
        <f>IFERROR(VLOOKUP(46,'PEDIDO 7'!$C$2:$E$230,3,0),0)</f>
        <v>0</v>
      </c>
      <c r="F502" s="1">
        <f>IFERROR(VLOOKUP(283,'PEDIDO 7'!$C$2:$E$230,3,0),0)</f>
        <v>0</v>
      </c>
      <c r="G502" s="18">
        <f t="shared" si="12"/>
        <v>0</v>
      </c>
    </row>
    <row r="503" spans="1:7" ht="15.75" x14ac:dyDescent="0.25">
      <c r="A503" s="15" t="str">
        <f>'PEDIDO 7'!$B$2</f>
        <v>Pilar Do Sul-Fabricio Jose Di Rado</v>
      </c>
      <c r="B503" s="12" t="s">
        <v>414</v>
      </c>
      <c r="C503" s="1">
        <f>IFERROR(VLOOKUP(48,'PEDIDO 7'!$C$2:$E$230,3,0),0)</f>
        <v>0</v>
      </c>
      <c r="D503" s="1">
        <f>IFERROR(VLOOKUP(49,'PEDIDO 7'!$C$2:$E$230,3,0),0)</f>
        <v>0</v>
      </c>
      <c r="E503" s="1">
        <f>IFERROR(VLOOKUP(50,'PEDIDO 7'!$C$2:$E$230,3,0),0)</f>
        <v>0</v>
      </c>
      <c r="F503" s="1">
        <f>IFERROR(VLOOKUP(298,'PEDIDO 7'!$C$2:$E$230,3,0),0)</f>
        <v>0</v>
      </c>
      <c r="G503" s="18">
        <f t="shared" si="12"/>
        <v>0</v>
      </c>
    </row>
    <row r="504" spans="1:7" ht="15.75" x14ac:dyDescent="0.25">
      <c r="A504" s="15" t="str">
        <f>'PEDIDO 7'!$B$2</f>
        <v>Pilar Do Sul-Fabricio Jose Di Rado</v>
      </c>
      <c r="B504" s="12" t="s">
        <v>415</v>
      </c>
      <c r="C504" s="1">
        <f>IFERROR(VLOOKUP(52,'PEDIDO 7'!$C$2:$E$230,3,0),0)</f>
        <v>0</v>
      </c>
      <c r="D504" s="1">
        <f>IFERROR(VLOOKUP(53,'PEDIDO 7'!$C$2:$E$230,3,0),0)</f>
        <v>0</v>
      </c>
      <c r="E504" s="1">
        <f>IFERROR(VLOOKUP(54,'PEDIDO 7'!$C$2:$E$230,3,0),0)</f>
        <v>0</v>
      </c>
      <c r="F504" s="1">
        <f>IFERROR(VLOOKUP(299,'PEDIDO 7'!$C$2:$E$230,3,0),0)</f>
        <v>0</v>
      </c>
      <c r="G504" s="18">
        <f t="shared" si="12"/>
        <v>0</v>
      </c>
    </row>
    <row r="505" spans="1:7" ht="15.75" x14ac:dyDescent="0.25">
      <c r="A505" s="15" t="str">
        <f>'PEDIDO 7'!$B$2</f>
        <v>Pilar Do Sul-Fabricio Jose Di Rado</v>
      </c>
      <c r="B505" s="12" t="s">
        <v>416</v>
      </c>
      <c r="C505" s="1">
        <f>IFERROR(VLOOKUP(56,'PEDIDO 7'!$C$2:$E$230,3,0),0)</f>
        <v>1</v>
      </c>
      <c r="D505" s="1">
        <f>IFERROR(VLOOKUP(61,'PEDIDO 7'!$C$2:$E$230,3,0),0)</f>
        <v>0</v>
      </c>
      <c r="E505" s="1">
        <f>IFERROR(VLOOKUP(58,'PEDIDO 7'!$C$2:$E$230,3,0),0)</f>
        <v>0</v>
      </c>
      <c r="F505" s="1">
        <f>IFERROR(VLOOKUP(300,'PEDIDO 7'!$C$2:$E$230,3,0),0)</f>
        <v>0</v>
      </c>
      <c r="G505" s="18">
        <f t="shared" si="12"/>
        <v>1</v>
      </c>
    </row>
    <row r="506" spans="1:7" ht="15.75" x14ac:dyDescent="0.25">
      <c r="A506" s="15" t="str">
        <f>'PEDIDO 7'!$B$2</f>
        <v>Pilar Do Sul-Fabricio Jose Di Rado</v>
      </c>
      <c r="B506" s="12" t="s">
        <v>417</v>
      </c>
      <c r="C506" s="1">
        <f>IFERROR(VLOOKUP(60,'PEDIDO 7'!$C$2:$E$230,3,0),0)</f>
        <v>0</v>
      </c>
      <c r="D506" s="1">
        <f>IFERROR(VLOOKUP(120,'PEDIDO 7'!$C$2:$E$230,3,0),0)</f>
        <v>0</v>
      </c>
      <c r="E506" s="1">
        <f>IFERROR(VLOOKUP(62,'PEDIDO 7'!$C$2:$E$230,3,0),0)</f>
        <v>0</v>
      </c>
      <c r="F506" s="1">
        <f>IFERROR(VLOOKUP(301,'PEDIDO 7'!$C$2:$E$230,3,0),0)</f>
        <v>0</v>
      </c>
      <c r="G506" s="18">
        <f t="shared" si="12"/>
        <v>0</v>
      </c>
    </row>
    <row r="507" spans="1:7" ht="15.75" x14ac:dyDescent="0.25">
      <c r="A507" s="15" t="str">
        <f>'PEDIDO 7'!$B$2</f>
        <v>Pilar Do Sul-Fabricio Jose Di Rado</v>
      </c>
      <c r="B507" s="12" t="s">
        <v>426</v>
      </c>
      <c r="C507" s="1">
        <f>IFERROR(VLOOKUP(112,'PEDIDO 7'!$C$2:$E$230,3,0),0)</f>
        <v>0</v>
      </c>
      <c r="D507" s="1">
        <f>IFERROR(VLOOKUP(113,'PEDIDO 7'!$C$2:$E$230,3,0),0)</f>
        <v>0</v>
      </c>
      <c r="E507" s="1">
        <f>IFERROR(VLOOKUP(114,'PEDIDO 7'!$C$2:$E$230,3,0),0)</f>
        <v>0</v>
      </c>
      <c r="F507" s="1">
        <f>IFERROR(VLOOKUP(296,'PEDIDO 7'!$C$2:$E$230,3,0),0)</f>
        <v>0</v>
      </c>
      <c r="G507" s="18">
        <f t="shared" si="12"/>
        <v>0</v>
      </c>
    </row>
    <row r="508" spans="1:7" ht="15.75" x14ac:dyDescent="0.25">
      <c r="A508" s="15" t="str">
        <f>'PEDIDO 7'!$B$2</f>
        <v>Pilar Do Sul-Fabricio Jose Di Rado</v>
      </c>
      <c r="B508" s="12" t="s">
        <v>427</v>
      </c>
      <c r="C508" s="1">
        <f>IFERROR(VLOOKUP(116,'PEDIDO 7'!$C$2:$E$230,3,0),0)</f>
        <v>0</v>
      </c>
      <c r="D508" s="1">
        <f>IFERROR(VLOOKUP(117,'PEDIDO 7'!$C$2:$E$230,3,0),0)</f>
        <v>0</v>
      </c>
      <c r="E508" s="1">
        <f>IFERROR(VLOOKUP(118,'PEDIDO 7'!$C$2:$E$230,3,0),0)</f>
        <v>0</v>
      </c>
      <c r="F508" s="1">
        <f>IFERROR(VLOOKUP(293,'PEDIDO 7'!$C$2:$E$230,3,0),0)</f>
        <v>0</v>
      </c>
      <c r="G508" s="18">
        <f t="shared" si="12"/>
        <v>0</v>
      </c>
    </row>
    <row r="509" spans="1:7" ht="15.75" x14ac:dyDescent="0.25">
      <c r="A509" s="15" t="str">
        <f>'PEDIDO 7'!$B$2</f>
        <v>Pilar Do Sul-Fabricio Jose Di Rado</v>
      </c>
      <c r="B509" s="12" t="s">
        <v>418</v>
      </c>
      <c r="C509" s="1">
        <f>IFERROR(VLOOKUP(963,'PEDIDO 7'!$C$2:$E$230,3,0),0)</f>
        <v>0</v>
      </c>
      <c r="D509" s="1">
        <f>IFERROR(VLOOKUP(965,'PEDIDO 7'!$C$2:$E$230,3,0),0)</f>
        <v>0</v>
      </c>
      <c r="E509" s="1">
        <f>IFERROR(VLOOKUP(966,'PEDIDO 7'!$C$2:$E$230,3,0),0)</f>
        <v>0</v>
      </c>
      <c r="F509" s="1">
        <f>IFERROR(VLOOKUP(964,'PEDIDO 7'!$C$2:$E$230,3,0),0)</f>
        <v>0</v>
      </c>
      <c r="G509" s="18">
        <f t="shared" si="12"/>
        <v>0</v>
      </c>
    </row>
    <row r="510" spans="1:7" ht="15.75" x14ac:dyDescent="0.25">
      <c r="A510" s="15" t="str">
        <f>'PEDIDO 7'!$B$2</f>
        <v>Pilar Do Sul-Fabricio Jose Di Rado</v>
      </c>
      <c r="B510" s="12" t="s">
        <v>419</v>
      </c>
      <c r="C510" s="1">
        <f>IFERROR(VLOOKUP(2042,'PEDIDO 7'!$C$2:$E$230,3,0),0)</f>
        <v>0</v>
      </c>
      <c r="D510" s="1">
        <f>IFERROR(VLOOKUP(2041,'PEDIDO 7'!$C$2:$E$230,3,0),0)</f>
        <v>0</v>
      </c>
      <c r="E510" s="1">
        <f>IFERROR(VLOOKUP(2043,'PEDIDO 7'!$C$2:$E$230,3,0),0)</f>
        <v>0</v>
      </c>
      <c r="F510" s="1">
        <f>IFERROR(VLOOKUP(2040,'PEDIDO 7'!$C$2:$E$230,3,0),0)</f>
        <v>0</v>
      </c>
      <c r="G510" s="18">
        <f t="shared" si="12"/>
        <v>0</v>
      </c>
    </row>
    <row r="511" spans="1:7" ht="15.75" x14ac:dyDescent="0.25">
      <c r="A511" s="15" t="str">
        <f>'PEDIDO 7'!$B$2</f>
        <v>Pilar Do Sul-Fabricio Jose Di Rado</v>
      </c>
      <c r="B511" s="12" t="s">
        <v>420</v>
      </c>
      <c r="C511" s="1">
        <f>IFERROR(VLOOKUP(2045,'PEDIDO 7'!$C$2:$E$230,3,0),0)</f>
        <v>0</v>
      </c>
      <c r="D511" s="1">
        <f>IFERROR(VLOOKUP(2046,'PEDIDO 7'!$C$2:$E$230,3,0),0)</f>
        <v>0</v>
      </c>
      <c r="E511" s="1">
        <f>IFERROR(VLOOKUP(2047,'PEDIDO 7'!$C$2:$E$230,3,0),0)</f>
        <v>0</v>
      </c>
      <c r="F511" s="1">
        <f>IFERROR(VLOOKUP(2048,'PEDIDO 7'!$C$2:$E$230,3,0),0)</f>
        <v>0</v>
      </c>
      <c r="G511" s="18">
        <f t="shared" si="12"/>
        <v>0</v>
      </c>
    </row>
    <row r="512" spans="1:7" ht="15.75" x14ac:dyDescent="0.25">
      <c r="A512" s="15" t="str">
        <f>'PEDIDO 7'!$B$2</f>
        <v>Pilar Do Sul-Fabricio Jose Di Rado</v>
      </c>
      <c r="B512" s="12" t="s">
        <v>421</v>
      </c>
      <c r="C512" s="1">
        <f>IFERROR(VLOOKUP(2050,'PEDIDO 7'!$C$2:$E$230,3,0),0)</f>
        <v>0</v>
      </c>
      <c r="D512" s="1">
        <f>IFERROR(VLOOKUP(2051,'PEDIDO 7'!$C$2:$E$230,3,0),0)</f>
        <v>0</v>
      </c>
      <c r="E512" s="1">
        <f>IFERROR(VLOOKUP(2052,'PEDIDO 7'!$C$2:$E$230,3,0),0)</f>
        <v>0</v>
      </c>
      <c r="F512" s="1">
        <f>IFERROR(VLOOKUP(2053,'PEDIDO 7'!$C$2:$E$230,3,0),0)</f>
        <v>0</v>
      </c>
      <c r="G512" s="18">
        <f t="shared" si="12"/>
        <v>0</v>
      </c>
    </row>
    <row r="513" spans="1:7" ht="15.75" x14ac:dyDescent="0.25">
      <c r="A513" s="15" t="str">
        <f>'PEDIDO 7'!$B$2</f>
        <v>Pilar Do Sul-Fabricio Jose Di Rado</v>
      </c>
      <c r="B513" s="12" t="s">
        <v>422</v>
      </c>
      <c r="C513" s="1">
        <f>IFERROR(VLOOKUP(216,'PEDIDO 7'!$C$2:$E$230,3,0),0)</f>
        <v>0</v>
      </c>
      <c r="D513" s="1">
        <f>IFERROR(VLOOKUP(217,'PEDIDO 7'!$C$2:$E$230,3,0),0)</f>
        <v>0</v>
      </c>
      <c r="E513" s="1">
        <f>IFERROR(VLOOKUP(218,'PEDIDO 7'!$C$2:$E$230,3,0),0)</f>
        <v>0</v>
      </c>
      <c r="F513" s="1">
        <f>IFERROR(VLOOKUP(305,'PEDIDO 7'!$C$2:$E$230,3,0),0)</f>
        <v>0</v>
      </c>
      <c r="G513" s="18">
        <f t="shared" si="12"/>
        <v>0</v>
      </c>
    </row>
    <row r="514" spans="1:7" ht="15.75" x14ac:dyDescent="0.25">
      <c r="A514" s="15" t="str">
        <f>'PEDIDO 7'!$B$2</f>
        <v>Pilar Do Sul-Fabricio Jose Di Rado</v>
      </c>
      <c r="B514" s="12" t="s">
        <v>423</v>
      </c>
      <c r="C514" s="1">
        <f>IFERROR(VLOOKUP(100,'PEDIDO 7'!$C$2:$E$230,3,0),0)</f>
        <v>0</v>
      </c>
      <c r="D514" s="1">
        <f>IFERROR(VLOOKUP(101,'PEDIDO 7'!$C$2:$E$230,3,0),0)</f>
        <v>0</v>
      </c>
      <c r="E514" s="1">
        <f>IFERROR(VLOOKUP(102,'PEDIDO 7'!$C$2:$E$230,3,0),0)</f>
        <v>0</v>
      </c>
      <c r="F514" s="1">
        <f>IFERROR(VLOOKUP(306,'PEDIDO 7'!$C$2:$E$230,3,0),0)</f>
        <v>0</v>
      </c>
      <c r="G514" s="18">
        <f t="shared" si="12"/>
        <v>0</v>
      </c>
    </row>
    <row r="515" spans="1:7" ht="15.75" x14ac:dyDescent="0.25">
      <c r="A515" s="15" t="str">
        <f>'PEDIDO 7'!$B$2</f>
        <v>Pilar Do Sul-Fabricio Jose Di Rado</v>
      </c>
      <c r="B515" s="12" t="s">
        <v>424</v>
      </c>
      <c r="C515" s="1">
        <f>IFERROR(VLOOKUP(104,'PEDIDO 7'!$C$2:$E$230,3,0),0)</f>
        <v>0</v>
      </c>
      <c r="D515" s="1">
        <f>IFERROR(VLOOKUP(105,'PEDIDO 7'!$C$2:$E$230,3,0),0)</f>
        <v>0</v>
      </c>
      <c r="E515" s="1">
        <f>IFERROR(VLOOKUP(106,'PEDIDO 7'!$C$2:$E$230,3,0),0)</f>
        <v>0</v>
      </c>
      <c r="F515" s="1">
        <f>IFERROR(VLOOKUP(307,'PEDIDO 7'!$C$2:$E$230,3,0),0)</f>
        <v>0</v>
      </c>
      <c r="G515" s="18">
        <f t="shared" si="12"/>
        <v>0</v>
      </c>
    </row>
    <row r="516" spans="1:7" ht="15.75" x14ac:dyDescent="0.25">
      <c r="A516" s="15" t="str">
        <f>'PEDIDO 7'!$B$2</f>
        <v>Pilar Do Sul-Fabricio Jose Di Rado</v>
      </c>
      <c r="B516" s="12" t="s">
        <v>425</v>
      </c>
      <c r="C516" s="1">
        <f>IFERROR(VLOOKUP(400,'PEDIDO 7'!$C$2:$E$230,3,0),0)</f>
        <v>0</v>
      </c>
      <c r="D516" s="1">
        <f>IFERROR(VLOOKUP(401,'PEDIDO 7'!$C$2:$E$230,3,0),0)</f>
        <v>0</v>
      </c>
      <c r="E516" s="1">
        <f>IFERROR(VLOOKUP(402,'PEDIDO 7'!$C$2:$E$230,3,0),0)</f>
        <v>0</v>
      </c>
      <c r="F516" s="1">
        <f>IFERROR(VLOOKUP(403,'PEDIDO 7'!$C$2:$E$230,3,0),0)</f>
        <v>0</v>
      </c>
      <c r="G516" s="18">
        <f t="shared" si="12"/>
        <v>0</v>
      </c>
    </row>
    <row r="517" spans="1:7" ht="15.75" x14ac:dyDescent="0.25">
      <c r="A517" s="15" t="str">
        <f>'PEDIDO 7'!$B$2</f>
        <v>Pilar Do Sul-Fabricio Jose Di Rado</v>
      </c>
      <c r="B517" s="12" t="s">
        <v>428</v>
      </c>
      <c r="C517" s="1">
        <f>IFERROR(VLOOKUP(22,'PEDIDO 7'!$C$2:$E$230,3,0),0)</f>
        <v>0</v>
      </c>
      <c r="D517" s="1"/>
      <c r="E517" s="1"/>
      <c r="F517" s="1"/>
      <c r="G517" s="18">
        <f t="shared" si="12"/>
        <v>0</v>
      </c>
    </row>
    <row r="518" spans="1:7" ht="15.75" x14ac:dyDescent="0.25">
      <c r="A518" s="15" t="str">
        <f>'PEDIDO 7'!$B$2</f>
        <v>Pilar Do Sul-Fabricio Jose Di Rado</v>
      </c>
      <c r="B518" s="12" t="s">
        <v>429</v>
      </c>
      <c r="C518" s="1">
        <f>IFERROR(VLOOKUP(21,'PEDIDO 7'!$C$2:$E$230,3,0),0)</f>
        <v>0</v>
      </c>
      <c r="D518" s="1"/>
      <c r="E518" s="1"/>
      <c r="F518" s="1"/>
      <c r="G518" s="18">
        <f t="shared" si="12"/>
        <v>0</v>
      </c>
    </row>
    <row r="519" spans="1:7" ht="15.75" x14ac:dyDescent="0.25">
      <c r="A519" s="15" t="str">
        <f>'PEDIDO 7'!$B$2</f>
        <v>Pilar Do Sul-Fabricio Jose Di Rado</v>
      </c>
      <c r="B519" s="12" t="s">
        <v>430</v>
      </c>
      <c r="C519" s="1">
        <f>IFERROR(VLOOKUP(1125,'PEDIDO 7'!$C$2:$E$230,3,0),0)</f>
        <v>0</v>
      </c>
      <c r="D519" s="1">
        <f>IFERROR(VLOOKUP(1126,'PEDIDO 7'!$C$2:$E$230,3,0),0)</f>
        <v>0</v>
      </c>
      <c r="E519" s="1">
        <f>IFERROR(VLOOKUP(1127,'PEDIDO 7'!$C$2:$E$230,3,0),0)</f>
        <v>0</v>
      </c>
      <c r="F519" s="1">
        <f>IFERROR(VLOOKUP(1128,'PEDIDO 7'!$C$2:$E$230,3,0),0)</f>
        <v>0</v>
      </c>
      <c r="G519" s="18">
        <f t="shared" si="12"/>
        <v>0</v>
      </c>
    </row>
    <row r="520" spans="1:7" ht="15.75" x14ac:dyDescent="0.25">
      <c r="A520" s="15" t="str">
        <f>'PEDIDO 7'!$B$2</f>
        <v>Pilar Do Sul-Fabricio Jose Di Rado</v>
      </c>
      <c r="B520" s="12" t="s">
        <v>431</v>
      </c>
      <c r="C520" s="1">
        <f>IFERROR(VLOOKUP(1133,'PEDIDO 7'!$C$2:$E$230,3,0),0)</f>
        <v>0</v>
      </c>
      <c r="D520" s="1">
        <f>IFERROR(VLOOKUP(1134,'PEDIDO 7'!$C$2:$E$230,3,0),0)</f>
        <v>0</v>
      </c>
      <c r="E520" s="1">
        <f>IFERROR(VLOOKUP(1135,'PEDIDO 7'!$C$2:$E$230,3,0),0)</f>
        <v>0</v>
      </c>
      <c r="F520" s="1">
        <f>IFERROR(VLOOKUP(1136,'PEDIDO 7'!$C$2:$E$230,3,0),0)</f>
        <v>0</v>
      </c>
      <c r="G520" s="18">
        <f t="shared" si="12"/>
        <v>0</v>
      </c>
    </row>
    <row r="521" spans="1:7" ht="15.75" x14ac:dyDescent="0.25">
      <c r="A521" s="15" t="str">
        <f>'PEDIDO 7'!$B$2</f>
        <v>Pilar Do Sul-Fabricio Jose Di Rado</v>
      </c>
      <c r="B521" s="12" t="s">
        <v>432</v>
      </c>
      <c r="C521" s="1">
        <f>IFERROR(VLOOKUP(1105,'PEDIDO 7'!$C$2:$E$230,3,0),0)</f>
        <v>0</v>
      </c>
      <c r="D521" s="1">
        <f>IFERROR(VLOOKUP(1106,'PEDIDO 7'!$C$2:$E$230,3,0),0)</f>
        <v>0</v>
      </c>
      <c r="E521" s="1">
        <f>IFERROR(VLOOKUP(1107,'PEDIDO 7'!$C$2:$E$230,3,0),0)</f>
        <v>0</v>
      </c>
      <c r="F521" s="1">
        <f>IFERROR(VLOOKUP(1108,'PEDIDO 7'!$C$2:$E$230,3,0),0)</f>
        <v>0</v>
      </c>
      <c r="G521" s="18">
        <f t="shared" si="12"/>
        <v>0</v>
      </c>
    </row>
    <row r="522" spans="1:7" ht="15.75" x14ac:dyDescent="0.25">
      <c r="A522" s="15" t="str">
        <f>'PEDIDO 7'!$B$2</f>
        <v>Pilar Do Sul-Fabricio Jose Di Rado</v>
      </c>
      <c r="B522" s="12" t="s">
        <v>433</v>
      </c>
      <c r="C522" s="1">
        <f>IFERROR(VLOOKUP(1109,'PEDIDO 7'!$C$2:$E$230,3,0),0)</f>
        <v>0</v>
      </c>
      <c r="D522" s="1">
        <f>IFERROR(VLOOKUP(1110,'PEDIDO 7'!$C$2:$E$230,3,0),0)</f>
        <v>0</v>
      </c>
      <c r="E522" s="1">
        <f>IFERROR(VLOOKUP(1111,'PEDIDO 7'!$C$2:$E$230,3,0),0)</f>
        <v>0</v>
      </c>
      <c r="F522" s="1">
        <f>IFERROR(VLOOKUP(1112,'PEDIDO 7'!$C$2:$E$230,3,0),0)</f>
        <v>0</v>
      </c>
      <c r="G522" s="18">
        <f t="shared" si="12"/>
        <v>0</v>
      </c>
    </row>
    <row r="523" spans="1:7" ht="15.75" x14ac:dyDescent="0.25">
      <c r="A523" s="15" t="str">
        <f>'PEDIDO 7'!$B$2</f>
        <v>Pilar Do Sul-Fabricio Jose Di Rado</v>
      </c>
      <c r="B523" s="12" t="s">
        <v>434</v>
      </c>
      <c r="C523" s="1">
        <f>IFERROR(VLOOKUP(1113,'PEDIDO 7'!$C$2:$E$230,3,0),0)</f>
        <v>0</v>
      </c>
      <c r="D523" s="1">
        <f>IFERROR(VLOOKUP(1114,'PEDIDO 7'!$C$2:$E$230,3,0),0)</f>
        <v>0</v>
      </c>
      <c r="E523" s="1">
        <f>IFERROR(VLOOKUP(1115,'PEDIDO 7'!$C$2:$E$230,3,0),0)</f>
        <v>0</v>
      </c>
      <c r="F523" s="1">
        <f>IFERROR(VLOOKUP(1116,'PEDIDO 7'!$C$2:$E$230,3,0),0)</f>
        <v>0</v>
      </c>
      <c r="G523" s="18">
        <f t="shared" si="12"/>
        <v>0</v>
      </c>
    </row>
    <row r="524" spans="1:7" ht="15.75" x14ac:dyDescent="0.25">
      <c r="A524" s="15" t="str">
        <f>'PEDIDO 7'!$B$2</f>
        <v>Pilar Do Sul-Fabricio Jose Di Rado</v>
      </c>
      <c r="B524" s="12" t="s">
        <v>435</v>
      </c>
      <c r="C524" s="1">
        <f>IFERROR(VLOOKUP(1117,'PEDIDO 7'!$C$2:$E$230,3,0),0)</f>
        <v>0</v>
      </c>
      <c r="D524" s="1">
        <f>IFERROR(VLOOKUP(1118,'PEDIDO 7'!$C$2:$E$230,3,0),0)</f>
        <v>0</v>
      </c>
      <c r="E524" s="1">
        <f>IFERROR(VLOOKUP(1119,'PEDIDO 7'!$C$2:$E$230,3,0),0)</f>
        <v>0</v>
      </c>
      <c r="F524" s="1">
        <f>IFERROR(VLOOKUP(1120,'PEDIDO 7'!$C$2:$E$230,3,0),0)</f>
        <v>0</v>
      </c>
      <c r="G524" s="18">
        <f t="shared" si="12"/>
        <v>0</v>
      </c>
    </row>
    <row r="525" spans="1:7" ht="15.75" x14ac:dyDescent="0.25">
      <c r="A525" s="15" t="str">
        <f>'PEDIDO 7'!$B$2</f>
        <v>Pilar Do Sul-Fabricio Jose Di Rado</v>
      </c>
      <c r="B525" s="12" t="s">
        <v>436</v>
      </c>
      <c r="C525" s="1">
        <f>IFERROR(VLOOKUP(1121,'PEDIDO 7'!$C$2:$E$230,3,0),0)</f>
        <v>0</v>
      </c>
      <c r="D525" s="1">
        <f>IFERROR(VLOOKUP(1122,'PEDIDO 7'!$C$2:$E$230,3,0),0)</f>
        <v>0</v>
      </c>
      <c r="E525" s="1">
        <f>IFERROR(VLOOKUP(1123,'PEDIDO 7'!$C$2:$E$230,3,0),0)</f>
        <v>0</v>
      </c>
      <c r="F525" s="1">
        <f>IFERROR(VLOOKUP(1124,'PEDIDO 7'!$C$2:$E$230,3,0),0)</f>
        <v>0</v>
      </c>
      <c r="G525" s="18">
        <f t="shared" si="12"/>
        <v>0</v>
      </c>
    </row>
    <row r="526" spans="1:7" ht="15.75" x14ac:dyDescent="0.25">
      <c r="A526" s="15" t="str">
        <f>'PEDIDO 7'!$B$2</f>
        <v>Pilar Do Sul-Fabricio Jose Di Rado</v>
      </c>
      <c r="B526" s="12" t="s">
        <v>437</v>
      </c>
      <c r="C526" s="1">
        <f>IFERROR(VLOOKUP(1129,'PEDIDO 7'!$C$2:$E$230,3,0),0)</f>
        <v>0</v>
      </c>
      <c r="D526" s="1">
        <f>IFERROR(VLOOKUP(1130,'PEDIDO 7'!$C$2:$E$230,3,0),0)</f>
        <v>0</v>
      </c>
      <c r="E526" s="1">
        <f>IFERROR(VLOOKUP(1131,'PEDIDO 7'!$C$2:$E$230,3,0),0)</f>
        <v>0</v>
      </c>
      <c r="F526" s="1">
        <f>IFERROR(VLOOKUP(1132,'PEDIDO 7'!$C$2:$E$230,3,0),0)</f>
        <v>0</v>
      </c>
      <c r="G526" s="18">
        <f t="shared" si="12"/>
        <v>0</v>
      </c>
    </row>
    <row r="527" spans="1:7" ht="15.75" x14ac:dyDescent="0.25">
      <c r="A527" s="15" t="str">
        <f>'PEDIDO 7'!$B$2</f>
        <v>Pilar Do Sul-Fabricio Jose Di Rado</v>
      </c>
      <c r="B527" s="12" t="s">
        <v>438</v>
      </c>
      <c r="C527" s="1">
        <f>IFERROR(VLOOKUP(1137,'PEDIDO 7'!$C$2:$E$230,3,0),0)</f>
        <v>0</v>
      </c>
      <c r="D527" s="1">
        <f>IFERROR(VLOOKUP(1138,'PEDIDO 7'!$C$2:$E$230,3,0),0)</f>
        <v>0</v>
      </c>
      <c r="E527" s="1">
        <f>IFERROR(VLOOKUP(1139,'PEDIDO 7'!$C$2:$E$230,3,0),0)</f>
        <v>0</v>
      </c>
      <c r="F527" s="1">
        <f>IFERROR(VLOOKUP(1140,'PEDIDO 7'!$C$2:$E$230,3,0),0)</f>
        <v>0</v>
      </c>
      <c r="G527" s="18">
        <f t="shared" si="12"/>
        <v>0</v>
      </c>
    </row>
    <row r="528" spans="1:7" ht="15.75" x14ac:dyDescent="0.25">
      <c r="A528" s="15" t="str">
        <f>'PEDIDO 7'!$B$2</f>
        <v>Pilar Do Sul-Fabricio Jose Di Rado</v>
      </c>
      <c r="B528" s="12" t="s">
        <v>439</v>
      </c>
      <c r="C528" s="1">
        <f>IFERROR(VLOOKUP(1141,'PEDIDO 7'!$C$2:$E$230,3,0),0)</f>
        <v>0</v>
      </c>
      <c r="D528" s="1">
        <f>IFERROR(VLOOKUP(1142,'PEDIDO 7'!$C$2:$E$230,3,0),0)</f>
        <v>0</v>
      </c>
      <c r="E528" s="1">
        <f>IFERROR(VLOOKUP(1143,'PEDIDO 7'!$C$2:$E$230,3,0),0)</f>
        <v>0</v>
      </c>
      <c r="F528" s="1">
        <f>IFERROR(VLOOKUP(1144,'PEDIDO 7'!$C$2:$E$230,3,0),0)</f>
        <v>0</v>
      </c>
      <c r="G528" s="18">
        <f t="shared" si="12"/>
        <v>0</v>
      </c>
    </row>
    <row r="529" spans="1:7" ht="15.75" x14ac:dyDescent="0.25">
      <c r="A529" s="15" t="str">
        <f>'PEDIDO 7'!$B$2</f>
        <v>Pilar Do Sul-Fabricio Jose Di Rado</v>
      </c>
      <c r="B529" s="12" t="s">
        <v>440</v>
      </c>
      <c r="C529" s="1">
        <f>IFERROR(VLOOKUP(1145,'PEDIDO 7'!$C$2:$E$230,3,0),0)</f>
        <v>0</v>
      </c>
      <c r="D529" s="1">
        <f>IFERROR(VLOOKUP(1146,'PEDIDO 7'!$C$2:$E$230,3,0),0)</f>
        <v>0</v>
      </c>
      <c r="E529" s="1">
        <f>IFERROR(VLOOKUP(1147,'PEDIDO 7'!$C$2:$E$230,3,0),0)</f>
        <v>0</v>
      </c>
      <c r="F529" s="1">
        <f>IFERROR(VLOOKUP(1148,'PEDIDO 7'!$C$2:$E$230,3,0),0)</f>
        <v>0</v>
      </c>
      <c r="G529" s="18">
        <f t="shared" si="12"/>
        <v>0</v>
      </c>
    </row>
    <row r="530" spans="1:7" ht="15.75" x14ac:dyDescent="0.25">
      <c r="A530" s="15" t="str">
        <f>'PEDIDO 7'!$B$2</f>
        <v>Pilar Do Sul-Fabricio Jose Di Rado</v>
      </c>
      <c r="B530" s="12" t="s">
        <v>441</v>
      </c>
      <c r="C530" s="1">
        <f>IFERROR(VLOOKUP(1149,'PEDIDO 7'!$C$2:$E$230,3,0),0)</f>
        <v>0</v>
      </c>
      <c r="D530" s="1">
        <f>IFERROR(VLOOKUP(1150,'PEDIDO 7'!$C$2:$E$230,3,0),0)</f>
        <v>0</v>
      </c>
      <c r="E530" s="1">
        <f>IFERROR(VLOOKUP(1151,'PEDIDO 7'!$C$2:$E$230,3,0),0)</f>
        <v>0</v>
      </c>
      <c r="F530" s="1">
        <f>IFERROR(VLOOKUP(1152,'PEDIDO 7'!$C$2:$E$230,3,0),0)</f>
        <v>0</v>
      </c>
      <c r="G530" s="18">
        <f t="shared" si="12"/>
        <v>0</v>
      </c>
    </row>
    <row r="531" spans="1:7" ht="15.75" x14ac:dyDescent="0.25">
      <c r="A531" s="15" t="str">
        <f>'PEDIDO 7'!$B$2</f>
        <v>Pilar Do Sul-Fabricio Jose Di Rado</v>
      </c>
      <c r="B531" s="12" t="s">
        <v>442</v>
      </c>
      <c r="C531" s="1">
        <f>IFERROR(VLOOKUP(1153,'PEDIDO 7'!$C$2:$E$230,3,0),0)</f>
        <v>0</v>
      </c>
      <c r="D531" s="1">
        <f>IFERROR(VLOOKUP(1154,'PEDIDO 7'!$C$2:$E$230,3,0),0)</f>
        <v>0</v>
      </c>
      <c r="E531" s="1">
        <f>IFERROR(VLOOKUP(1155,'PEDIDO 7'!$C$2:$E$230,3,0),0)</f>
        <v>0</v>
      </c>
      <c r="F531" s="1">
        <f>IFERROR(VLOOKUP(1156,'PEDIDO 7'!$C$2:$E$230,3,0),0)</f>
        <v>0</v>
      </c>
      <c r="G531" s="18">
        <f t="shared" si="12"/>
        <v>0</v>
      </c>
    </row>
    <row r="532" spans="1:7" ht="15.75" x14ac:dyDescent="0.25">
      <c r="A532" s="15" t="str">
        <f>'PEDIDO 7'!$B$2</f>
        <v>Pilar Do Sul-Fabricio Jose Di Rado</v>
      </c>
      <c r="B532" s="12" t="s">
        <v>443</v>
      </c>
      <c r="C532" s="1">
        <f>IFERROR(VLOOKUP(1157,'PEDIDO 7'!$C$2:$E$230,3,0),0)</f>
        <v>0</v>
      </c>
      <c r="D532" s="1">
        <f>IFERROR(VLOOKUP(1158,'PEDIDO 7'!$C$2:$E$230,3,0),0)</f>
        <v>0</v>
      </c>
      <c r="E532" s="1">
        <f>IFERROR(VLOOKUP(1159,'PEDIDO 7'!$C$2:$E$230,3,0),0)</f>
        <v>0</v>
      </c>
      <c r="F532" s="1">
        <f>IFERROR(VLOOKUP(1160,'PEDIDO 7'!$C$2:$E$230,3,0),0)</f>
        <v>0</v>
      </c>
      <c r="G532" s="18">
        <f t="shared" si="12"/>
        <v>0</v>
      </c>
    </row>
    <row r="533" spans="1:7" ht="15.75" x14ac:dyDescent="0.25">
      <c r="A533" s="15" t="str">
        <f>'PEDIDO 7'!$B$2</f>
        <v>Pilar Do Sul-Fabricio Jose Di Rado</v>
      </c>
      <c r="B533" s="12" t="s">
        <v>444</v>
      </c>
      <c r="C533" s="1">
        <f>IFERROR(VLOOKUP(1161,'PEDIDO 7'!$C$2:$E$230,3,0),0)</f>
        <v>0</v>
      </c>
      <c r="D533" s="1">
        <f>IFERROR(VLOOKUP(1162,'PEDIDO 7'!$C$2:$E$230,3,0),0)</f>
        <v>0</v>
      </c>
      <c r="E533" s="1">
        <f>IFERROR(VLOOKUP(1163,'PEDIDO 7'!$C$2:$E$230,3,0),0)</f>
        <v>0</v>
      </c>
      <c r="F533" s="1">
        <f>IFERROR(VLOOKUP(1164,'PEDIDO 7'!$C$2:$E$230,3,0),0)</f>
        <v>0</v>
      </c>
      <c r="G533" s="18">
        <f t="shared" si="12"/>
        <v>0</v>
      </c>
    </row>
    <row r="534" spans="1:7" ht="15.75" x14ac:dyDescent="0.25">
      <c r="A534" s="15" t="str">
        <f>'PEDIDO 7'!$B$2</f>
        <v>Pilar Do Sul-Fabricio Jose Di Rado</v>
      </c>
      <c r="B534" s="12" t="s">
        <v>445</v>
      </c>
      <c r="C534" s="1">
        <f>IFERROR(VLOOKUP(1165,'PEDIDO 7'!$C$2:$E$230,3,0),0)</f>
        <v>0</v>
      </c>
      <c r="D534" s="1">
        <f>IFERROR(VLOOKUP(1166,'PEDIDO 7'!$C$2:$E$230,3,0),0)</f>
        <v>0</v>
      </c>
      <c r="E534" s="1">
        <f>IFERROR(VLOOKUP(1167,'PEDIDO 7'!$C$2:$E$230,3,0),0)</f>
        <v>0</v>
      </c>
      <c r="F534" s="1">
        <f>IFERROR(VLOOKUP(1168,'PEDIDO 7'!$C$2:$E$230,3,0),0)</f>
        <v>0</v>
      </c>
      <c r="G534" s="18">
        <f t="shared" si="12"/>
        <v>0</v>
      </c>
    </row>
    <row r="535" spans="1:7" ht="15.75" x14ac:dyDescent="0.25">
      <c r="A535" s="15" t="str">
        <f>'PEDIDO 7'!$B$2</f>
        <v>Pilar Do Sul-Fabricio Jose Di Rado</v>
      </c>
      <c r="B535" s="12" t="s">
        <v>446</v>
      </c>
      <c r="C535" s="1">
        <f>IFERROR(VLOOKUP(1169,'PEDIDO 7'!$C$2:$E$230,3,0),0)</f>
        <v>0</v>
      </c>
      <c r="D535" s="1">
        <f>IFERROR(VLOOKUP(1170,'PEDIDO 7'!$C$2:$E$230,3,0),0)</f>
        <v>0</v>
      </c>
      <c r="E535" s="1">
        <f>IFERROR(VLOOKUP(1171,'PEDIDO 7'!$C$2:$E$230,3,0),0)</f>
        <v>0</v>
      </c>
      <c r="F535" s="1">
        <f>IFERROR(VLOOKUP(1172,'PEDIDO 7'!$C$2:$E$230,3,0),0)</f>
        <v>0</v>
      </c>
      <c r="G535" s="18">
        <f t="shared" si="12"/>
        <v>0</v>
      </c>
    </row>
    <row r="536" spans="1:7" ht="15.75" x14ac:dyDescent="0.25">
      <c r="A536" s="15" t="str">
        <f>'PEDIDO 7'!$B$2</f>
        <v>Pilar Do Sul-Fabricio Jose Di Rado</v>
      </c>
      <c r="B536" s="12" t="s">
        <v>447</v>
      </c>
      <c r="C536" s="1">
        <f>IFERROR(VLOOKUP(1173,'PEDIDO 7'!$C$2:$E$230,3,0),0)</f>
        <v>0</v>
      </c>
      <c r="D536" s="1">
        <f>IFERROR(VLOOKUP(1174,'PEDIDO 7'!$C$2:$E$230,3,0),0)</f>
        <v>0</v>
      </c>
      <c r="E536" s="1">
        <f>IFERROR(VLOOKUP(1175,'PEDIDO 7'!$C$2:$E$230,3,0),0)</f>
        <v>0</v>
      </c>
      <c r="F536" s="1">
        <f>IFERROR(VLOOKUP(1176,'PEDIDO 7'!$C$2:$E$230,3,0),0)</f>
        <v>0</v>
      </c>
      <c r="G536" s="18">
        <f t="shared" si="12"/>
        <v>0</v>
      </c>
    </row>
    <row r="537" spans="1:7" ht="15.75" x14ac:dyDescent="0.25">
      <c r="A537" s="15" t="str">
        <f>'PEDIDO 7'!$B$2</f>
        <v>Pilar Do Sul-Fabricio Jose Di Rado</v>
      </c>
      <c r="B537" s="12" t="s">
        <v>448</v>
      </c>
      <c r="C537" s="1">
        <f>IFERROR(VLOOKUP(1249,'PEDIDO 7'!$C$2:$E$230,3,0),0)</f>
        <v>0</v>
      </c>
      <c r="D537" s="1">
        <f>IFERROR(VLOOKUP(1250,'PEDIDO 7'!$C$2:$E$230,3,0),0)</f>
        <v>0</v>
      </c>
      <c r="E537" s="1">
        <f>IFERROR(VLOOKUP(1251,'PEDIDO 7'!$C$2:$E$230,3,0),0)</f>
        <v>0</v>
      </c>
      <c r="F537" s="1">
        <f>IFERROR(VLOOKUP(1252,'PEDIDO 7'!$C$2:$E$230,3,0),0)</f>
        <v>0</v>
      </c>
      <c r="G537" s="18">
        <f t="shared" si="12"/>
        <v>0</v>
      </c>
    </row>
    <row r="538" spans="1:7" ht="15.75" x14ac:dyDescent="0.25">
      <c r="A538" s="15" t="str">
        <f>'PEDIDO 7'!$B$2</f>
        <v>Pilar Do Sul-Fabricio Jose Di Rado</v>
      </c>
      <c r="B538" s="12" t="s">
        <v>449</v>
      </c>
      <c r="C538" s="1">
        <f>IFERROR(VLOOKUP(1177,'PEDIDO 7'!$C$2:$E$230,3,0),0)</f>
        <v>0</v>
      </c>
      <c r="D538" s="1">
        <f>IFERROR(VLOOKUP(1178,'PEDIDO 7'!$C$2:$E$230,3,0),0)</f>
        <v>0</v>
      </c>
      <c r="E538" s="1">
        <f>IFERROR(VLOOKUP(1179,'PEDIDO 7'!$C$2:$E$230,3,0),0)</f>
        <v>0</v>
      </c>
      <c r="F538" s="1">
        <f>IFERROR(VLOOKUP(1180,'PEDIDO 7'!$C$2:$E$230,3,0),0)</f>
        <v>0</v>
      </c>
      <c r="G538" s="18">
        <f t="shared" si="12"/>
        <v>0</v>
      </c>
    </row>
    <row r="539" spans="1:7" ht="15.75" x14ac:dyDescent="0.25">
      <c r="A539" s="15" t="str">
        <f>'PEDIDO 7'!$B$2</f>
        <v>Pilar Do Sul-Fabricio Jose Di Rado</v>
      </c>
      <c r="B539" s="12" t="s">
        <v>450</v>
      </c>
      <c r="C539" s="1">
        <f>IFERROR(VLOOKUP(1181,'PEDIDO 7'!$C$2:$E$230,3,0),0)</f>
        <v>0</v>
      </c>
      <c r="D539" s="1">
        <f>IFERROR(VLOOKUP(1182,'PEDIDO 7'!$C$2:$E$230,3,0),0)</f>
        <v>0</v>
      </c>
      <c r="E539" s="1">
        <f>IFERROR(VLOOKUP(1183,'PEDIDO 7'!$C$2:$E$230,3,0),0)</f>
        <v>0</v>
      </c>
      <c r="F539" s="1">
        <f>IFERROR(VLOOKUP(1184,'PEDIDO 7'!$C$2:$E$230,3,0),0)</f>
        <v>0</v>
      </c>
      <c r="G539" s="18">
        <f t="shared" si="12"/>
        <v>0</v>
      </c>
    </row>
    <row r="540" spans="1:7" ht="15.75" x14ac:dyDescent="0.25">
      <c r="A540" s="15" t="str">
        <f>'PEDIDO 7'!$B$2</f>
        <v>Pilar Do Sul-Fabricio Jose Di Rado</v>
      </c>
      <c r="B540" s="12" t="s">
        <v>451</v>
      </c>
      <c r="C540" s="1">
        <f>IFERROR(VLOOKUP(1185,'PEDIDO 7'!$C$2:$E$230,3,0),0)</f>
        <v>0</v>
      </c>
      <c r="D540" s="1">
        <f>IFERROR(VLOOKUP(1186,'PEDIDO 7'!$C$2:$E$230,3,0),0)</f>
        <v>0</v>
      </c>
      <c r="E540" s="1">
        <f>IFERROR(VLOOKUP(1187,'PEDIDO 7'!$C$2:$E$230,3,0),0)</f>
        <v>0</v>
      </c>
      <c r="F540" s="1">
        <f>IFERROR(VLOOKUP(1188,'PEDIDO 7'!$C$2:$E$230,3,0),0)</f>
        <v>0</v>
      </c>
      <c r="G540" s="18">
        <f t="shared" si="12"/>
        <v>0</v>
      </c>
    </row>
    <row r="541" spans="1:7" ht="15.75" x14ac:dyDescent="0.25">
      <c r="A541" s="15" t="str">
        <f>'PEDIDO 7'!$B$2</f>
        <v>Pilar Do Sul-Fabricio Jose Di Rado</v>
      </c>
      <c r="B541" s="12" t="s">
        <v>452</v>
      </c>
      <c r="C541" s="1">
        <f>IFERROR(VLOOKUP(1189,'PEDIDO 7'!$C$2:$E$230,3,0),0)</f>
        <v>0</v>
      </c>
      <c r="D541" s="1">
        <f>IFERROR(VLOOKUP(1190,'PEDIDO 7'!$C$2:$E$230,3,0),0)</f>
        <v>0</v>
      </c>
      <c r="E541" s="1">
        <f>IFERROR(VLOOKUP(1191,'PEDIDO 7'!$C$2:$E$230,3,0),0)</f>
        <v>0</v>
      </c>
      <c r="F541" s="1">
        <f>IFERROR(VLOOKUP(1192,'PEDIDO 7'!$C$2:$E$230,3,0),0)</f>
        <v>0</v>
      </c>
      <c r="G541" s="18">
        <f t="shared" si="12"/>
        <v>0</v>
      </c>
    </row>
    <row r="542" spans="1:7" ht="15.75" x14ac:dyDescent="0.25">
      <c r="A542" s="15" t="str">
        <f>'PEDIDO 7'!$B$2</f>
        <v>Pilar Do Sul-Fabricio Jose Di Rado</v>
      </c>
      <c r="B542" s="12" t="s">
        <v>453</v>
      </c>
      <c r="C542" s="1">
        <f>IFERROR(VLOOKUP(1193,'PEDIDO 7'!$C$2:$E$230,3,0),0)</f>
        <v>0</v>
      </c>
      <c r="D542" s="1">
        <f>IFERROR(VLOOKUP(1194,'PEDIDO 7'!$C$2:$E$230,3,0),0)</f>
        <v>0</v>
      </c>
      <c r="E542" s="1">
        <f>IFERROR(VLOOKUP(1195,'PEDIDO 7'!$C$2:$E$230,3,0),0)</f>
        <v>0</v>
      </c>
      <c r="F542" s="1">
        <f>IFERROR(VLOOKUP(1196,'PEDIDO 7'!$C$2:$E$230,3,0),0)</f>
        <v>0</v>
      </c>
      <c r="G542" s="18">
        <f t="shared" si="12"/>
        <v>0</v>
      </c>
    </row>
    <row r="543" spans="1:7" ht="15.75" x14ac:dyDescent="0.25">
      <c r="A543" s="15" t="str">
        <f>'PEDIDO 7'!$B$2</f>
        <v>Pilar Do Sul-Fabricio Jose Di Rado</v>
      </c>
      <c r="B543" s="12" t="s">
        <v>454</v>
      </c>
      <c r="C543" s="1">
        <f>IFERROR(VLOOKUP(1197,'PEDIDO 7'!$C$2:$E$230,3,0),0)</f>
        <v>0</v>
      </c>
      <c r="D543" s="1">
        <f>IFERROR(VLOOKUP(1198,'PEDIDO 7'!$C$2:$E$230,3,0),0)</f>
        <v>0</v>
      </c>
      <c r="E543" s="1">
        <f>IFERROR(VLOOKUP(1199,'PEDIDO 7'!$C$2:$E$230,3,0),0)</f>
        <v>0</v>
      </c>
      <c r="F543" s="1">
        <f>IFERROR(VLOOKUP(1200,'PEDIDO 7'!$C$2:$E$230,3,0),0)</f>
        <v>0</v>
      </c>
      <c r="G543" s="18">
        <f t="shared" si="12"/>
        <v>0</v>
      </c>
    </row>
    <row r="544" spans="1:7" ht="15.75" x14ac:dyDescent="0.25">
      <c r="A544" s="15" t="str">
        <f>'PEDIDO 7'!$B$2</f>
        <v>Pilar Do Sul-Fabricio Jose Di Rado</v>
      </c>
      <c r="B544" s="12" t="s">
        <v>455</v>
      </c>
      <c r="C544" s="1">
        <f>IFERROR(VLOOKUP(1201,'PEDIDO 7'!$C$2:$E$230,3,0),0)</f>
        <v>0</v>
      </c>
      <c r="D544" s="1">
        <f>IFERROR(VLOOKUP(1202,'PEDIDO 7'!$C$2:$E$230,3,0),0)</f>
        <v>0</v>
      </c>
      <c r="E544" s="1">
        <f>IFERROR(VLOOKUP(1203,'PEDIDO 7'!$C$2:$E$230,3,0),0)</f>
        <v>0</v>
      </c>
      <c r="F544" s="1">
        <f>IFERROR(VLOOKUP(1204,'PEDIDO 7'!$C$2:$E$230,3,0),0)</f>
        <v>0</v>
      </c>
      <c r="G544" s="18">
        <f t="shared" si="12"/>
        <v>0</v>
      </c>
    </row>
    <row r="545" spans="1:7" ht="15.75" x14ac:dyDescent="0.25">
      <c r="A545" s="15" t="str">
        <f>'PEDIDO 7'!$B$2</f>
        <v>Pilar Do Sul-Fabricio Jose Di Rado</v>
      </c>
      <c r="B545" s="12" t="s">
        <v>456</v>
      </c>
      <c r="C545" s="1">
        <f>IFERROR(VLOOKUP(1205,'PEDIDO 7'!$C$2:$E$230,3,0),0)</f>
        <v>0</v>
      </c>
      <c r="D545" s="1">
        <f>IFERROR(VLOOKUP(1206,'PEDIDO 7'!$C$2:$E$230,3,0),0)</f>
        <v>0</v>
      </c>
      <c r="E545" s="1">
        <f>IFERROR(VLOOKUP(1207,'PEDIDO 7'!$C$2:$E$230,3,0),0)</f>
        <v>0</v>
      </c>
      <c r="F545" s="1">
        <f>IFERROR(VLOOKUP(1208,'PEDIDO 7'!$C$2:$E$230,3,0),0)</f>
        <v>0</v>
      </c>
      <c r="G545" s="18">
        <f t="shared" si="12"/>
        <v>0</v>
      </c>
    </row>
    <row r="546" spans="1:7" ht="15.75" x14ac:dyDescent="0.25">
      <c r="A546" s="15" t="str">
        <f>'PEDIDO 7'!$B$2</f>
        <v>Pilar Do Sul-Fabricio Jose Di Rado</v>
      </c>
      <c r="B546" s="12" t="s">
        <v>457</v>
      </c>
      <c r="C546" s="1">
        <f>IFERROR(VLOOKUP(1213,'PEDIDO 7'!$C$2:$E$230,3,0),0)</f>
        <v>0</v>
      </c>
      <c r="D546" s="1">
        <f>IFERROR(VLOOKUP(1214,'PEDIDO 7'!$C$2:$E$230,3,0),0)</f>
        <v>0</v>
      </c>
      <c r="E546" s="1">
        <f>IFERROR(VLOOKUP(1215,'PEDIDO 7'!$C$2:$E$230,3,0),0)</f>
        <v>0</v>
      </c>
      <c r="F546" s="10">
        <f>IFERROR(VLOOKUP(1216,'PEDIDO 7'!$C$2:$E$230,3,0),0)</f>
        <v>0</v>
      </c>
      <c r="G546" s="18">
        <f t="shared" si="12"/>
        <v>0</v>
      </c>
    </row>
    <row r="547" spans="1:7" ht="15.75" x14ac:dyDescent="0.25">
      <c r="A547" s="15" t="str">
        <f>'PEDIDO 7'!$B$2</f>
        <v>Pilar Do Sul-Fabricio Jose Di Rado</v>
      </c>
      <c r="B547" s="12" t="s">
        <v>458</v>
      </c>
      <c r="C547" s="1">
        <f>IFERROR(VLOOKUP(1209,'PEDIDO 7'!$C$2:$E$230,3,0),0)</f>
        <v>0</v>
      </c>
      <c r="D547" s="1">
        <f>IFERROR(VLOOKUP(1210,'PEDIDO 7'!$C$2:$E$230,3,0),0)</f>
        <v>0</v>
      </c>
      <c r="E547" s="1">
        <f>IFERROR(VLOOKUP(1211,'PEDIDO 7'!$C$2:$E$230,3,0),0)</f>
        <v>0</v>
      </c>
      <c r="F547" s="1">
        <f>IFERROR(VLOOKUP(1212,'PEDIDO 7'!$C$2:$E$230,3,0),0)</f>
        <v>0</v>
      </c>
      <c r="G547" s="18">
        <f t="shared" si="12"/>
        <v>0</v>
      </c>
    </row>
    <row r="548" spans="1:7" ht="15.75" x14ac:dyDescent="0.25">
      <c r="A548" s="15" t="str">
        <f>'PEDIDO 7'!$B$2</f>
        <v>Pilar Do Sul-Fabricio Jose Di Rado</v>
      </c>
      <c r="B548" s="12" t="s">
        <v>459</v>
      </c>
      <c r="C548" s="1">
        <f>IFERROR(VLOOKUP(1217,'PEDIDO 7'!$C$2:$E$230,3,0),0)</f>
        <v>0</v>
      </c>
      <c r="D548" s="1">
        <f>IFERROR(VLOOKUP(1218,'PEDIDO 7'!$C$2:$E$230,3,0),0)</f>
        <v>0</v>
      </c>
      <c r="E548" s="1">
        <f>IFERROR(VLOOKUP(1219,'PEDIDO 7'!$C$2:$E$230,3,0),0)</f>
        <v>0</v>
      </c>
      <c r="F548" s="1">
        <f>IFERROR(VLOOKUP(1220,'PEDIDO 7'!$C$2:$E$230,3,0),0)</f>
        <v>0</v>
      </c>
      <c r="G548" s="18">
        <f t="shared" si="12"/>
        <v>0</v>
      </c>
    </row>
    <row r="549" spans="1:7" ht="15.75" x14ac:dyDescent="0.25">
      <c r="A549" s="15" t="str">
        <f>'PEDIDO 7'!$B$2</f>
        <v>Pilar Do Sul-Fabricio Jose Di Rado</v>
      </c>
      <c r="B549" s="12" t="s">
        <v>461</v>
      </c>
      <c r="C549" s="1">
        <f>IFERROR(VLOOKUP(1225,'PEDIDO 7'!$C$2:$E$230,3,0),0)</f>
        <v>0</v>
      </c>
      <c r="D549" s="1">
        <f>IFERROR(VLOOKUP(1226,'PEDIDO 7'!$C$2:$E$230,3,0),0)</f>
        <v>0</v>
      </c>
      <c r="E549" s="1">
        <f>IFERROR(VLOOKUP(1227,'PEDIDO 7'!$C$2:$E$230,3,0),0)</f>
        <v>0</v>
      </c>
      <c r="F549" s="1">
        <f>IFERROR(VLOOKUP(1228,'PEDIDO 7'!$C$2:$E$230,3,0),0)</f>
        <v>0</v>
      </c>
      <c r="G549" s="18">
        <f t="shared" si="12"/>
        <v>0</v>
      </c>
    </row>
    <row r="550" spans="1:7" ht="15.75" x14ac:dyDescent="0.25">
      <c r="A550" s="15" t="str">
        <f>'PEDIDO 7'!$B$2</f>
        <v>Pilar Do Sul-Fabricio Jose Di Rado</v>
      </c>
      <c r="B550" s="12" t="s">
        <v>462</v>
      </c>
      <c r="C550" s="1">
        <f>IFERROR(VLOOKUP(1221,'PEDIDO 7'!$C$2:$E$230,3,0),0)</f>
        <v>0</v>
      </c>
      <c r="D550" s="1">
        <f>IFERROR(VLOOKUP(1222,'PEDIDO 7'!$C$2:$E$230,3,0),0)</f>
        <v>0</v>
      </c>
      <c r="E550" s="1">
        <f>IFERROR(VLOOKUP(1223,'PEDIDO 7'!$C$2:$E$230,3,0),0)</f>
        <v>0</v>
      </c>
      <c r="F550" s="1">
        <f>IFERROR(VLOOKUP(1224,'PEDIDO 7'!$C$2:$E$230,3,0),0)</f>
        <v>0</v>
      </c>
      <c r="G550" s="18">
        <f t="shared" si="12"/>
        <v>0</v>
      </c>
    </row>
    <row r="551" spans="1:7" ht="15.75" x14ac:dyDescent="0.25">
      <c r="A551" s="15" t="str">
        <f>'PEDIDO 7'!$B$2</f>
        <v>Pilar Do Sul-Fabricio Jose Di Rado</v>
      </c>
      <c r="B551" s="12" t="s">
        <v>460</v>
      </c>
      <c r="C551" s="1">
        <f>IFERROR(VLOOKUP(1229,'PEDIDO 7'!$C$2:$E$230,3,0),0)</f>
        <v>0</v>
      </c>
      <c r="D551" s="1">
        <f>IFERROR(VLOOKUP(1230,'PEDIDO 7'!$C$2:$E$230,3,0),0)</f>
        <v>0</v>
      </c>
      <c r="E551" s="1">
        <f>IFERROR(VLOOKUP(1231,'PEDIDO 7'!$C$2:$E$230,3,0),0)</f>
        <v>0</v>
      </c>
      <c r="F551" s="1">
        <f>IFERROR(VLOOKUP(1232,'PEDIDO 7'!$C$2:$E$230,3,0),0)</f>
        <v>0</v>
      </c>
      <c r="G551" s="18">
        <f t="shared" si="12"/>
        <v>0</v>
      </c>
    </row>
    <row r="552" spans="1:7" ht="15.75" x14ac:dyDescent="0.25">
      <c r="A552" s="15" t="str">
        <f>'PEDIDO 7'!$B$2</f>
        <v>Pilar Do Sul-Fabricio Jose Di Rado</v>
      </c>
      <c r="B552" s="12" t="s">
        <v>463</v>
      </c>
      <c r="C552" s="1">
        <f>IFERROR(VLOOKUP(1233,'PEDIDO 7'!$C$2:$E$230,3,0),0)</f>
        <v>0</v>
      </c>
      <c r="D552" s="1">
        <f>IFERROR(VLOOKUP(1234,'PEDIDO 7'!$C$2:$E$230,3,0),0)</f>
        <v>0</v>
      </c>
      <c r="E552" s="1">
        <f>IFERROR(VLOOKUP(1235,'PEDIDO 7'!$C$2:$E$230,3,0),0)</f>
        <v>0</v>
      </c>
      <c r="F552" s="1">
        <f>IFERROR(VLOOKUP(1236,'PEDIDO 7'!$C$2:$E$230,3,0),0)</f>
        <v>0</v>
      </c>
      <c r="G552" s="18">
        <f t="shared" si="12"/>
        <v>0</v>
      </c>
    </row>
    <row r="553" spans="1:7" ht="15.75" x14ac:dyDescent="0.25">
      <c r="A553" s="15" t="str">
        <f>'PEDIDO 7'!$B$2</f>
        <v>Pilar Do Sul-Fabricio Jose Di Rado</v>
      </c>
      <c r="B553" s="12" t="s">
        <v>464</v>
      </c>
      <c r="C553" s="1">
        <f>IFERROR(VLOOKUP(1237,'PEDIDO 7'!$C$2:$E$230,3,0),0)</f>
        <v>0</v>
      </c>
      <c r="D553" s="1">
        <f>IFERROR(VLOOKUP(1238,'PEDIDO 7'!$C$2:$E$230,3,0),0)</f>
        <v>0</v>
      </c>
      <c r="E553" s="1">
        <f>IFERROR(VLOOKUP(1239,'PEDIDO 7'!$C$2:$E$230,3,0),0)</f>
        <v>0</v>
      </c>
      <c r="F553" s="1">
        <f>IFERROR(VLOOKUP(1240,'PEDIDO 7'!$C$2:$E$230,3,0),0)</f>
        <v>0</v>
      </c>
      <c r="G553" s="18">
        <f t="shared" ref="G553:G566" si="13">SUM(C553+D553+E553+F553)</f>
        <v>0</v>
      </c>
    </row>
    <row r="554" spans="1:7" ht="15.75" x14ac:dyDescent="0.25">
      <c r="A554" s="15" t="str">
        <f>'PEDIDO 7'!$B$2</f>
        <v>Pilar Do Sul-Fabricio Jose Di Rado</v>
      </c>
      <c r="B554" s="12" t="s">
        <v>465</v>
      </c>
      <c r="C554" s="1">
        <f>IFERROR(VLOOKUP(1241,'PEDIDO 7'!$C$2:$E$230,3,0),0)</f>
        <v>0</v>
      </c>
      <c r="D554" s="1">
        <f>IFERROR(VLOOKUP(1242,'PEDIDO 7'!$C$2:$E$230,3,0),0)</f>
        <v>0</v>
      </c>
      <c r="E554" s="1">
        <f>IFERROR(VLOOKUP(1243,'PEDIDO 7'!$C$2:$E$230,3,0),0)</f>
        <v>0</v>
      </c>
      <c r="F554" s="1">
        <f>IFERROR(VLOOKUP(1244,'PEDIDO 7'!$C$2:$E$230,3,0),0)</f>
        <v>0</v>
      </c>
      <c r="G554" s="18">
        <f t="shared" si="13"/>
        <v>0</v>
      </c>
    </row>
    <row r="555" spans="1:7" ht="15.75" x14ac:dyDescent="0.25">
      <c r="A555" s="15" t="str">
        <f>'PEDIDO 7'!$B$2</f>
        <v>Pilar Do Sul-Fabricio Jose Di Rado</v>
      </c>
      <c r="B555" s="12" t="s">
        <v>466</v>
      </c>
      <c r="C555" s="1">
        <f>IFERROR(VLOOKUP(1245,'PEDIDO 7'!$C$2:$E$230,3,0),0)</f>
        <v>0</v>
      </c>
      <c r="D555" s="1">
        <f>IFERROR(VLOOKUP(1246,'PEDIDO 7'!$C$2:$E$230,3,0),0)</f>
        <v>0</v>
      </c>
      <c r="E555" s="1">
        <f>IFERROR(VLOOKUP(1247,'PEDIDO 7'!$C$2:$E$230,3,0),0)</f>
        <v>0</v>
      </c>
      <c r="F555" s="1">
        <f>IFERROR(VLOOKUP(1248,'PEDIDO 7'!$C$2:$E$230,3,0),0)</f>
        <v>0</v>
      </c>
      <c r="G555" s="18">
        <f t="shared" si="13"/>
        <v>0</v>
      </c>
    </row>
    <row r="556" spans="1:7" ht="15.75" x14ac:dyDescent="0.25">
      <c r="A556" s="15" t="str">
        <f>'PEDIDO 7'!$B$2</f>
        <v>Pilar Do Sul-Fabricio Jose Di Rado</v>
      </c>
      <c r="B556" s="12" t="s">
        <v>467</v>
      </c>
      <c r="C556" s="1">
        <f>IFERROR(VLOOKUP(25714,'PEDIDO 7'!$C$2:$E$230,3,0),0)</f>
        <v>0</v>
      </c>
      <c r="D556" s="1"/>
      <c r="E556" s="1"/>
      <c r="F556" s="1"/>
      <c r="G556" s="18">
        <f t="shared" si="13"/>
        <v>0</v>
      </c>
    </row>
    <row r="557" spans="1:7" ht="15.75" x14ac:dyDescent="0.25">
      <c r="A557" s="15" t="str">
        <f>'PEDIDO 7'!$B$2</f>
        <v>Pilar Do Sul-Fabricio Jose Di Rado</v>
      </c>
      <c r="B557" s="12" t="s">
        <v>468</v>
      </c>
      <c r="C557" s="1">
        <f>IFERROR(VLOOKUP(25712,'PEDIDO 7'!$C$2:$E$230,3,0),0)</f>
        <v>0</v>
      </c>
      <c r="D557" s="1"/>
      <c r="E557" s="1"/>
      <c r="F557" s="1"/>
      <c r="G557" s="18">
        <f t="shared" si="13"/>
        <v>0</v>
      </c>
    </row>
    <row r="558" spans="1:7" ht="15.75" x14ac:dyDescent="0.25">
      <c r="A558" s="15" t="str">
        <f>'PEDIDO 7'!$B$2</f>
        <v>Pilar Do Sul-Fabricio Jose Di Rado</v>
      </c>
      <c r="B558" s="12" t="s">
        <v>469</v>
      </c>
      <c r="C558" s="1">
        <f>IFERROR(VLOOKUP(25713,'PEDIDO 7'!$C$2:$E$230,3,0),0)</f>
        <v>0</v>
      </c>
      <c r="D558" s="1"/>
      <c r="E558" s="1"/>
      <c r="F558" s="1"/>
      <c r="G558" s="18">
        <f t="shared" si="13"/>
        <v>0</v>
      </c>
    </row>
    <row r="559" spans="1:7" ht="15.75" x14ac:dyDescent="0.25">
      <c r="A559" s="15" t="str">
        <f>'PEDIDO 7'!$B$2</f>
        <v>Pilar Do Sul-Fabricio Jose Di Rado</v>
      </c>
      <c r="B559" s="12" t="s">
        <v>470</v>
      </c>
      <c r="C559" s="1">
        <f>IFERROR(VLOOKUP(1260,'PEDIDO 7'!$C$2:$E$230,3,0),0)</f>
        <v>0</v>
      </c>
      <c r="D559" s="1"/>
      <c r="E559" s="1"/>
      <c r="F559" s="1"/>
      <c r="G559" s="18">
        <f t="shared" si="13"/>
        <v>0</v>
      </c>
    </row>
    <row r="560" spans="1:7" ht="15.75" x14ac:dyDescent="0.25">
      <c r="A560" s="15" t="str">
        <f>'PEDIDO 7'!$B$2</f>
        <v>Pilar Do Sul-Fabricio Jose Di Rado</v>
      </c>
      <c r="B560" s="12" t="s">
        <v>471</v>
      </c>
      <c r="C560" s="1">
        <f>IFERROR(VLOOKUP(1261,'PEDIDO 7'!$C$2:$E$230,3,0),0)</f>
        <v>0</v>
      </c>
      <c r="D560" s="1"/>
      <c r="E560" s="1"/>
      <c r="F560" s="1"/>
      <c r="G560" s="18">
        <f t="shared" si="13"/>
        <v>0</v>
      </c>
    </row>
    <row r="561" spans="1:7" ht="15.75" x14ac:dyDescent="0.25">
      <c r="A561" s="15" t="str">
        <f>'PEDIDO 7'!$B$2</f>
        <v>Pilar Do Sul-Fabricio Jose Di Rado</v>
      </c>
      <c r="B561" s="12" t="s">
        <v>472</v>
      </c>
      <c r="C561" s="1">
        <f>IFERROR(VLOOKUP(1262,'PEDIDO 7'!$C$2:$E$230,3,0),0)</f>
        <v>0</v>
      </c>
      <c r="D561" s="1"/>
      <c r="E561" s="1"/>
      <c r="F561" s="1"/>
      <c r="G561" s="18">
        <f t="shared" si="13"/>
        <v>0</v>
      </c>
    </row>
    <row r="562" spans="1:7" ht="15.75" x14ac:dyDescent="0.25">
      <c r="A562" s="15" t="str">
        <f>'PEDIDO 7'!$B$2</f>
        <v>Pilar Do Sul-Fabricio Jose Di Rado</v>
      </c>
      <c r="B562" s="12" t="s">
        <v>473</v>
      </c>
      <c r="C562" s="1">
        <f>IFERROR(VLOOKUP(1263,'PEDIDO 7'!$C$2:$E$230,3,0),0)</f>
        <v>0</v>
      </c>
      <c r="D562" s="1"/>
      <c r="E562" s="1"/>
      <c r="F562" s="1"/>
      <c r="G562" s="18">
        <f t="shared" si="13"/>
        <v>0</v>
      </c>
    </row>
    <row r="563" spans="1:7" ht="15.75" x14ac:dyDescent="0.25">
      <c r="A563" s="15" t="str">
        <f>'PEDIDO 7'!$B$2</f>
        <v>Pilar Do Sul-Fabricio Jose Di Rado</v>
      </c>
      <c r="B563" s="12" t="s">
        <v>474</v>
      </c>
      <c r="C563" s="1">
        <f>IFERROR(VLOOKUP(1264,'PEDIDO 7'!$C$2:$E$230,3,0),0)</f>
        <v>0</v>
      </c>
      <c r="D563" s="1"/>
      <c r="E563" s="1"/>
      <c r="F563" s="1"/>
      <c r="G563" s="18">
        <f t="shared" si="13"/>
        <v>0</v>
      </c>
    </row>
    <row r="564" spans="1:7" ht="15.75" x14ac:dyDescent="0.25">
      <c r="A564" s="15" t="str">
        <f>'PEDIDO 7'!$B$2</f>
        <v>Pilar Do Sul-Fabricio Jose Di Rado</v>
      </c>
      <c r="B564" s="12" t="s">
        <v>475</v>
      </c>
      <c r="C564" s="1">
        <f>IFERROR(VLOOKUP(1265,'PEDIDO 7'!$C$2:$E$230,3,0),0)</f>
        <v>0</v>
      </c>
      <c r="D564" s="1"/>
      <c r="E564" s="1"/>
      <c r="F564" s="1"/>
      <c r="G564" s="18">
        <f t="shared" si="13"/>
        <v>0</v>
      </c>
    </row>
    <row r="565" spans="1:7" ht="15.75" x14ac:dyDescent="0.25">
      <c r="A565" s="15" t="str">
        <f>'PEDIDO 7'!$B$2</f>
        <v>Pilar Do Sul-Fabricio Jose Di Rado</v>
      </c>
      <c r="B565" s="12" t="s">
        <v>476</v>
      </c>
      <c r="C565" s="1">
        <f>IFERROR(VLOOKUP(1266,'PEDIDO 7'!$C$2:$E$230,3,0),0)</f>
        <v>0</v>
      </c>
      <c r="D565" s="1"/>
      <c r="E565" s="1"/>
      <c r="F565" s="1"/>
      <c r="G565" s="18">
        <f t="shared" si="13"/>
        <v>0</v>
      </c>
    </row>
    <row r="566" spans="1:7" ht="15.75" x14ac:dyDescent="0.25">
      <c r="A566" s="15" t="str">
        <f>'PEDIDO 7'!$B$2</f>
        <v>Pilar Do Sul-Fabricio Jose Di Rado</v>
      </c>
      <c r="B566" s="12" t="s">
        <v>477</v>
      </c>
      <c r="C566" s="1">
        <f>IFERROR(VLOOKUP(1268,'PEDIDO 7'!$C$2:$E$230,3,0),0)</f>
        <v>0</v>
      </c>
      <c r="D566" s="1">
        <f>IFERROR(VLOOKUP(1269,'PEDIDO 7'!$C$2:$E$230,3,0),0)</f>
        <v>0</v>
      </c>
      <c r="E566" s="1">
        <f>IFERROR(VLOOKUP(1270,'PEDIDO 7'!$C$2:$E$230,3,0),0)</f>
        <v>0</v>
      </c>
      <c r="F566" s="1">
        <f>IFERROR(VLOOKUP(1271,'PEDIDO 7'!$C$2:$E$230,3,0),0)</f>
        <v>0</v>
      </c>
      <c r="G566" s="18">
        <f t="shared" si="13"/>
        <v>0</v>
      </c>
    </row>
    <row r="567" spans="1:7" ht="15.75" x14ac:dyDescent="0.25">
      <c r="A567" s="17"/>
      <c r="B567" s="13"/>
      <c r="C567" s="13"/>
      <c r="D567" s="13"/>
      <c r="E567" s="13"/>
      <c r="F567" s="13"/>
      <c r="G567" s="19"/>
    </row>
    <row r="568" spans="1:7" ht="15.75" x14ac:dyDescent="0.25">
      <c r="A568" s="17"/>
      <c r="B568" s="13"/>
      <c r="C568" s="13"/>
      <c r="D568" s="13"/>
      <c r="E568" s="13"/>
      <c r="F568" s="13"/>
      <c r="G568" s="19"/>
    </row>
    <row r="569" spans="1:7" ht="15.75" x14ac:dyDescent="0.25">
      <c r="A569" s="15" t="str">
        <f>'PEDIDO 8'!$B$2</f>
        <v>Salto De Pirapora-Magazine Haddad Ltda</v>
      </c>
      <c r="B569" s="12" t="s">
        <v>399</v>
      </c>
      <c r="C569" s="1">
        <f>IFERROR(VLOOKUP(1,'PEDIDO 8'!$C$2:$E$230,3,0),0)</f>
        <v>0</v>
      </c>
      <c r="D569" s="1">
        <f>IFERROR(VLOOKUP(2,'PEDIDO 8'!$C$2:$E$230,3,0),0)</f>
        <v>0</v>
      </c>
      <c r="E569" s="1">
        <f>IFERROR(VLOOKUP(3,'PEDIDO 8'!$C$2:$E$230,3,0),0)</f>
        <v>0</v>
      </c>
      <c r="F569" s="1">
        <f>IFERROR(VLOOKUP(282,'PEDIDO 8'!$C$2:$E$230,3,0),0)</f>
        <v>0</v>
      </c>
      <c r="G569" s="18">
        <f>SUM(C569+D569+E569+F569)</f>
        <v>0</v>
      </c>
    </row>
    <row r="570" spans="1:7" ht="15.75" x14ac:dyDescent="0.25">
      <c r="A570" s="15" t="str">
        <f>'PEDIDO 8'!$B$2</f>
        <v>Salto De Pirapora-Magazine Haddad Ltda</v>
      </c>
      <c r="B570" s="12" t="s">
        <v>400</v>
      </c>
      <c r="C570" s="1">
        <f>IFERROR(VLOOKUP(5,'PEDIDO 8'!$C$2:$E$230,3,0),0)</f>
        <v>0</v>
      </c>
      <c r="D570" s="1">
        <f>IFERROR(VLOOKUP(6,'PEDIDO 8'!$C$2:$E$230,3,0),0)</f>
        <v>0</v>
      </c>
      <c r="E570" s="1">
        <f>IFERROR(VLOOKUP(7,'PEDIDO 8'!$C$2:$E$230,3,0),0)</f>
        <v>0</v>
      </c>
      <c r="F570" s="1">
        <f>IFERROR(VLOOKUP(258,'PEDIDO 8'!$C$2:$E$230,3,0),0)</f>
        <v>0</v>
      </c>
      <c r="G570" s="18">
        <f t="shared" ref="G570:G633" si="14">SUM(C570+D570+E570+F570)</f>
        <v>0</v>
      </c>
    </row>
    <row r="571" spans="1:7" ht="15.75" x14ac:dyDescent="0.25">
      <c r="A571" s="15" t="str">
        <f>'PEDIDO 8'!$B$2</f>
        <v>Salto De Pirapora-Magazine Haddad Ltda</v>
      </c>
      <c r="B571" s="12" t="s">
        <v>401</v>
      </c>
      <c r="C571" s="1">
        <f>IFERROR(VLOOKUP(13,'PEDIDO 8'!$C$2:$E$230,3,0),0)</f>
        <v>0</v>
      </c>
      <c r="D571" s="1">
        <f>IFERROR(VLOOKUP(14,'PEDIDO 8'!$C$2:$E$230,3,0),0)</f>
        <v>0</v>
      </c>
      <c r="E571" s="1">
        <f>IFERROR(VLOOKUP(15,'PEDIDO 8'!$C$2:$E$230,3,0),0)</f>
        <v>0</v>
      </c>
      <c r="F571" s="1">
        <f>IFERROR(VLOOKUP(289,'PEDIDO 8'!$C$2:$E$230,3,0),0)</f>
        <v>0</v>
      </c>
      <c r="G571" s="18">
        <f t="shared" si="14"/>
        <v>0</v>
      </c>
    </row>
    <row r="572" spans="1:7" ht="15.75" x14ac:dyDescent="0.25">
      <c r="A572" s="15" t="str">
        <f>'PEDIDO 8'!$B$2</f>
        <v>Salto De Pirapora-Magazine Haddad Ltda</v>
      </c>
      <c r="B572" s="12" t="s">
        <v>402</v>
      </c>
      <c r="C572" s="1">
        <f>IFERROR(VLOOKUP(267,'PEDIDO 8'!$C$2:$E$230,3,0),0)</f>
        <v>0</v>
      </c>
      <c r="D572" s="1">
        <f>IFERROR(VLOOKUP(268,'PEDIDO 8'!$C$2:$E$230,3,0),0)</f>
        <v>0</v>
      </c>
      <c r="E572" s="1">
        <f>IFERROR(VLOOKUP(270,'PEDIDO 8'!$C$2:$E$230,3,0),0)</f>
        <v>0</v>
      </c>
      <c r="F572" s="1">
        <f>IFERROR(VLOOKUP(269,'PEDIDO 8'!$C$2:$E$230,3,0),0)</f>
        <v>0</v>
      </c>
      <c r="G572" s="18">
        <f t="shared" si="14"/>
        <v>0</v>
      </c>
    </row>
    <row r="573" spans="1:7" ht="15.75" x14ac:dyDescent="0.25">
      <c r="A573" s="15" t="str">
        <f>'PEDIDO 8'!$B$2</f>
        <v>Salto De Pirapora-Magazine Haddad Ltda</v>
      </c>
      <c r="B573" s="12" t="s">
        <v>403</v>
      </c>
      <c r="C573" s="1">
        <f>IFERROR(VLOOKUP(17,'PEDIDO 8'!$C$2:$E$230,3,0),0)</f>
        <v>0</v>
      </c>
      <c r="D573" s="1">
        <f>IFERROR(VLOOKUP(18,'PEDIDO 8'!$C$2:$E$230,3,0),0)</f>
        <v>0</v>
      </c>
      <c r="E573" s="1">
        <f>IFERROR(VLOOKUP(19,'PEDIDO 8'!$C$2:$E$230,3,0),0)</f>
        <v>0</v>
      </c>
      <c r="F573" s="1">
        <f>IFERROR(VLOOKUP(290,'PEDIDO 8'!$C$2:$E$230,3,0),0)</f>
        <v>0</v>
      </c>
      <c r="G573" s="18">
        <f t="shared" si="14"/>
        <v>0</v>
      </c>
    </row>
    <row r="574" spans="1:7" ht="15.75" x14ac:dyDescent="0.25">
      <c r="A574" s="15" t="str">
        <f>'PEDIDO 8'!$B$2</f>
        <v>Salto De Pirapora-Magazine Haddad Ltda</v>
      </c>
      <c r="B574" s="12" t="s">
        <v>404</v>
      </c>
      <c r="C574" s="1">
        <f>IFERROR(VLOOKUP(23,'PEDIDO 8'!$C$2:$E$230,3,0),0)</f>
        <v>0</v>
      </c>
      <c r="D574" s="1">
        <f>IFERROR(VLOOKUP(24,'PEDIDO 8'!$C$2:$E$230,3,0),0)</f>
        <v>0</v>
      </c>
      <c r="E574" s="1">
        <f>IFERROR(VLOOKUP(25,'PEDIDO 8'!$C$2:$E$230,3,0),0)</f>
        <v>0</v>
      </c>
      <c r="F574" s="1">
        <f>IFERROR(VLOOKUP(291,'PEDIDO 8'!$C$2:$E$230,3,0),0)</f>
        <v>0</v>
      </c>
      <c r="G574" s="18">
        <f t="shared" si="14"/>
        <v>0</v>
      </c>
    </row>
    <row r="575" spans="1:7" ht="15.75" x14ac:dyDescent="0.25">
      <c r="A575" s="15" t="str">
        <f>'PEDIDO 8'!$B$2</f>
        <v>Salto De Pirapora-Magazine Haddad Ltda</v>
      </c>
      <c r="B575" s="12" t="s">
        <v>405</v>
      </c>
      <c r="C575" s="1">
        <f>IFERROR(VLOOKUP(27,'PEDIDO 8'!$C$2:$E$230,3,0),0)</f>
        <v>0</v>
      </c>
      <c r="D575" s="1">
        <f>IFERROR(VLOOKUP(28,'PEDIDO 8'!$C$2:$E$230,3,0),0)</f>
        <v>0</v>
      </c>
      <c r="E575" s="1">
        <f>IFERROR(VLOOKUP(29,'PEDIDO 8'!$C$2:$E$230,3,0),0)</f>
        <v>0</v>
      </c>
      <c r="F575" s="1">
        <f>IFERROR(VLOOKUP(292,'PEDIDO 8'!$C$2:$E$230,3,0),0)</f>
        <v>0</v>
      </c>
      <c r="G575" s="18">
        <f t="shared" si="14"/>
        <v>0</v>
      </c>
    </row>
    <row r="576" spans="1:7" ht="15.75" x14ac:dyDescent="0.25">
      <c r="A576" s="15" t="str">
        <f>'PEDIDO 8'!$B$2</f>
        <v>Salto De Pirapora-Magazine Haddad Ltda</v>
      </c>
      <c r="B576" s="12" t="s">
        <v>406</v>
      </c>
      <c r="C576" s="1">
        <f>IFERROR(VLOOKUP(227,'PEDIDO 8'!$C$2:$E$230,3,0),0)</f>
        <v>0</v>
      </c>
      <c r="D576" s="1">
        <f>IFERROR(VLOOKUP(228,'PEDIDO 8'!$C$2:$E$230,3,0),0)</f>
        <v>0</v>
      </c>
      <c r="E576" s="1">
        <f>IFERROR(VLOOKUP(229,'PEDIDO 8'!$C$2:$E$230,3,0),0)</f>
        <v>0</v>
      </c>
      <c r="F576" s="1">
        <f>IFERROR(VLOOKUP(230,'PEDIDO 8'!$C$2:$E$230,3,0),0)</f>
        <v>0</v>
      </c>
      <c r="G576" s="18">
        <f t="shared" si="14"/>
        <v>0</v>
      </c>
    </row>
    <row r="577" spans="1:7" ht="15.75" x14ac:dyDescent="0.25">
      <c r="A577" s="15" t="str">
        <f>'PEDIDO 8'!$B$2</f>
        <v>Salto De Pirapora-Magazine Haddad Ltda</v>
      </c>
      <c r="B577" s="12" t="s">
        <v>407</v>
      </c>
      <c r="C577" s="1">
        <f>IFERROR(VLOOKUP(231,'PEDIDO 8'!$C$2:$E$230,3,0),0)</f>
        <v>0</v>
      </c>
      <c r="D577" s="1">
        <f>IFERROR(VLOOKUP(232,'PEDIDO 8'!$C$2:$E$230,3,0),0)</f>
        <v>0</v>
      </c>
      <c r="E577" s="1">
        <f>IFERROR(VLOOKUP(234,'PEDIDO 8'!$C$2:$E$230,3,0),0)</f>
        <v>0</v>
      </c>
      <c r="F577" s="1">
        <f>IFERROR(VLOOKUP(233,'PEDIDO 8'!$C$2:$E$230,3,0),0)</f>
        <v>0</v>
      </c>
      <c r="G577" s="18">
        <f t="shared" si="14"/>
        <v>0</v>
      </c>
    </row>
    <row r="578" spans="1:7" ht="15.75" x14ac:dyDescent="0.25">
      <c r="A578" s="15" t="str">
        <f>'PEDIDO 8'!$B$2</f>
        <v>Salto De Pirapora-Magazine Haddad Ltda</v>
      </c>
      <c r="B578" s="12" t="s">
        <v>408</v>
      </c>
      <c r="C578" s="1">
        <f>IFERROR(VLOOKUP(237,'PEDIDO 8'!$C$2:$E$230,3,0),0)</f>
        <v>0</v>
      </c>
      <c r="D578" s="1">
        <f>IFERROR(VLOOKUP(238,'PEDIDO 8'!$C$2:$E$230,3,0),0)</f>
        <v>0</v>
      </c>
      <c r="E578" s="1">
        <f>IFERROR(VLOOKUP(240,'PEDIDO 8'!$C$2:$E$230,3,0),0)</f>
        <v>0</v>
      </c>
      <c r="F578" s="1">
        <f>IFERROR(VLOOKUP(239,'PEDIDO 8'!$C$2:$E$230,3,0),0)</f>
        <v>0</v>
      </c>
      <c r="G578" s="18">
        <f t="shared" si="14"/>
        <v>0</v>
      </c>
    </row>
    <row r="579" spans="1:7" ht="15.75" x14ac:dyDescent="0.25">
      <c r="A579" s="15" t="str">
        <f>'PEDIDO 8'!$B$2</f>
        <v>Salto De Pirapora-Magazine Haddad Ltda</v>
      </c>
      <c r="B579" s="12" t="s">
        <v>409</v>
      </c>
      <c r="C579" s="1">
        <f>IFERROR(VLOOKUP(25707,'PEDIDO 8'!$C$2:$E$230,3,0),0)</f>
        <v>0</v>
      </c>
      <c r="D579" s="1">
        <f>IFERROR(VLOOKUP(25708,'PEDIDO 8'!$C$2:$E$230,3,0),0)</f>
        <v>0</v>
      </c>
      <c r="E579" s="1">
        <f>IFERROR(VLOOKUP(25710,'PEDIDO 8'!$C$2:$E$230,3,0),0)</f>
        <v>0</v>
      </c>
      <c r="F579" s="1">
        <f>IFERROR(VLOOKUP(25709,'PEDIDO 8'!$C$2:$E$230,3,0),0)</f>
        <v>0</v>
      </c>
      <c r="G579" s="18">
        <f t="shared" si="14"/>
        <v>0</v>
      </c>
    </row>
    <row r="580" spans="1:7" ht="15.75" x14ac:dyDescent="0.25">
      <c r="A580" s="15" t="str">
        <f>'PEDIDO 8'!$B$2</f>
        <v>Salto De Pirapora-Magazine Haddad Ltda</v>
      </c>
      <c r="B580" s="12" t="s">
        <v>410</v>
      </c>
      <c r="C580" s="1">
        <f>IFERROR(VLOOKUP(25711,'PEDIDO 8'!$C$2:$E$230,3,0),0)</f>
        <v>0</v>
      </c>
      <c r="D580" s="1"/>
      <c r="E580" s="1"/>
      <c r="F580" s="1"/>
      <c r="G580" s="18">
        <f t="shared" si="14"/>
        <v>0</v>
      </c>
    </row>
    <row r="581" spans="1:7" ht="15.75" x14ac:dyDescent="0.25">
      <c r="A581" s="15" t="str">
        <f>'PEDIDO 8'!$B$2</f>
        <v>Salto De Pirapora-Magazine Haddad Ltda</v>
      </c>
      <c r="B581" s="12" t="s">
        <v>411</v>
      </c>
      <c r="C581" s="1">
        <f>IFERROR(VLOOKUP(35,'PEDIDO 8'!$C$2:$E$230,3,0),0)</f>
        <v>0</v>
      </c>
      <c r="D581" s="1">
        <f>IFERROR(VLOOKUP(36,'PEDIDO 8'!$C$2:$E$230,3,0),0)</f>
        <v>0</v>
      </c>
      <c r="E581" s="1">
        <f>IFERROR(VLOOKUP(37,'PEDIDO 8'!$C$2:$E$230,3,0),0)</f>
        <v>0</v>
      </c>
      <c r="F581" s="1">
        <f>IFERROR(VLOOKUP(294,'PEDIDO 8'!$C$2:$E$230,3,0),0)</f>
        <v>0</v>
      </c>
      <c r="G581" s="18">
        <f t="shared" si="14"/>
        <v>0</v>
      </c>
    </row>
    <row r="582" spans="1:7" ht="15.75" x14ac:dyDescent="0.25">
      <c r="A582" s="15" t="str">
        <f>'PEDIDO 8'!$B$2</f>
        <v>Salto De Pirapora-Magazine Haddad Ltda</v>
      </c>
      <c r="B582" s="12" t="s">
        <v>412</v>
      </c>
      <c r="C582" s="1">
        <f>IFERROR(VLOOKUP(39,'PEDIDO 8'!$C$2:$E$230,3,0),0)</f>
        <v>0</v>
      </c>
      <c r="D582" s="1">
        <f>IFERROR(VLOOKUP(40,'PEDIDO 8'!$C$2:$E$230,3,0),0)</f>
        <v>0</v>
      </c>
      <c r="E582" s="1">
        <f>IFERROR(VLOOKUP(42,'PEDIDO 8'!$C$2:$E$230,3,0),0)</f>
        <v>0</v>
      </c>
      <c r="F582" s="1">
        <f>IFERROR(VLOOKUP(295,'PEDIDO 8'!$C$2:$E$230,3,0),0)</f>
        <v>0</v>
      </c>
      <c r="G582" s="18">
        <f t="shared" si="14"/>
        <v>0</v>
      </c>
    </row>
    <row r="583" spans="1:7" ht="15.75" x14ac:dyDescent="0.25">
      <c r="A583" s="15" t="str">
        <f>'PEDIDO 8'!$B$2</f>
        <v>Salto De Pirapora-Magazine Haddad Ltda</v>
      </c>
      <c r="B583" s="12" t="s">
        <v>413</v>
      </c>
      <c r="C583" s="1">
        <f>IFERROR(VLOOKUP(44,'PEDIDO 8'!$C$2:$E$230,3,0),0)</f>
        <v>0</v>
      </c>
      <c r="D583" s="1">
        <f>IFERROR(VLOOKUP(45,'PEDIDO 8'!$C$2:$E$230,3,0),0)</f>
        <v>0</v>
      </c>
      <c r="E583" s="1">
        <f>IFERROR(VLOOKUP(46,'PEDIDO 8'!$C$2:$E$230,3,0),0)</f>
        <v>0</v>
      </c>
      <c r="F583" s="1">
        <f>IFERROR(VLOOKUP(283,'PEDIDO 8'!$C$2:$E$230,3,0),0)</f>
        <v>0</v>
      </c>
      <c r="G583" s="18">
        <f t="shared" si="14"/>
        <v>0</v>
      </c>
    </row>
    <row r="584" spans="1:7" ht="15.75" x14ac:dyDescent="0.25">
      <c r="A584" s="15" t="str">
        <f>'PEDIDO 8'!$B$2</f>
        <v>Salto De Pirapora-Magazine Haddad Ltda</v>
      </c>
      <c r="B584" s="12" t="s">
        <v>414</v>
      </c>
      <c r="C584" s="1">
        <f>IFERROR(VLOOKUP(48,'PEDIDO 8'!$C$2:$E$230,3,0),0)</f>
        <v>0</v>
      </c>
      <c r="D584" s="1">
        <f>IFERROR(VLOOKUP(49,'PEDIDO 8'!$C$2:$E$230,3,0),0)</f>
        <v>0</v>
      </c>
      <c r="E584" s="1">
        <f>IFERROR(VLOOKUP(50,'PEDIDO 8'!$C$2:$E$230,3,0),0)</f>
        <v>0</v>
      </c>
      <c r="F584" s="1">
        <f>IFERROR(VLOOKUP(298,'PEDIDO 8'!$C$2:$E$230,3,0),0)</f>
        <v>0</v>
      </c>
      <c r="G584" s="18">
        <f t="shared" si="14"/>
        <v>0</v>
      </c>
    </row>
    <row r="585" spans="1:7" ht="15.75" x14ac:dyDescent="0.25">
      <c r="A585" s="15" t="str">
        <f>'PEDIDO 8'!$B$2</f>
        <v>Salto De Pirapora-Magazine Haddad Ltda</v>
      </c>
      <c r="B585" s="12" t="s">
        <v>415</v>
      </c>
      <c r="C585" s="1">
        <f>IFERROR(VLOOKUP(52,'PEDIDO 8'!$C$2:$E$230,3,0),0)</f>
        <v>0</v>
      </c>
      <c r="D585" s="1">
        <f>IFERROR(VLOOKUP(53,'PEDIDO 8'!$C$2:$E$230,3,0),0)</f>
        <v>0</v>
      </c>
      <c r="E585" s="1">
        <f>IFERROR(VLOOKUP(54,'PEDIDO 8'!$C$2:$E$230,3,0),0)</f>
        <v>0</v>
      </c>
      <c r="F585" s="1">
        <f>IFERROR(VLOOKUP(299,'PEDIDO 8'!$C$2:$E$230,3,0),0)</f>
        <v>0</v>
      </c>
      <c r="G585" s="18">
        <f t="shared" si="14"/>
        <v>0</v>
      </c>
    </row>
    <row r="586" spans="1:7" ht="15.75" x14ac:dyDescent="0.25">
      <c r="A586" s="15" t="str">
        <f>'PEDIDO 8'!$B$2</f>
        <v>Salto De Pirapora-Magazine Haddad Ltda</v>
      </c>
      <c r="B586" s="12" t="s">
        <v>416</v>
      </c>
      <c r="C586" s="1">
        <f>IFERROR(VLOOKUP(56,'PEDIDO 8'!$C$2:$E$230,3,0),0)</f>
        <v>0</v>
      </c>
      <c r="D586" s="1">
        <f>IFERROR(VLOOKUP(61,'PEDIDO 8'!$C$2:$E$230,3,0),0)</f>
        <v>0</v>
      </c>
      <c r="E586" s="1">
        <f>IFERROR(VLOOKUP(58,'PEDIDO 8'!$C$2:$E$230,3,0),0)</f>
        <v>0</v>
      </c>
      <c r="F586" s="1">
        <f>IFERROR(VLOOKUP(300,'PEDIDO 8'!$C$2:$E$230,3,0),0)</f>
        <v>0</v>
      </c>
      <c r="G586" s="18">
        <f t="shared" si="14"/>
        <v>0</v>
      </c>
    </row>
    <row r="587" spans="1:7" ht="15.75" x14ac:dyDescent="0.25">
      <c r="A587" s="15" t="str">
        <f>'PEDIDO 8'!$B$2</f>
        <v>Salto De Pirapora-Magazine Haddad Ltda</v>
      </c>
      <c r="B587" s="12" t="s">
        <v>417</v>
      </c>
      <c r="C587" s="1">
        <f>IFERROR(VLOOKUP(60,'PEDIDO 8'!$C$2:$E$230,3,0),0)</f>
        <v>0</v>
      </c>
      <c r="D587" s="1">
        <f>IFERROR(VLOOKUP(120,'PEDIDO 8'!$C$2:$E$230,3,0),0)</f>
        <v>0</v>
      </c>
      <c r="E587" s="1">
        <f>IFERROR(VLOOKUP(62,'PEDIDO 8'!$C$2:$E$230,3,0),0)</f>
        <v>0</v>
      </c>
      <c r="F587" s="1">
        <f>IFERROR(VLOOKUP(301,'PEDIDO 8'!$C$2:$E$230,3,0),0)</f>
        <v>0</v>
      </c>
      <c r="G587" s="18">
        <f t="shared" si="14"/>
        <v>0</v>
      </c>
    </row>
    <row r="588" spans="1:7" ht="15.75" x14ac:dyDescent="0.25">
      <c r="A588" s="15" t="str">
        <f>'PEDIDO 8'!$B$2</f>
        <v>Salto De Pirapora-Magazine Haddad Ltda</v>
      </c>
      <c r="B588" s="12" t="s">
        <v>426</v>
      </c>
      <c r="C588" s="1">
        <f>IFERROR(VLOOKUP(112,'PEDIDO 8'!$C$2:$E$230,3,0),0)</f>
        <v>0</v>
      </c>
      <c r="D588" s="1">
        <f>IFERROR(VLOOKUP(113,'PEDIDO 8'!$C$2:$E$230,3,0),0)</f>
        <v>0</v>
      </c>
      <c r="E588" s="1">
        <f>IFERROR(VLOOKUP(114,'PEDIDO 8'!$C$2:$E$230,3,0),0)</f>
        <v>0</v>
      </c>
      <c r="F588" s="1">
        <f>IFERROR(VLOOKUP(296,'PEDIDO 8'!$C$2:$E$230,3,0),0)</f>
        <v>0</v>
      </c>
      <c r="G588" s="18">
        <f t="shared" si="14"/>
        <v>0</v>
      </c>
    </row>
    <row r="589" spans="1:7" ht="15.75" x14ac:dyDescent="0.25">
      <c r="A589" s="15" t="str">
        <f>'PEDIDO 8'!$B$2</f>
        <v>Salto De Pirapora-Magazine Haddad Ltda</v>
      </c>
      <c r="B589" s="12" t="s">
        <v>427</v>
      </c>
      <c r="C589" s="1">
        <f>IFERROR(VLOOKUP(116,'PEDIDO 8'!$C$2:$E$230,3,0),0)</f>
        <v>0</v>
      </c>
      <c r="D589" s="1">
        <f>IFERROR(VLOOKUP(117,'PEDIDO 8'!$C$2:$E$230,3,0),0)</f>
        <v>0</v>
      </c>
      <c r="E589" s="1">
        <f>IFERROR(VLOOKUP(118,'PEDIDO 8'!$C$2:$E$230,3,0),0)</f>
        <v>0</v>
      </c>
      <c r="F589" s="1">
        <f>IFERROR(VLOOKUP(293,'PEDIDO 8'!$C$2:$E$230,3,0),0)</f>
        <v>0</v>
      </c>
      <c r="G589" s="18">
        <f t="shared" si="14"/>
        <v>0</v>
      </c>
    </row>
    <row r="590" spans="1:7" ht="15.75" x14ac:dyDescent="0.25">
      <c r="A590" s="15" t="str">
        <f>'PEDIDO 8'!$B$2</f>
        <v>Salto De Pirapora-Magazine Haddad Ltda</v>
      </c>
      <c r="B590" s="12" t="s">
        <v>418</v>
      </c>
      <c r="C590" s="1">
        <f>IFERROR(VLOOKUP(963,'PEDIDO 8'!$C$2:$E$230,3,0),0)</f>
        <v>0</v>
      </c>
      <c r="D590" s="1">
        <f>IFERROR(VLOOKUP(965,'PEDIDO 8'!$C$2:$E$230,3,0),0)</f>
        <v>0</v>
      </c>
      <c r="E590" s="1">
        <f>IFERROR(VLOOKUP(966,'PEDIDO 8'!$C$2:$E$230,3,0),0)</f>
        <v>0</v>
      </c>
      <c r="F590" s="1">
        <f>IFERROR(VLOOKUP(964,'PEDIDO 8'!$C$2:$E$230,3,0),0)</f>
        <v>0</v>
      </c>
      <c r="G590" s="18">
        <f t="shared" si="14"/>
        <v>0</v>
      </c>
    </row>
    <row r="591" spans="1:7" ht="15.75" x14ac:dyDescent="0.25">
      <c r="A591" s="15" t="str">
        <f>'PEDIDO 8'!$B$2</f>
        <v>Salto De Pirapora-Magazine Haddad Ltda</v>
      </c>
      <c r="B591" s="12" t="s">
        <v>419</v>
      </c>
      <c r="C591" s="1">
        <f>IFERROR(VLOOKUP(2042,'PEDIDO 8'!$C$2:$E$230,3,0),0)</f>
        <v>0</v>
      </c>
      <c r="D591" s="1">
        <f>IFERROR(VLOOKUP(2041,'PEDIDO 8'!$C$2:$E$230,3,0),0)</f>
        <v>0</v>
      </c>
      <c r="E591" s="1">
        <f>IFERROR(VLOOKUP(2043,'PEDIDO 8'!$C$2:$E$230,3,0),0)</f>
        <v>0</v>
      </c>
      <c r="F591" s="1">
        <f>IFERROR(VLOOKUP(2040,'PEDIDO 8'!$C$2:$E$230,3,0),0)</f>
        <v>0</v>
      </c>
      <c r="G591" s="18">
        <f t="shared" si="14"/>
        <v>0</v>
      </c>
    </row>
    <row r="592" spans="1:7" ht="15.75" x14ac:dyDescent="0.25">
      <c r="A592" s="15" t="str">
        <f>'PEDIDO 8'!$B$2</f>
        <v>Salto De Pirapora-Magazine Haddad Ltda</v>
      </c>
      <c r="B592" s="12" t="s">
        <v>420</v>
      </c>
      <c r="C592" s="1">
        <f>IFERROR(VLOOKUP(2045,'PEDIDO 8'!$C$2:$E$230,3,0),0)</f>
        <v>0</v>
      </c>
      <c r="D592" s="1">
        <f>IFERROR(VLOOKUP(2046,'PEDIDO 8'!$C$2:$E$230,3,0),0)</f>
        <v>0</v>
      </c>
      <c r="E592" s="1">
        <f>IFERROR(VLOOKUP(2047,'PEDIDO 8'!$C$2:$E$230,3,0),0)</f>
        <v>0</v>
      </c>
      <c r="F592" s="1">
        <f>IFERROR(VLOOKUP(2048,'PEDIDO 8'!$C$2:$E$230,3,0),0)</f>
        <v>0</v>
      </c>
      <c r="G592" s="18">
        <f t="shared" si="14"/>
        <v>0</v>
      </c>
    </row>
    <row r="593" spans="1:7" ht="15.75" x14ac:dyDescent="0.25">
      <c r="A593" s="15" t="str">
        <f>'PEDIDO 8'!$B$2</f>
        <v>Salto De Pirapora-Magazine Haddad Ltda</v>
      </c>
      <c r="B593" s="12" t="s">
        <v>421</v>
      </c>
      <c r="C593" s="1">
        <f>IFERROR(VLOOKUP(2050,'PEDIDO 8'!$C$2:$E$230,3,0),0)</f>
        <v>0</v>
      </c>
      <c r="D593" s="1">
        <f>IFERROR(VLOOKUP(2051,'PEDIDO 8'!$C$2:$E$230,3,0),0)</f>
        <v>0</v>
      </c>
      <c r="E593" s="1">
        <f>IFERROR(VLOOKUP(2052,'PEDIDO 8'!$C$2:$E$230,3,0),0)</f>
        <v>0</v>
      </c>
      <c r="F593" s="1">
        <f>IFERROR(VLOOKUP(2053,'PEDIDO 8'!$C$2:$E$230,3,0),0)</f>
        <v>0</v>
      </c>
      <c r="G593" s="18">
        <f t="shared" si="14"/>
        <v>0</v>
      </c>
    </row>
    <row r="594" spans="1:7" ht="15.75" x14ac:dyDescent="0.25">
      <c r="A594" s="15" t="str">
        <f>'PEDIDO 8'!$B$2</f>
        <v>Salto De Pirapora-Magazine Haddad Ltda</v>
      </c>
      <c r="B594" s="12" t="s">
        <v>422</v>
      </c>
      <c r="C594" s="1">
        <f>IFERROR(VLOOKUP(216,'PEDIDO 8'!$C$2:$E$230,3,0),0)</f>
        <v>0</v>
      </c>
      <c r="D594" s="1">
        <f>IFERROR(VLOOKUP(217,'PEDIDO 8'!$C$2:$E$230,3,0),0)</f>
        <v>0</v>
      </c>
      <c r="E594" s="1">
        <f>IFERROR(VLOOKUP(218,'PEDIDO 8'!$C$2:$E$230,3,0),0)</f>
        <v>0</v>
      </c>
      <c r="F594" s="1">
        <f>IFERROR(VLOOKUP(305,'PEDIDO 8'!$C$2:$E$230,3,0),0)</f>
        <v>0</v>
      </c>
      <c r="G594" s="18">
        <f t="shared" si="14"/>
        <v>0</v>
      </c>
    </row>
    <row r="595" spans="1:7" ht="15.75" x14ac:dyDescent="0.25">
      <c r="A595" s="15" t="str">
        <f>'PEDIDO 8'!$B$2</f>
        <v>Salto De Pirapora-Magazine Haddad Ltda</v>
      </c>
      <c r="B595" s="12" t="s">
        <v>423</v>
      </c>
      <c r="C595" s="1">
        <f>IFERROR(VLOOKUP(100,'PEDIDO 8'!$C$2:$E$230,3,0),0)</f>
        <v>0</v>
      </c>
      <c r="D595" s="1">
        <f>IFERROR(VLOOKUP(101,'PEDIDO 8'!$C$2:$E$230,3,0),0)</f>
        <v>0</v>
      </c>
      <c r="E595" s="1">
        <f>IFERROR(VLOOKUP(102,'PEDIDO 8'!$C$2:$E$230,3,0),0)</f>
        <v>0</v>
      </c>
      <c r="F595" s="1">
        <f>IFERROR(VLOOKUP(306,'PEDIDO 8'!$C$2:$E$230,3,0),0)</f>
        <v>0</v>
      </c>
      <c r="G595" s="18">
        <f t="shared" si="14"/>
        <v>0</v>
      </c>
    </row>
    <row r="596" spans="1:7" ht="15.75" x14ac:dyDescent="0.25">
      <c r="A596" s="15" t="str">
        <f>'PEDIDO 8'!$B$2</f>
        <v>Salto De Pirapora-Magazine Haddad Ltda</v>
      </c>
      <c r="B596" s="12" t="s">
        <v>424</v>
      </c>
      <c r="C596" s="1">
        <f>IFERROR(VLOOKUP(104,'PEDIDO 8'!$C$2:$E$230,3,0),0)</f>
        <v>0</v>
      </c>
      <c r="D596" s="1">
        <f>IFERROR(VLOOKUP(105,'PEDIDO 8'!$C$2:$E$230,3,0),0)</f>
        <v>0</v>
      </c>
      <c r="E596" s="1">
        <f>IFERROR(VLOOKUP(106,'PEDIDO 8'!$C$2:$E$230,3,0),0)</f>
        <v>0</v>
      </c>
      <c r="F596" s="1">
        <f>IFERROR(VLOOKUP(307,'PEDIDO 8'!$C$2:$E$230,3,0),0)</f>
        <v>0</v>
      </c>
      <c r="G596" s="18">
        <f t="shared" si="14"/>
        <v>0</v>
      </c>
    </row>
    <row r="597" spans="1:7" ht="15.75" x14ac:dyDescent="0.25">
      <c r="A597" s="15" t="str">
        <f>'PEDIDO 8'!$B$2</f>
        <v>Salto De Pirapora-Magazine Haddad Ltda</v>
      </c>
      <c r="B597" s="12" t="s">
        <v>425</v>
      </c>
      <c r="C597" s="1">
        <f>IFERROR(VLOOKUP(400,'PEDIDO 8'!$C$2:$E$230,3,0),0)</f>
        <v>0</v>
      </c>
      <c r="D597" s="1">
        <f>IFERROR(VLOOKUP(401,'PEDIDO 8'!$C$2:$E$230,3,0),0)</f>
        <v>0</v>
      </c>
      <c r="E597" s="1">
        <f>IFERROR(VLOOKUP(402,'PEDIDO 8'!$C$2:$E$230,3,0),0)</f>
        <v>0</v>
      </c>
      <c r="F597" s="1">
        <f>IFERROR(VLOOKUP(403,'PEDIDO 8'!$C$2:$E$230,3,0),0)</f>
        <v>0</v>
      </c>
      <c r="G597" s="18">
        <f t="shared" si="14"/>
        <v>0</v>
      </c>
    </row>
    <row r="598" spans="1:7" ht="15.75" x14ac:dyDescent="0.25">
      <c r="A598" s="15" t="str">
        <f>'PEDIDO 8'!$B$2</f>
        <v>Salto De Pirapora-Magazine Haddad Ltda</v>
      </c>
      <c r="B598" s="12" t="s">
        <v>428</v>
      </c>
      <c r="C598" s="1">
        <f>IFERROR(VLOOKUP(22,'PEDIDO 8'!$C$2:$E$230,3,0),0)</f>
        <v>0</v>
      </c>
      <c r="D598" s="1"/>
      <c r="E598" s="1"/>
      <c r="F598" s="1"/>
      <c r="G598" s="18">
        <f t="shared" si="14"/>
        <v>0</v>
      </c>
    </row>
    <row r="599" spans="1:7" ht="15.75" x14ac:dyDescent="0.25">
      <c r="A599" s="15" t="str">
        <f>'PEDIDO 8'!$B$2</f>
        <v>Salto De Pirapora-Magazine Haddad Ltda</v>
      </c>
      <c r="B599" s="12" t="s">
        <v>429</v>
      </c>
      <c r="C599" s="1">
        <f>IFERROR(VLOOKUP(21,'PEDIDO 8'!$C$2:$E$230,3,0),0)</f>
        <v>0</v>
      </c>
      <c r="D599" s="1"/>
      <c r="E599" s="1"/>
      <c r="F599" s="1"/>
      <c r="G599" s="18">
        <f t="shared" si="14"/>
        <v>0</v>
      </c>
    </row>
    <row r="600" spans="1:7" ht="15.75" x14ac:dyDescent="0.25">
      <c r="A600" s="15" t="str">
        <f>'PEDIDO 8'!$B$2</f>
        <v>Salto De Pirapora-Magazine Haddad Ltda</v>
      </c>
      <c r="B600" s="12" t="s">
        <v>430</v>
      </c>
      <c r="C600" s="1">
        <f>IFERROR(VLOOKUP(1125,'PEDIDO 8'!$C$2:$E$230,3,0),0)</f>
        <v>0</v>
      </c>
      <c r="D600" s="1">
        <f>IFERROR(VLOOKUP(1126,'PEDIDO 8'!$C$2:$E$230,3,0),0)</f>
        <v>0</v>
      </c>
      <c r="E600" s="1">
        <f>IFERROR(VLOOKUP(1127,'PEDIDO 8'!$C$2:$E$230,3,0),0)</f>
        <v>0</v>
      </c>
      <c r="F600" s="1">
        <f>IFERROR(VLOOKUP(1128,'PEDIDO 8'!$C$2:$E$230,3,0),0)</f>
        <v>0</v>
      </c>
      <c r="G600" s="18">
        <f t="shared" si="14"/>
        <v>0</v>
      </c>
    </row>
    <row r="601" spans="1:7" ht="15.75" x14ac:dyDescent="0.25">
      <c r="A601" s="15" t="str">
        <f>'PEDIDO 8'!$B$2</f>
        <v>Salto De Pirapora-Magazine Haddad Ltda</v>
      </c>
      <c r="B601" s="12" t="s">
        <v>431</v>
      </c>
      <c r="C601" s="1">
        <f>IFERROR(VLOOKUP(1133,'PEDIDO 8'!$C$2:$E$230,3,0),0)</f>
        <v>0</v>
      </c>
      <c r="D601" s="1">
        <f>IFERROR(VLOOKUP(1134,'PEDIDO 8'!$C$2:$E$230,3,0),0)</f>
        <v>0</v>
      </c>
      <c r="E601" s="1">
        <f>IFERROR(VLOOKUP(1135,'PEDIDO 8'!$C$2:$E$230,3,0),0)</f>
        <v>0</v>
      </c>
      <c r="F601" s="1">
        <f>IFERROR(VLOOKUP(1136,'PEDIDO 8'!$C$2:$E$230,3,0),0)</f>
        <v>0</v>
      </c>
      <c r="G601" s="18">
        <f t="shared" si="14"/>
        <v>0</v>
      </c>
    </row>
    <row r="602" spans="1:7" ht="15.75" x14ac:dyDescent="0.25">
      <c r="A602" s="15" t="str">
        <f>'PEDIDO 8'!$B$2</f>
        <v>Salto De Pirapora-Magazine Haddad Ltda</v>
      </c>
      <c r="B602" s="12" t="s">
        <v>432</v>
      </c>
      <c r="C602" s="1">
        <f>IFERROR(VLOOKUP(1105,'PEDIDO 8'!$C$2:$E$230,3,0),0)</f>
        <v>0</v>
      </c>
      <c r="D602" s="1">
        <f>IFERROR(VLOOKUP(1106,'PEDIDO 8'!$C$2:$E$230,3,0),0)</f>
        <v>0</v>
      </c>
      <c r="E602" s="1">
        <f>IFERROR(VLOOKUP(1107,'PEDIDO 8'!$C$2:$E$230,3,0),0)</f>
        <v>0</v>
      </c>
      <c r="F602" s="1">
        <f>IFERROR(VLOOKUP(1108,'PEDIDO 8'!$C$2:$E$230,3,0),0)</f>
        <v>0</v>
      </c>
      <c r="G602" s="18">
        <f t="shared" si="14"/>
        <v>0</v>
      </c>
    </row>
    <row r="603" spans="1:7" ht="15.75" x14ac:dyDescent="0.25">
      <c r="A603" s="15" t="str">
        <f>'PEDIDO 8'!$B$2</f>
        <v>Salto De Pirapora-Magazine Haddad Ltda</v>
      </c>
      <c r="B603" s="12" t="s">
        <v>433</v>
      </c>
      <c r="C603" s="1">
        <f>IFERROR(VLOOKUP(1109,'PEDIDO 8'!$C$2:$E$230,3,0),0)</f>
        <v>0</v>
      </c>
      <c r="D603" s="1">
        <f>IFERROR(VLOOKUP(1110,'PEDIDO 8'!$C$2:$E$230,3,0),0)</f>
        <v>0</v>
      </c>
      <c r="E603" s="1">
        <f>IFERROR(VLOOKUP(1111,'PEDIDO 8'!$C$2:$E$230,3,0),0)</f>
        <v>0</v>
      </c>
      <c r="F603" s="1">
        <f>IFERROR(VLOOKUP(1112,'PEDIDO 8'!$C$2:$E$230,3,0),0)</f>
        <v>0</v>
      </c>
      <c r="G603" s="18">
        <f t="shared" si="14"/>
        <v>0</v>
      </c>
    </row>
    <row r="604" spans="1:7" ht="15.75" x14ac:dyDescent="0.25">
      <c r="A604" s="15" t="str">
        <f>'PEDIDO 8'!$B$2</f>
        <v>Salto De Pirapora-Magazine Haddad Ltda</v>
      </c>
      <c r="B604" s="12" t="s">
        <v>434</v>
      </c>
      <c r="C604" s="1">
        <f>IFERROR(VLOOKUP(1113,'PEDIDO 8'!$C$2:$E$230,3,0),0)</f>
        <v>0</v>
      </c>
      <c r="D604" s="1">
        <f>IFERROR(VLOOKUP(1114,'PEDIDO 8'!$C$2:$E$230,3,0),0)</f>
        <v>0</v>
      </c>
      <c r="E604" s="1">
        <f>IFERROR(VLOOKUP(1115,'PEDIDO 8'!$C$2:$E$230,3,0),0)</f>
        <v>0</v>
      </c>
      <c r="F604" s="1">
        <f>IFERROR(VLOOKUP(1116,'PEDIDO 8'!$C$2:$E$230,3,0),0)</f>
        <v>0</v>
      </c>
      <c r="G604" s="18">
        <f t="shared" si="14"/>
        <v>0</v>
      </c>
    </row>
    <row r="605" spans="1:7" ht="15.75" x14ac:dyDescent="0.25">
      <c r="A605" s="15" t="str">
        <f>'PEDIDO 8'!$B$2</f>
        <v>Salto De Pirapora-Magazine Haddad Ltda</v>
      </c>
      <c r="B605" s="12" t="s">
        <v>435</v>
      </c>
      <c r="C605" s="1">
        <f>IFERROR(VLOOKUP(1117,'PEDIDO 8'!$C$2:$E$230,3,0),0)</f>
        <v>0</v>
      </c>
      <c r="D605" s="1">
        <f>IFERROR(VLOOKUP(1118,'PEDIDO 8'!$C$2:$E$230,3,0),0)</f>
        <v>0</v>
      </c>
      <c r="E605" s="1">
        <f>IFERROR(VLOOKUP(1119,'PEDIDO 8'!$C$2:$E$230,3,0),0)</f>
        <v>0</v>
      </c>
      <c r="F605" s="1">
        <f>IFERROR(VLOOKUP(1120,'PEDIDO 8'!$C$2:$E$230,3,0),0)</f>
        <v>0</v>
      </c>
      <c r="G605" s="18">
        <f t="shared" si="14"/>
        <v>0</v>
      </c>
    </row>
    <row r="606" spans="1:7" ht="15.75" x14ac:dyDescent="0.25">
      <c r="A606" s="15" t="str">
        <f>'PEDIDO 8'!$B$2</f>
        <v>Salto De Pirapora-Magazine Haddad Ltda</v>
      </c>
      <c r="B606" s="12" t="s">
        <v>436</v>
      </c>
      <c r="C606" s="1">
        <f>IFERROR(VLOOKUP(1121,'PEDIDO 8'!$C$2:$E$230,3,0),0)</f>
        <v>0</v>
      </c>
      <c r="D606" s="1">
        <f>IFERROR(VLOOKUP(1122,'PEDIDO 8'!$C$2:$E$230,3,0),0)</f>
        <v>0</v>
      </c>
      <c r="E606" s="1">
        <f>IFERROR(VLOOKUP(1123,'PEDIDO 8'!$C$2:$E$230,3,0),0)</f>
        <v>0</v>
      </c>
      <c r="F606" s="1">
        <f>IFERROR(VLOOKUP(1124,'PEDIDO 8'!$C$2:$E$230,3,0),0)</f>
        <v>0</v>
      </c>
      <c r="G606" s="18">
        <f t="shared" si="14"/>
        <v>0</v>
      </c>
    </row>
    <row r="607" spans="1:7" ht="15.75" x14ac:dyDescent="0.25">
      <c r="A607" s="15" t="str">
        <f>'PEDIDO 8'!$B$2</f>
        <v>Salto De Pirapora-Magazine Haddad Ltda</v>
      </c>
      <c r="B607" s="12" t="s">
        <v>437</v>
      </c>
      <c r="C607" s="1">
        <f>IFERROR(VLOOKUP(1129,'PEDIDO 8'!$C$2:$E$230,3,0),0)</f>
        <v>0</v>
      </c>
      <c r="D607" s="1">
        <f>IFERROR(VLOOKUP(1130,'PEDIDO 8'!$C$2:$E$230,3,0),0)</f>
        <v>0</v>
      </c>
      <c r="E607" s="1">
        <f>IFERROR(VLOOKUP(1131,'PEDIDO 8'!$C$2:$E$230,3,0),0)</f>
        <v>0</v>
      </c>
      <c r="F607" s="1">
        <f>IFERROR(VLOOKUP(1132,'PEDIDO 8'!$C$2:$E$230,3,0),0)</f>
        <v>0</v>
      </c>
      <c r="G607" s="18">
        <f t="shared" si="14"/>
        <v>0</v>
      </c>
    </row>
    <row r="608" spans="1:7" ht="15.75" x14ac:dyDescent="0.25">
      <c r="A608" s="15" t="str">
        <f>'PEDIDO 8'!$B$2</f>
        <v>Salto De Pirapora-Magazine Haddad Ltda</v>
      </c>
      <c r="B608" s="12" t="s">
        <v>438</v>
      </c>
      <c r="C608" s="1">
        <f>IFERROR(VLOOKUP(1137,'PEDIDO 8'!$C$2:$E$230,3,0),0)</f>
        <v>0</v>
      </c>
      <c r="D608" s="1">
        <f>IFERROR(VLOOKUP(1138,'PEDIDO 8'!$C$2:$E$230,3,0),0)</f>
        <v>0</v>
      </c>
      <c r="E608" s="1">
        <f>IFERROR(VLOOKUP(1139,'PEDIDO 8'!$C$2:$E$230,3,0),0)</f>
        <v>0</v>
      </c>
      <c r="F608" s="1">
        <f>IFERROR(VLOOKUP(1140,'PEDIDO 8'!$C$2:$E$230,3,0),0)</f>
        <v>0</v>
      </c>
      <c r="G608" s="18">
        <f t="shared" si="14"/>
        <v>0</v>
      </c>
    </row>
    <row r="609" spans="1:7" ht="15.75" x14ac:dyDescent="0.25">
      <c r="A609" s="15" t="str">
        <f>'PEDIDO 8'!$B$2</f>
        <v>Salto De Pirapora-Magazine Haddad Ltda</v>
      </c>
      <c r="B609" s="12" t="s">
        <v>439</v>
      </c>
      <c r="C609" s="1">
        <f>IFERROR(VLOOKUP(1141,'PEDIDO 8'!$C$2:$E$230,3,0),0)</f>
        <v>0</v>
      </c>
      <c r="D609" s="1">
        <f>IFERROR(VLOOKUP(1142,'PEDIDO 8'!$C$2:$E$230,3,0),0)</f>
        <v>0</v>
      </c>
      <c r="E609" s="1">
        <f>IFERROR(VLOOKUP(1143,'PEDIDO 8'!$C$2:$E$230,3,0),0)</f>
        <v>0</v>
      </c>
      <c r="F609" s="1">
        <f>IFERROR(VLOOKUP(1144,'PEDIDO 8'!$C$2:$E$230,3,0),0)</f>
        <v>0</v>
      </c>
      <c r="G609" s="18">
        <f t="shared" si="14"/>
        <v>0</v>
      </c>
    </row>
    <row r="610" spans="1:7" ht="15.75" x14ac:dyDescent="0.25">
      <c r="A610" s="15" t="str">
        <f>'PEDIDO 8'!$B$2</f>
        <v>Salto De Pirapora-Magazine Haddad Ltda</v>
      </c>
      <c r="B610" s="12" t="s">
        <v>440</v>
      </c>
      <c r="C610" s="1">
        <f>IFERROR(VLOOKUP(1145,'PEDIDO 8'!$C$2:$E$230,3,0),0)</f>
        <v>0</v>
      </c>
      <c r="D610" s="1">
        <f>IFERROR(VLOOKUP(1146,'PEDIDO 8'!$C$2:$E$230,3,0),0)</f>
        <v>0</v>
      </c>
      <c r="E610" s="1">
        <f>IFERROR(VLOOKUP(1147,'PEDIDO 8'!$C$2:$E$230,3,0),0)</f>
        <v>0</v>
      </c>
      <c r="F610" s="1">
        <f>IFERROR(VLOOKUP(1148,'PEDIDO 8'!$C$2:$E$230,3,0),0)</f>
        <v>0</v>
      </c>
      <c r="G610" s="18">
        <f t="shared" si="14"/>
        <v>0</v>
      </c>
    </row>
    <row r="611" spans="1:7" ht="15.75" x14ac:dyDescent="0.25">
      <c r="A611" s="15" t="str">
        <f>'PEDIDO 8'!$B$2</f>
        <v>Salto De Pirapora-Magazine Haddad Ltda</v>
      </c>
      <c r="B611" s="12" t="s">
        <v>441</v>
      </c>
      <c r="C611" s="1">
        <f>IFERROR(VLOOKUP(1149,'PEDIDO 8'!$C$2:$E$230,3,0),0)</f>
        <v>0</v>
      </c>
      <c r="D611" s="1">
        <f>IFERROR(VLOOKUP(1150,'PEDIDO 8'!$C$2:$E$230,3,0),0)</f>
        <v>0</v>
      </c>
      <c r="E611" s="1">
        <f>IFERROR(VLOOKUP(1151,'PEDIDO 8'!$C$2:$E$230,3,0),0)</f>
        <v>0</v>
      </c>
      <c r="F611" s="1">
        <f>IFERROR(VLOOKUP(1152,'PEDIDO 8'!$C$2:$E$230,3,0),0)</f>
        <v>0</v>
      </c>
      <c r="G611" s="18">
        <f t="shared" si="14"/>
        <v>0</v>
      </c>
    </row>
    <row r="612" spans="1:7" ht="15.75" x14ac:dyDescent="0.25">
      <c r="A612" s="15" t="str">
        <f>'PEDIDO 8'!$B$2</f>
        <v>Salto De Pirapora-Magazine Haddad Ltda</v>
      </c>
      <c r="B612" s="12" t="s">
        <v>442</v>
      </c>
      <c r="C612" s="1">
        <f>IFERROR(VLOOKUP(1153,'PEDIDO 8'!$C$2:$E$230,3,0),0)</f>
        <v>0</v>
      </c>
      <c r="D612" s="1">
        <f>IFERROR(VLOOKUP(1154,'PEDIDO 8'!$C$2:$E$230,3,0),0)</f>
        <v>0</v>
      </c>
      <c r="E612" s="1">
        <f>IFERROR(VLOOKUP(1155,'PEDIDO 8'!$C$2:$E$230,3,0),0)</f>
        <v>0</v>
      </c>
      <c r="F612" s="1">
        <f>IFERROR(VLOOKUP(1156,'PEDIDO 8'!$C$2:$E$230,3,0),0)</f>
        <v>0</v>
      </c>
      <c r="G612" s="18">
        <f t="shared" si="14"/>
        <v>0</v>
      </c>
    </row>
    <row r="613" spans="1:7" ht="15.75" x14ac:dyDescent="0.25">
      <c r="A613" s="15" t="str">
        <f>'PEDIDO 8'!$B$2</f>
        <v>Salto De Pirapora-Magazine Haddad Ltda</v>
      </c>
      <c r="B613" s="12" t="s">
        <v>443</v>
      </c>
      <c r="C613" s="1">
        <f>IFERROR(VLOOKUP(1157,'PEDIDO 8'!$C$2:$E$230,3,0),0)</f>
        <v>0</v>
      </c>
      <c r="D613" s="1">
        <f>IFERROR(VLOOKUP(1158,'PEDIDO 8'!$C$2:$E$230,3,0),0)</f>
        <v>0</v>
      </c>
      <c r="E613" s="1">
        <f>IFERROR(VLOOKUP(1159,'PEDIDO 8'!$C$2:$E$230,3,0),0)</f>
        <v>0</v>
      </c>
      <c r="F613" s="1">
        <f>IFERROR(VLOOKUP(1160,'PEDIDO 8'!$C$2:$E$230,3,0),0)</f>
        <v>0</v>
      </c>
      <c r="G613" s="18">
        <f t="shared" si="14"/>
        <v>0</v>
      </c>
    </row>
    <row r="614" spans="1:7" ht="15.75" x14ac:dyDescent="0.25">
      <c r="A614" s="15" t="str">
        <f>'PEDIDO 8'!$B$2</f>
        <v>Salto De Pirapora-Magazine Haddad Ltda</v>
      </c>
      <c r="B614" s="12" t="s">
        <v>444</v>
      </c>
      <c r="C614" s="1">
        <f>IFERROR(VLOOKUP(1161,'PEDIDO 8'!$C$2:$E$230,3,0),0)</f>
        <v>0</v>
      </c>
      <c r="D614" s="1">
        <f>IFERROR(VLOOKUP(1162,'PEDIDO 8'!$C$2:$E$230,3,0),0)</f>
        <v>0</v>
      </c>
      <c r="E614" s="1">
        <f>IFERROR(VLOOKUP(1163,'PEDIDO 8'!$C$2:$E$230,3,0),0)</f>
        <v>0</v>
      </c>
      <c r="F614" s="1">
        <f>IFERROR(VLOOKUP(1164,'PEDIDO 8'!$C$2:$E$230,3,0),0)</f>
        <v>0</v>
      </c>
      <c r="G614" s="18">
        <f t="shared" si="14"/>
        <v>0</v>
      </c>
    </row>
    <row r="615" spans="1:7" ht="15.75" x14ac:dyDescent="0.25">
      <c r="A615" s="15" t="str">
        <f>'PEDIDO 8'!$B$2</f>
        <v>Salto De Pirapora-Magazine Haddad Ltda</v>
      </c>
      <c r="B615" s="12" t="s">
        <v>445</v>
      </c>
      <c r="C615" s="1">
        <f>IFERROR(VLOOKUP(1165,'PEDIDO 8'!$C$2:$E$230,3,0),0)</f>
        <v>0</v>
      </c>
      <c r="D615" s="1">
        <f>IFERROR(VLOOKUP(1166,'PEDIDO 8'!$C$2:$E$230,3,0),0)</f>
        <v>0</v>
      </c>
      <c r="E615" s="1">
        <f>IFERROR(VLOOKUP(1167,'PEDIDO 8'!$C$2:$E$230,3,0),0)</f>
        <v>0</v>
      </c>
      <c r="F615" s="1">
        <f>IFERROR(VLOOKUP(1168,'PEDIDO 8'!$C$2:$E$230,3,0),0)</f>
        <v>0</v>
      </c>
      <c r="G615" s="18">
        <f t="shared" si="14"/>
        <v>0</v>
      </c>
    </row>
    <row r="616" spans="1:7" ht="15.75" x14ac:dyDescent="0.25">
      <c r="A616" s="15" t="str">
        <f>'PEDIDO 8'!$B$2</f>
        <v>Salto De Pirapora-Magazine Haddad Ltda</v>
      </c>
      <c r="B616" s="12" t="s">
        <v>446</v>
      </c>
      <c r="C616" s="1">
        <f>IFERROR(VLOOKUP(1169,'PEDIDO 8'!$C$2:$E$230,3,0),0)</f>
        <v>0</v>
      </c>
      <c r="D616" s="1">
        <f>IFERROR(VLOOKUP(1170,'PEDIDO 8'!$C$2:$E$230,3,0),0)</f>
        <v>0</v>
      </c>
      <c r="E616" s="1">
        <f>IFERROR(VLOOKUP(1171,'PEDIDO 8'!$C$2:$E$230,3,0),0)</f>
        <v>0</v>
      </c>
      <c r="F616" s="1">
        <f>IFERROR(VLOOKUP(1172,'PEDIDO 8'!$C$2:$E$230,3,0),0)</f>
        <v>0</v>
      </c>
      <c r="G616" s="18">
        <f t="shared" si="14"/>
        <v>0</v>
      </c>
    </row>
    <row r="617" spans="1:7" ht="15.75" x14ac:dyDescent="0.25">
      <c r="A617" s="15" t="str">
        <f>'PEDIDO 8'!$B$2</f>
        <v>Salto De Pirapora-Magazine Haddad Ltda</v>
      </c>
      <c r="B617" s="12" t="s">
        <v>447</v>
      </c>
      <c r="C617" s="1">
        <f>IFERROR(VLOOKUP(1173,'PEDIDO 8'!$C$2:$E$230,3,0),0)</f>
        <v>0</v>
      </c>
      <c r="D617" s="1">
        <f>IFERROR(VLOOKUP(1174,'PEDIDO 8'!$C$2:$E$230,3,0),0)</f>
        <v>0</v>
      </c>
      <c r="E617" s="1">
        <f>IFERROR(VLOOKUP(1175,'PEDIDO 8'!$C$2:$E$230,3,0),0)</f>
        <v>0</v>
      </c>
      <c r="F617" s="1">
        <f>IFERROR(VLOOKUP(1176,'PEDIDO 8'!$C$2:$E$230,3,0),0)</f>
        <v>0</v>
      </c>
      <c r="G617" s="18">
        <f t="shared" si="14"/>
        <v>0</v>
      </c>
    </row>
    <row r="618" spans="1:7" ht="15.75" x14ac:dyDescent="0.25">
      <c r="A618" s="15" t="str">
        <f>'PEDIDO 8'!$B$2</f>
        <v>Salto De Pirapora-Magazine Haddad Ltda</v>
      </c>
      <c r="B618" s="12" t="s">
        <v>448</v>
      </c>
      <c r="C618" s="1">
        <f>IFERROR(VLOOKUP(1249,'PEDIDO 8'!$C$2:$E$230,3,0),0)</f>
        <v>0</v>
      </c>
      <c r="D618" s="1">
        <f>IFERROR(VLOOKUP(1250,'PEDIDO 8'!$C$2:$E$230,3,0),0)</f>
        <v>0</v>
      </c>
      <c r="E618" s="1">
        <f>IFERROR(VLOOKUP(1251,'PEDIDO 8'!$C$2:$E$230,3,0),0)</f>
        <v>0</v>
      </c>
      <c r="F618" s="1">
        <f>IFERROR(VLOOKUP(1252,'PEDIDO 8'!$C$2:$E$230,3,0),0)</f>
        <v>0</v>
      </c>
      <c r="G618" s="18">
        <f t="shared" si="14"/>
        <v>0</v>
      </c>
    </row>
    <row r="619" spans="1:7" ht="15.75" x14ac:dyDescent="0.25">
      <c r="A619" s="15" t="str">
        <f>'PEDIDO 8'!$B$2</f>
        <v>Salto De Pirapora-Magazine Haddad Ltda</v>
      </c>
      <c r="B619" s="12" t="s">
        <v>449</v>
      </c>
      <c r="C619" s="1">
        <f>IFERROR(VLOOKUP(1177,'PEDIDO 8'!$C$2:$E$230,3,0),0)</f>
        <v>0</v>
      </c>
      <c r="D619" s="1">
        <f>IFERROR(VLOOKUP(1178,'PEDIDO 8'!$C$2:$E$230,3,0),0)</f>
        <v>0</v>
      </c>
      <c r="E619" s="1">
        <f>IFERROR(VLOOKUP(1179,'PEDIDO 8'!$C$2:$E$230,3,0),0)</f>
        <v>0</v>
      </c>
      <c r="F619" s="1">
        <f>IFERROR(VLOOKUP(1180,'PEDIDO 8'!$C$2:$E$230,3,0),0)</f>
        <v>0</v>
      </c>
      <c r="G619" s="18">
        <f t="shared" si="14"/>
        <v>0</v>
      </c>
    </row>
    <row r="620" spans="1:7" ht="15.75" x14ac:dyDescent="0.25">
      <c r="A620" s="15" t="str">
        <f>'PEDIDO 8'!$B$2</f>
        <v>Salto De Pirapora-Magazine Haddad Ltda</v>
      </c>
      <c r="B620" s="12" t="s">
        <v>450</v>
      </c>
      <c r="C620" s="1">
        <f>IFERROR(VLOOKUP(1181,'PEDIDO 8'!$C$2:$E$230,3,0),0)</f>
        <v>0</v>
      </c>
      <c r="D620" s="1">
        <f>IFERROR(VLOOKUP(1182,'PEDIDO 8'!$C$2:$E$230,3,0),0)</f>
        <v>0</v>
      </c>
      <c r="E620" s="1">
        <f>IFERROR(VLOOKUP(1183,'PEDIDO 8'!$C$2:$E$230,3,0),0)</f>
        <v>0</v>
      </c>
      <c r="F620" s="1">
        <f>IFERROR(VLOOKUP(1184,'PEDIDO 8'!$C$2:$E$230,3,0),0)</f>
        <v>0</v>
      </c>
      <c r="G620" s="18">
        <f t="shared" si="14"/>
        <v>0</v>
      </c>
    </row>
    <row r="621" spans="1:7" ht="15.75" x14ac:dyDescent="0.25">
      <c r="A621" s="15" t="str">
        <f>'PEDIDO 8'!$B$2</f>
        <v>Salto De Pirapora-Magazine Haddad Ltda</v>
      </c>
      <c r="B621" s="12" t="s">
        <v>451</v>
      </c>
      <c r="C621" s="1">
        <f>IFERROR(VLOOKUP(1185,'PEDIDO 8'!$C$2:$E$230,3,0),0)</f>
        <v>0</v>
      </c>
      <c r="D621" s="1">
        <f>IFERROR(VLOOKUP(1186,'PEDIDO 8'!$C$2:$E$230,3,0),0)</f>
        <v>0</v>
      </c>
      <c r="E621" s="1">
        <f>IFERROR(VLOOKUP(1187,'PEDIDO 8'!$C$2:$E$230,3,0),0)</f>
        <v>0</v>
      </c>
      <c r="F621" s="1">
        <f>IFERROR(VLOOKUP(1188,'PEDIDO 8'!$C$2:$E$230,3,0),0)</f>
        <v>0</v>
      </c>
      <c r="G621" s="18">
        <f t="shared" si="14"/>
        <v>0</v>
      </c>
    </row>
    <row r="622" spans="1:7" ht="15.75" x14ac:dyDescent="0.25">
      <c r="A622" s="15" t="str">
        <f>'PEDIDO 8'!$B$2</f>
        <v>Salto De Pirapora-Magazine Haddad Ltda</v>
      </c>
      <c r="B622" s="12" t="s">
        <v>452</v>
      </c>
      <c r="C622" s="1">
        <f>IFERROR(VLOOKUP(1189,'PEDIDO 8'!$C$2:$E$230,3,0),0)</f>
        <v>0</v>
      </c>
      <c r="D622" s="1">
        <f>IFERROR(VLOOKUP(1190,'PEDIDO 8'!$C$2:$E$230,3,0),0)</f>
        <v>0</v>
      </c>
      <c r="E622" s="1">
        <f>IFERROR(VLOOKUP(1191,'PEDIDO 8'!$C$2:$E$230,3,0),0)</f>
        <v>0</v>
      </c>
      <c r="F622" s="1">
        <f>IFERROR(VLOOKUP(1192,'PEDIDO 8'!$C$2:$E$230,3,0),0)</f>
        <v>0</v>
      </c>
      <c r="G622" s="18">
        <f t="shared" si="14"/>
        <v>0</v>
      </c>
    </row>
    <row r="623" spans="1:7" ht="15.75" x14ac:dyDescent="0.25">
      <c r="A623" s="15" t="str">
        <f>'PEDIDO 8'!$B$2</f>
        <v>Salto De Pirapora-Magazine Haddad Ltda</v>
      </c>
      <c r="B623" s="12" t="s">
        <v>453</v>
      </c>
      <c r="C623" s="1">
        <f>IFERROR(VLOOKUP(1193,'PEDIDO 8'!$C$2:$E$230,3,0),0)</f>
        <v>0</v>
      </c>
      <c r="D623" s="1">
        <f>IFERROR(VLOOKUP(1194,'PEDIDO 8'!$C$2:$E$230,3,0),0)</f>
        <v>0</v>
      </c>
      <c r="E623" s="1">
        <f>IFERROR(VLOOKUP(1195,'PEDIDO 8'!$C$2:$E$230,3,0),0)</f>
        <v>0</v>
      </c>
      <c r="F623" s="1">
        <f>IFERROR(VLOOKUP(1196,'PEDIDO 8'!$C$2:$E$230,3,0),0)</f>
        <v>0</v>
      </c>
      <c r="G623" s="18">
        <f t="shared" si="14"/>
        <v>0</v>
      </c>
    </row>
    <row r="624" spans="1:7" ht="15.75" x14ac:dyDescent="0.25">
      <c r="A624" s="15" t="str">
        <f>'PEDIDO 8'!$B$2</f>
        <v>Salto De Pirapora-Magazine Haddad Ltda</v>
      </c>
      <c r="B624" s="12" t="s">
        <v>454</v>
      </c>
      <c r="C624" s="1">
        <f>IFERROR(VLOOKUP(1197,'PEDIDO 8'!$C$2:$E$230,3,0),0)</f>
        <v>0</v>
      </c>
      <c r="D624" s="1">
        <f>IFERROR(VLOOKUP(1198,'PEDIDO 8'!$C$2:$E$230,3,0),0)</f>
        <v>0</v>
      </c>
      <c r="E624" s="1">
        <f>IFERROR(VLOOKUP(1199,'PEDIDO 8'!$C$2:$E$230,3,0),0)</f>
        <v>0</v>
      </c>
      <c r="F624" s="1">
        <f>IFERROR(VLOOKUP(1200,'PEDIDO 8'!$C$2:$E$230,3,0),0)</f>
        <v>0</v>
      </c>
      <c r="G624" s="18">
        <f t="shared" si="14"/>
        <v>0</v>
      </c>
    </row>
    <row r="625" spans="1:7" ht="15.75" x14ac:dyDescent="0.25">
      <c r="A625" s="15" t="str">
        <f>'PEDIDO 8'!$B$2</f>
        <v>Salto De Pirapora-Magazine Haddad Ltda</v>
      </c>
      <c r="B625" s="12" t="s">
        <v>455</v>
      </c>
      <c r="C625" s="1">
        <f>IFERROR(VLOOKUP(1201,'PEDIDO 8'!$C$2:$E$230,3,0),0)</f>
        <v>0</v>
      </c>
      <c r="D625" s="1">
        <f>IFERROR(VLOOKUP(1202,'PEDIDO 8'!$C$2:$E$230,3,0),0)</f>
        <v>0</v>
      </c>
      <c r="E625" s="1">
        <f>IFERROR(VLOOKUP(1203,'PEDIDO 8'!$C$2:$E$230,3,0),0)</f>
        <v>0</v>
      </c>
      <c r="F625" s="1">
        <f>IFERROR(VLOOKUP(1204,'PEDIDO 8'!$C$2:$E$230,3,0),0)</f>
        <v>1</v>
      </c>
      <c r="G625" s="18">
        <f t="shared" si="14"/>
        <v>1</v>
      </c>
    </row>
    <row r="626" spans="1:7" ht="15.75" x14ac:dyDescent="0.25">
      <c r="A626" s="15" t="str">
        <f>'PEDIDO 8'!$B$2</f>
        <v>Salto De Pirapora-Magazine Haddad Ltda</v>
      </c>
      <c r="B626" s="12" t="s">
        <v>456</v>
      </c>
      <c r="C626" s="1">
        <f>IFERROR(VLOOKUP(1205,'PEDIDO 8'!$C$2:$E$230,3,0),0)</f>
        <v>0</v>
      </c>
      <c r="D626" s="1">
        <f>IFERROR(VLOOKUP(1206,'PEDIDO 8'!$C$2:$E$230,3,0),0)</f>
        <v>0</v>
      </c>
      <c r="E626" s="1">
        <f>IFERROR(VLOOKUP(1207,'PEDIDO 8'!$C$2:$E$230,3,0),0)</f>
        <v>0</v>
      </c>
      <c r="F626" s="1">
        <f>IFERROR(VLOOKUP(1208,'PEDIDO 8'!$C$2:$E$230,3,0),0)</f>
        <v>0</v>
      </c>
      <c r="G626" s="18">
        <f t="shared" si="14"/>
        <v>0</v>
      </c>
    </row>
    <row r="627" spans="1:7" ht="15.75" x14ac:dyDescent="0.25">
      <c r="A627" s="15" t="str">
        <f>'PEDIDO 8'!$B$2</f>
        <v>Salto De Pirapora-Magazine Haddad Ltda</v>
      </c>
      <c r="B627" s="12" t="s">
        <v>457</v>
      </c>
      <c r="C627" s="1">
        <f>IFERROR(VLOOKUP(1213,'PEDIDO 8'!$C$2:$E$230,3,0),0)</f>
        <v>0</v>
      </c>
      <c r="D627" s="1">
        <f>IFERROR(VLOOKUP(1214,'PEDIDO 8'!$C$2:$E$230,3,0),0)</f>
        <v>0</v>
      </c>
      <c r="E627" s="1">
        <f>IFERROR(VLOOKUP(1215,'PEDIDO 8'!$C$2:$E$230,3,0),0)</f>
        <v>0</v>
      </c>
      <c r="F627" s="10">
        <f>IFERROR(VLOOKUP(1216,'PEDIDO 8'!$C$2:$E$230,3,0),0)</f>
        <v>0</v>
      </c>
      <c r="G627" s="18">
        <f t="shared" si="14"/>
        <v>0</v>
      </c>
    </row>
    <row r="628" spans="1:7" ht="15.75" x14ac:dyDescent="0.25">
      <c r="A628" s="15" t="str">
        <f>'PEDIDO 8'!$B$2</f>
        <v>Salto De Pirapora-Magazine Haddad Ltda</v>
      </c>
      <c r="B628" s="12" t="s">
        <v>458</v>
      </c>
      <c r="C628" s="1">
        <f>IFERROR(VLOOKUP(1209,'PEDIDO 8'!$C$2:$E$230,3,0),0)</f>
        <v>0</v>
      </c>
      <c r="D628" s="1">
        <f>IFERROR(VLOOKUP(1210,'PEDIDO 8'!$C$2:$E$230,3,0),0)</f>
        <v>0</v>
      </c>
      <c r="E628" s="1">
        <f>IFERROR(VLOOKUP(1211,'PEDIDO 8'!$C$2:$E$230,3,0),0)</f>
        <v>0</v>
      </c>
      <c r="F628" s="1">
        <f>IFERROR(VLOOKUP(1212,'PEDIDO 8'!$C$2:$E$230,3,0),0)</f>
        <v>0</v>
      </c>
      <c r="G628" s="18">
        <f t="shared" si="14"/>
        <v>0</v>
      </c>
    </row>
    <row r="629" spans="1:7" ht="15.75" x14ac:dyDescent="0.25">
      <c r="A629" s="15" t="str">
        <f>'PEDIDO 8'!$B$2</f>
        <v>Salto De Pirapora-Magazine Haddad Ltda</v>
      </c>
      <c r="B629" s="12" t="s">
        <v>459</v>
      </c>
      <c r="C629" s="1">
        <f>IFERROR(VLOOKUP(1217,'PEDIDO 8'!$C$2:$E$230,3,0),0)</f>
        <v>0</v>
      </c>
      <c r="D629" s="1">
        <f>IFERROR(VLOOKUP(1218,'PEDIDO 8'!$C$2:$E$230,3,0),0)</f>
        <v>0</v>
      </c>
      <c r="E629" s="1">
        <f>IFERROR(VLOOKUP(1219,'PEDIDO 8'!$C$2:$E$230,3,0),0)</f>
        <v>0</v>
      </c>
      <c r="F629" s="1">
        <f>IFERROR(VLOOKUP(1220,'PEDIDO 8'!$C$2:$E$230,3,0),0)</f>
        <v>0</v>
      </c>
      <c r="G629" s="18">
        <f t="shared" si="14"/>
        <v>0</v>
      </c>
    </row>
    <row r="630" spans="1:7" ht="15.75" x14ac:dyDescent="0.25">
      <c r="A630" s="15" t="str">
        <f>'PEDIDO 8'!$B$2</f>
        <v>Salto De Pirapora-Magazine Haddad Ltda</v>
      </c>
      <c r="B630" s="12" t="s">
        <v>461</v>
      </c>
      <c r="C630" s="1">
        <f>IFERROR(VLOOKUP(1225,'PEDIDO 8'!$C$2:$E$230,3,0),0)</f>
        <v>0</v>
      </c>
      <c r="D630" s="1">
        <f>IFERROR(VLOOKUP(1226,'PEDIDO 8'!$C$2:$E$230,3,0),0)</f>
        <v>0</v>
      </c>
      <c r="E630" s="1">
        <f>IFERROR(VLOOKUP(1227,'PEDIDO 8'!$C$2:$E$230,3,0),0)</f>
        <v>0</v>
      </c>
      <c r="F630" s="1">
        <f>IFERROR(VLOOKUP(1228,'PEDIDO 8'!$C$2:$E$230,3,0),0)</f>
        <v>0</v>
      </c>
      <c r="G630" s="18">
        <f t="shared" si="14"/>
        <v>0</v>
      </c>
    </row>
    <row r="631" spans="1:7" ht="15.75" x14ac:dyDescent="0.25">
      <c r="A631" s="15" t="str">
        <f>'PEDIDO 8'!$B$2</f>
        <v>Salto De Pirapora-Magazine Haddad Ltda</v>
      </c>
      <c r="B631" s="12" t="s">
        <v>462</v>
      </c>
      <c r="C631" s="1">
        <f>IFERROR(VLOOKUP(1221,'PEDIDO 8'!$C$2:$E$230,3,0),0)</f>
        <v>0</v>
      </c>
      <c r="D631" s="1">
        <f>IFERROR(VLOOKUP(1222,'PEDIDO 8'!$C$2:$E$230,3,0),0)</f>
        <v>0</v>
      </c>
      <c r="E631" s="1">
        <f>IFERROR(VLOOKUP(1223,'PEDIDO 8'!$C$2:$E$230,3,0),0)</f>
        <v>0</v>
      </c>
      <c r="F631" s="1">
        <f>IFERROR(VLOOKUP(1224,'PEDIDO 8'!$C$2:$E$230,3,0),0)</f>
        <v>0</v>
      </c>
      <c r="G631" s="18">
        <f t="shared" si="14"/>
        <v>0</v>
      </c>
    </row>
    <row r="632" spans="1:7" ht="15.75" x14ac:dyDescent="0.25">
      <c r="A632" s="15" t="str">
        <f>'PEDIDO 8'!$B$2</f>
        <v>Salto De Pirapora-Magazine Haddad Ltda</v>
      </c>
      <c r="B632" s="12" t="s">
        <v>460</v>
      </c>
      <c r="C632" s="1">
        <f>IFERROR(VLOOKUP(1229,'PEDIDO 8'!$C$2:$E$230,3,0),0)</f>
        <v>0</v>
      </c>
      <c r="D632" s="1">
        <f>IFERROR(VLOOKUP(1230,'PEDIDO 8'!$C$2:$E$230,3,0),0)</f>
        <v>0</v>
      </c>
      <c r="E632" s="1">
        <f>IFERROR(VLOOKUP(1231,'PEDIDO 8'!$C$2:$E$230,3,0),0)</f>
        <v>0</v>
      </c>
      <c r="F632" s="1">
        <f>IFERROR(VLOOKUP(1232,'PEDIDO 8'!$C$2:$E$230,3,0),0)</f>
        <v>0</v>
      </c>
      <c r="G632" s="18">
        <f t="shared" si="14"/>
        <v>0</v>
      </c>
    </row>
    <row r="633" spans="1:7" ht="15.75" x14ac:dyDescent="0.25">
      <c r="A633" s="15" t="str">
        <f>'PEDIDO 8'!$B$2</f>
        <v>Salto De Pirapora-Magazine Haddad Ltda</v>
      </c>
      <c r="B633" s="12" t="s">
        <v>463</v>
      </c>
      <c r="C633" s="1">
        <f>IFERROR(VLOOKUP(1233,'PEDIDO 8'!$C$2:$E$230,3,0),0)</f>
        <v>0</v>
      </c>
      <c r="D633" s="1">
        <f>IFERROR(VLOOKUP(1234,'PEDIDO 8'!$C$2:$E$230,3,0),0)</f>
        <v>0</v>
      </c>
      <c r="E633" s="1">
        <f>IFERROR(VLOOKUP(1235,'PEDIDO 8'!$C$2:$E$230,3,0),0)</f>
        <v>0</v>
      </c>
      <c r="F633" s="1">
        <f>IFERROR(VLOOKUP(1236,'PEDIDO 8'!$C$2:$E$230,3,0),0)</f>
        <v>0</v>
      </c>
      <c r="G633" s="18">
        <f t="shared" si="14"/>
        <v>0</v>
      </c>
    </row>
    <row r="634" spans="1:7" ht="15.75" x14ac:dyDescent="0.25">
      <c r="A634" s="15" t="str">
        <f>'PEDIDO 8'!$B$2</f>
        <v>Salto De Pirapora-Magazine Haddad Ltda</v>
      </c>
      <c r="B634" s="12" t="s">
        <v>464</v>
      </c>
      <c r="C634" s="1">
        <f>IFERROR(VLOOKUP(1237,'PEDIDO 8'!$C$2:$E$230,3,0),0)</f>
        <v>0</v>
      </c>
      <c r="D634" s="1">
        <f>IFERROR(VLOOKUP(1238,'PEDIDO 8'!$C$2:$E$230,3,0),0)</f>
        <v>0</v>
      </c>
      <c r="E634" s="1">
        <f>IFERROR(VLOOKUP(1239,'PEDIDO 8'!$C$2:$E$230,3,0),0)</f>
        <v>0</v>
      </c>
      <c r="F634" s="1">
        <f>IFERROR(VLOOKUP(1240,'PEDIDO 8'!$C$2:$E$230,3,0),0)</f>
        <v>0</v>
      </c>
      <c r="G634" s="18">
        <f t="shared" ref="G634:G647" si="15">SUM(C634+D634+E634+F634)</f>
        <v>0</v>
      </c>
    </row>
    <row r="635" spans="1:7" ht="15.75" x14ac:dyDescent="0.25">
      <c r="A635" s="15" t="str">
        <f>'PEDIDO 8'!$B$2</f>
        <v>Salto De Pirapora-Magazine Haddad Ltda</v>
      </c>
      <c r="B635" s="12" t="s">
        <v>465</v>
      </c>
      <c r="C635" s="1">
        <f>IFERROR(VLOOKUP(1241,'PEDIDO 8'!$C$2:$E$230,3,0),0)</f>
        <v>0</v>
      </c>
      <c r="D635" s="1">
        <f>IFERROR(VLOOKUP(1242,'PEDIDO 8'!$C$2:$E$230,3,0),0)</f>
        <v>0</v>
      </c>
      <c r="E635" s="1">
        <f>IFERROR(VLOOKUP(1243,'PEDIDO 8'!$C$2:$E$230,3,0),0)</f>
        <v>0</v>
      </c>
      <c r="F635" s="1">
        <f>IFERROR(VLOOKUP(1244,'PEDIDO 8'!$C$2:$E$230,3,0),0)</f>
        <v>0</v>
      </c>
      <c r="G635" s="18">
        <f t="shared" si="15"/>
        <v>0</v>
      </c>
    </row>
    <row r="636" spans="1:7" ht="15.75" x14ac:dyDescent="0.25">
      <c r="A636" s="15" t="str">
        <f>'PEDIDO 8'!$B$2</f>
        <v>Salto De Pirapora-Magazine Haddad Ltda</v>
      </c>
      <c r="B636" s="12" t="s">
        <v>466</v>
      </c>
      <c r="C636" s="1">
        <f>IFERROR(VLOOKUP(1245,'PEDIDO 8'!$C$2:$E$230,3,0),0)</f>
        <v>0</v>
      </c>
      <c r="D636" s="1">
        <f>IFERROR(VLOOKUP(1246,'PEDIDO 8'!$C$2:$E$230,3,0),0)</f>
        <v>0</v>
      </c>
      <c r="E636" s="1">
        <f>IFERROR(VLOOKUP(1247,'PEDIDO 8'!$C$2:$E$230,3,0),0)</f>
        <v>0</v>
      </c>
      <c r="F636" s="1">
        <f>IFERROR(VLOOKUP(1248,'PEDIDO 8'!$C$2:$E$230,3,0),0)</f>
        <v>0</v>
      </c>
      <c r="G636" s="18">
        <f t="shared" si="15"/>
        <v>0</v>
      </c>
    </row>
    <row r="637" spans="1:7" ht="15.75" x14ac:dyDescent="0.25">
      <c r="A637" s="15" t="str">
        <f>'PEDIDO 8'!$B$2</f>
        <v>Salto De Pirapora-Magazine Haddad Ltda</v>
      </c>
      <c r="B637" s="12" t="s">
        <v>467</v>
      </c>
      <c r="C637" s="1">
        <f>IFERROR(VLOOKUP(25714,'PEDIDO 8'!$C$2:$E$230,3,0),0)</f>
        <v>0</v>
      </c>
      <c r="D637" s="1"/>
      <c r="E637" s="1"/>
      <c r="F637" s="1"/>
      <c r="G637" s="18">
        <f t="shared" si="15"/>
        <v>0</v>
      </c>
    </row>
    <row r="638" spans="1:7" ht="15.75" x14ac:dyDescent="0.25">
      <c r="A638" s="15" t="str">
        <f>'PEDIDO 8'!$B$2</f>
        <v>Salto De Pirapora-Magazine Haddad Ltda</v>
      </c>
      <c r="B638" s="12" t="s">
        <v>468</v>
      </c>
      <c r="C638" s="1">
        <f>IFERROR(VLOOKUP(25712,'PEDIDO 8'!$C$2:$E$230,3,0),0)</f>
        <v>0</v>
      </c>
      <c r="D638" s="1"/>
      <c r="E638" s="1"/>
      <c r="F638" s="1"/>
      <c r="G638" s="18">
        <f t="shared" si="15"/>
        <v>0</v>
      </c>
    </row>
    <row r="639" spans="1:7" ht="15.75" x14ac:dyDescent="0.25">
      <c r="A639" s="15" t="str">
        <f>'PEDIDO 8'!$B$2</f>
        <v>Salto De Pirapora-Magazine Haddad Ltda</v>
      </c>
      <c r="B639" s="12" t="s">
        <v>469</v>
      </c>
      <c r="C639" s="1">
        <f>IFERROR(VLOOKUP(25713,'PEDIDO 8'!$C$2:$E$230,3,0),0)</f>
        <v>0</v>
      </c>
      <c r="D639" s="1"/>
      <c r="E639" s="1"/>
      <c r="F639" s="1"/>
      <c r="G639" s="18">
        <f t="shared" si="15"/>
        <v>0</v>
      </c>
    </row>
    <row r="640" spans="1:7" ht="15.75" x14ac:dyDescent="0.25">
      <c r="A640" s="15" t="str">
        <f>'PEDIDO 8'!$B$2</f>
        <v>Salto De Pirapora-Magazine Haddad Ltda</v>
      </c>
      <c r="B640" s="12" t="s">
        <v>470</v>
      </c>
      <c r="C640" s="1">
        <f>IFERROR(VLOOKUP(1260,'PEDIDO 8'!$C$2:$E$230,3,0),0)</f>
        <v>0</v>
      </c>
      <c r="D640" s="1"/>
      <c r="E640" s="1"/>
      <c r="F640" s="1"/>
      <c r="G640" s="18">
        <f t="shared" si="15"/>
        <v>0</v>
      </c>
    </row>
    <row r="641" spans="1:7" ht="15.75" x14ac:dyDescent="0.25">
      <c r="A641" s="15" t="str">
        <f>'PEDIDO 8'!$B$2</f>
        <v>Salto De Pirapora-Magazine Haddad Ltda</v>
      </c>
      <c r="B641" s="12" t="s">
        <v>471</v>
      </c>
      <c r="C641" s="1">
        <f>IFERROR(VLOOKUP(1261,'PEDIDO 8'!$C$2:$E$230,3,0),0)</f>
        <v>0</v>
      </c>
      <c r="D641" s="1"/>
      <c r="E641" s="1"/>
      <c r="F641" s="1"/>
      <c r="G641" s="18">
        <f t="shared" si="15"/>
        <v>0</v>
      </c>
    </row>
    <row r="642" spans="1:7" ht="15.75" x14ac:dyDescent="0.25">
      <c r="A642" s="15" t="str">
        <f>'PEDIDO 8'!$B$2</f>
        <v>Salto De Pirapora-Magazine Haddad Ltda</v>
      </c>
      <c r="B642" s="12" t="s">
        <v>472</v>
      </c>
      <c r="C642" s="1">
        <f>IFERROR(VLOOKUP(1262,'PEDIDO 8'!$C$2:$E$230,3,0),0)</f>
        <v>0</v>
      </c>
      <c r="D642" s="1"/>
      <c r="E642" s="1"/>
      <c r="F642" s="1"/>
      <c r="G642" s="18">
        <f t="shared" si="15"/>
        <v>0</v>
      </c>
    </row>
    <row r="643" spans="1:7" ht="15.75" x14ac:dyDescent="0.25">
      <c r="A643" s="15" t="str">
        <f>'PEDIDO 8'!$B$2</f>
        <v>Salto De Pirapora-Magazine Haddad Ltda</v>
      </c>
      <c r="B643" s="12" t="s">
        <v>473</v>
      </c>
      <c r="C643" s="1">
        <f>IFERROR(VLOOKUP(1263,'PEDIDO 8'!$C$2:$E$230,3,0),0)</f>
        <v>0</v>
      </c>
      <c r="D643" s="1"/>
      <c r="E643" s="1"/>
      <c r="F643" s="1"/>
      <c r="G643" s="18">
        <f t="shared" si="15"/>
        <v>0</v>
      </c>
    </row>
    <row r="644" spans="1:7" ht="15.75" x14ac:dyDescent="0.25">
      <c r="A644" s="15" t="str">
        <f>'PEDIDO 8'!$B$2</f>
        <v>Salto De Pirapora-Magazine Haddad Ltda</v>
      </c>
      <c r="B644" s="12" t="s">
        <v>474</v>
      </c>
      <c r="C644" s="1">
        <f>IFERROR(VLOOKUP(1264,'PEDIDO 8'!$C$2:$E$230,3,0),0)</f>
        <v>0</v>
      </c>
      <c r="D644" s="1"/>
      <c r="E644" s="1"/>
      <c r="F644" s="1"/>
      <c r="G644" s="18">
        <f t="shared" si="15"/>
        <v>0</v>
      </c>
    </row>
    <row r="645" spans="1:7" ht="15.75" x14ac:dyDescent="0.25">
      <c r="A645" s="15" t="str">
        <f>'PEDIDO 8'!$B$2</f>
        <v>Salto De Pirapora-Magazine Haddad Ltda</v>
      </c>
      <c r="B645" s="12" t="s">
        <v>475</v>
      </c>
      <c r="C645" s="1">
        <f>IFERROR(VLOOKUP(1265,'PEDIDO 8'!$C$2:$E$230,3,0),0)</f>
        <v>0</v>
      </c>
      <c r="D645" s="1"/>
      <c r="E645" s="1"/>
      <c r="F645" s="1"/>
      <c r="G645" s="18">
        <f t="shared" si="15"/>
        <v>0</v>
      </c>
    </row>
    <row r="646" spans="1:7" ht="15.75" x14ac:dyDescent="0.25">
      <c r="A646" s="15" t="str">
        <f>'PEDIDO 8'!$B$2</f>
        <v>Salto De Pirapora-Magazine Haddad Ltda</v>
      </c>
      <c r="B646" s="12" t="s">
        <v>476</v>
      </c>
      <c r="C646" s="1">
        <f>IFERROR(VLOOKUP(1266,'PEDIDO 8'!$C$2:$E$230,3,0),0)</f>
        <v>0</v>
      </c>
      <c r="D646" s="1"/>
      <c r="E646" s="1"/>
      <c r="F646" s="1"/>
      <c r="G646" s="18">
        <f t="shared" si="15"/>
        <v>0</v>
      </c>
    </row>
    <row r="647" spans="1:7" ht="15.75" x14ac:dyDescent="0.25">
      <c r="A647" s="15" t="str">
        <f>'PEDIDO 8'!$B$2</f>
        <v>Salto De Pirapora-Magazine Haddad Ltda</v>
      </c>
      <c r="B647" s="12" t="s">
        <v>477</v>
      </c>
      <c r="C647" s="1">
        <f>IFERROR(VLOOKUP(1268,'PEDIDO 8'!$C$2:$E$230,3,0),0)</f>
        <v>0</v>
      </c>
      <c r="D647" s="1">
        <f>IFERROR(VLOOKUP(1269,'PEDIDO 8'!$C$2:$E$230,3,0),0)</f>
        <v>0</v>
      </c>
      <c r="E647" s="1">
        <f>IFERROR(VLOOKUP(1270,'PEDIDO 8'!$C$2:$E$230,3,0),0)</f>
        <v>0</v>
      </c>
      <c r="F647" s="1">
        <f>IFERROR(VLOOKUP(1271,'PEDIDO 8'!$C$2:$E$230,3,0),0)</f>
        <v>0</v>
      </c>
      <c r="G647" s="18">
        <f t="shared" si="15"/>
        <v>0</v>
      </c>
    </row>
    <row r="648" spans="1:7" ht="15.75" x14ac:dyDescent="0.25">
      <c r="A648" s="17"/>
      <c r="B648" s="13"/>
      <c r="C648" s="13"/>
      <c r="D648" s="13"/>
      <c r="E648" s="13"/>
      <c r="F648" s="13"/>
      <c r="G648" s="19"/>
    </row>
    <row r="649" spans="1:7" ht="15.75" x14ac:dyDescent="0.25">
      <c r="A649" s="17"/>
      <c r="B649" s="13"/>
      <c r="C649" s="13"/>
      <c r="D649" s="13"/>
      <c r="E649" s="13"/>
      <c r="F649" s="13"/>
      <c r="G649" s="19"/>
    </row>
    <row r="650" spans="1:7" ht="15.75" x14ac:dyDescent="0.25">
      <c r="A650" s="15" t="str">
        <f>'PEDIDO 9'!$B$2</f>
        <v>Salto De Pirapora-Magazine Haddad Ltda</v>
      </c>
      <c r="B650" s="12" t="s">
        <v>399</v>
      </c>
      <c r="C650" s="1">
        <f>IFERROR(VLOOKUP(1,'PEDIDO 9'!$C$2:$E$230,3,0),0)</f>
        <v>0</v>
      </c>
      <c r="D650" s="1">
        <f>IFERROR(VLOOKUP(2,'PEDIDO 9'!$C$2:$E$230,3,0),0)</f>
        <v>0</v>
      </c>
      <c r="E650" s="1">
        <f>IFERROR(VLOOKUP(3,'PEDIDO 9'!$C$2:$E$230,3,0),0)</f>
        <v>0</v>
      </c>
      <c r="F650" s="1">
        <f>IFERROR(VLOOKUP(282,'PEDIDO 9'!$C$2:$E$230,3,0),0)</f>
        <v>0</v>
      </c>
      <c r="G650" s="18">
        <f>SUM(C650+D650+E650+F650)</f>
        <v>0</v>
      </c>
    </row>
    <row r="651" spans="1:7" ht="15.75" x14ac:dyDescent="0.25">
      <c r="A651" s="15" t="str">
        <f>'PEDIDO 9'!$B$2</f>
        <v>Salto De Pirapora-Magazine Haddad Ltda</v>
      </c>
      <c r="B651" s="12" t="s">
        <v>400</v>
      </c>
      <c r="C651" s="1">
        <f>IFERROR(VLOOKUP(5,'PEDIDO 9'!$C$2:$E$230,3,0),0)</f>
        <v>0</v>
      </c>
      <c r="D651" s="1">
        <f>IFERROR(VLOOKUP(6,'PEDIDO 9'!$C$2:$E$230,3,0),0)</f>
        <v>0</v>
      </c>
      <c r="E651" s="1">
        <f>IFERROR(VLOOKUP(7,'PEDIDO 9'!$C$2:$E$230,3,0),0)</f>
        <v>0</v>
      </c>
      <c r="F651" s="1">
        <f>IFERROR(VLOOKUP(258,'PEDIDO 9'!$C$2:$E$230,3,0),0)</f>
        <v>56</v>
      </c>
      <c r="G651" s="18">
        <f t="shared" ref="G651:G714" si="16">SUM(C651+D651+E651+F651)</f>
        <v>56</v>
      </c>
    </row>
    <row r="652" spans="1:7" ht="15.75" x14ac:dyDescent="0.25">
      <c r="A652" s="15" t="str">
        <f>'PEDIDO 9'!$B$2</f>
        <v>Salto De Pirapora-Magazine Haddad Ltda</v>
      </c>
      <c r="B652" s="12" t="s">
        <v>401</v>
      </c>
      <c r="C652" s="1">
        <f>IFERROR(VLOOKUP(13,'PEDIDO 9'!$C$2:$E$230,3,0),0)</f>
        <v>0</v>
      </c>
      <c r="D652" s="1">
        <f>IFERROR(VLOOKUP(14,'PEDIDO 9'!$C$2:$E$230,3,0),0)</f>
        <v>0</v>
      </c>
      <c r="E652" s="1">
        <f>IFERROR(VLOOKUP(15,'PEDIDO 9'!$C$2:$E$230,3,0),0)</f>
        <v>0</v>
      </c>
      <c r="F652" s="1">
        <f>IFERROR(VLOOKUP(289,'PEDIDO 9'!$C$2:$E$230,3,0),0)</f>
        <v>0</v>
      </c>
      <c r="G652" s="18">
        <f t="shared" si="16"/>
        <v>0</v>
      </c>
    </row>
    <row r="653" spans="1:7" ht="15.75" x14ac:dyDescent="0.25">
      <c r="A653" s="15" t="str">
        <f>'PEDIDO 9'!$B$2</f>
        <v>Salto De Pirapora-Magazine Haddad Ltda</v>
      </c>
      <c r="B653" s="12" t="s">
        <v>402</v>
      </c>
      <c r="C653" s="1">
        <f>IFERROR(VLOOKUP(267,'PEDIDO 9'!$C$2:$E$230,3,0),0)</f>
        <v>0</v>
      </c>
      <c r="D653" s="1">
        <f>IFERROR(VLOOKUP(268,'PEDIDO 9'!$C$2:$E$230,3,0),0)</f>
        <v>0</v>
      </c>
      <c r="E653" s="1">
        <f>IFERROR(VLOOKUP(270,'PEDIDO 9'!$C$2:$E$230,3,0),0)</f>
        <v>0</v>
      </c>
      <c r="F653" s="1">
        <f>IFERROR(VLOOKUP(269,'PEDIDO 9'!$C$2:$E$230,3,0),0)</f>
        <v>0</v>
      </c>
      <c r="G653" s="18">
        <f t="shared" si="16"/>
        <v>0</v>
      </c>
    </row>
    <row r="654" spans="1:7" ht="15.75" x14ac:dyDescent="0.25">
      <c r="A654" s="15" t="str">
        <f>'PEDIDO 9'!$B$2</f>
        <v>Salto De Pirapora-Magazine Haddad Ltda</v>
      </c>
      <c r="B654" s="12" t="s">
        <v>403</v>
      </c>
      <c r="C654" s="1">
        <f>IFERROR(VLOOKUP(17,'PEDIDO 9'!$C$2:$E$230,3,0),0)</f>
        <v>0</v>
      </c>
      <c r="D654" s="1">
        <f>IFERROR(VLOOKUP(18,'PEDIDO 9'!$C$2:$E$230,3,0),0)</f>
        <v>0</v>
      </c>
      <c r="E654" s="1">
        <f>IFERROR(VLOOKUP(19,'PEDIDO 9'!$C$2:$E$230,3,0),0)</f>
        <v>0</v>
      </c>
      <c r="F654" s="1">
        <f>IFERROR(VLOOKUP(290,'PEDIDO 9'!$C$2:$E$230,3,0),0)</f>
        <v>0</v>
      </c>
      <c r="G654" s="18">
        <f t="shared" si="16"/>
        <v>0</v>
      </c>
    </row>
    <row r="655" spans="1:7" ht="15.75" x14ac:dyDescent="0.25">
      <c r="A655" s="15" t="str">
        <f>'PEDIDO 9'!$B$2</f>
        <v>Salto De Pirapora-Magazine Haddad Ltda</v>
      </c>
      <c r="B655" s="12" t="s">
        <v>404</v>
      </c>
      <c r="C655" s="1">
        <f>IFERROR(VLOOKUP(23,'PEDIDO 9'!$C$2:$E$230,3,0),0)</f>
        <v>0</v>
      </c>
      <c r="D655" s="1">
        <f>IFERROR(VLOOKUP(24,'PEDIDO 9'!$C$2:$E$230,3,0),0)</f>
        <v>0</v>
      </c>
      <c r="E655" s="1">
        <f>IFERROR(VLOOKUP(25,'PEDIDO 9'!$C$2:$E$230,3,0),0)</f>
        <v>0</v>
      </c>
      <c r="F655" s="1">
        <f>IFERROR(VLOOKUP(291,'PEDIDO 9'!$C$2:$E$230,3,0),0)</f>
        <v>0</v>
      </c>
      <c r="G655" s="18">
        <f t="shared" si="16"/>
        <v>0</v>
      </c>
    </row>
    <row r="656" spans="1:7" ht="15.75" x14ac:dyDescent="0.25">
      <c r="A656" s="15" t="str">
        <f>'PEDIDO 9'!$B$2</f>
        <v>Salto De Pirapora-Magazine Haddad Ltda</v>
      </c>
      <c r="B656" s="12" t="s">
        <v>405</v>
      </c>
      <c r="C656" s="1">
        <f>IFERROR(VLOOKUP(27,'PEDIDO 9'!$C$2:$E$230,3,0),0)</f>
        <v>0</v>
      </c>
      <c r="D656" s="1">
        <f>IFERROR(VLOOKUP(28,'PEDIDO 9'!$C$2:$E$230,3,0),0)</f>
        <v>0</v>
      </c>
      <c r="E656" s="1">
        <f>IFERROR(VLOOKUP(29,'PEDIDO 9'!$C$2:$E$230,3,0),0)</f>
        <v>0</v>
      </c>
      <c r="F656" s="1">
        <f>IFERROR(VLOOKUP(292,'PEDIDO 9'!$C$2:$E$230,3,0),0)</f>
        <v>0</v>
      </c>
      <c r="G656" s="18">
        <f t="shared" si="16"/>
        <v>0</v>
      </c>
    </row>
    <row r="657" spans="1:7" ht="15.75" x14ac:dyDescent="0.25">
      <c r="A657" s="15" t="str">
        <f>'PEDIDO 9'!$B$2</f>
        <v>Salto De Pirapora-Magazine Haddad Ltda</v>
      </c>
      <c r="B657" s="12" t="s">
        <v>406</v>
      </c>
      <c r="C657" s="1">
        <f>IFERROR(VLOOKUP(227,'PEDIDO 9'!$C$2:$E$230,3,0),0)</f>
        <v>0</v>
      </c>
      <c r="D657" s="1">
        <f>IFERROR(VLOOKUP(228,'PEDIDO 9'!$C$2:$E$230,3,0),0)</f>
        <v>0</v>
      </c>
      <c r="E657" s="1">
        <f>IFERROR(VLOOKUP(229,'PEDIDO 9'!$C$2:$E$230,3,0),0)</f>
        <v>0</v>
      </c>
      <c r="F657" s="1">
        <f>IFERROR(VLOOKUP(230,'PEDIDO 9'!$C$2:$E$230,3,0),0)</f>
        <v>10</v>
      </c>
      <c r="G657" s="18">
        <f t="shared" si="16"/>
        <v>10</v>
      </c>
    </row>
    <row r="658" spans="1:7" ht="15.75" x14ac:dyDescent="0.25">
      <c r="A658" s="15" t="str">
        <f>'PEDIDO 9'!$B$2</f>
        <v>Salto De Pirapora-Magazine Haddad Ltda</v>
      </c>
      <c r="B658" s="12" t="s">
        <v>407</v>
      </c>
      <c r="C658" s="1">
        <f>IFERROR(VLOOKUP(231,'PEDIDO 9'!$C$2:$E$230,3,0),0)</f>
        <v>0</v>
      </c>
      <c r="D658" s="1">
        <f>IFERROR(VLOOKUP(232,'PEDIDO 9'!$C$2:$E$230,3,0),0)</f>
        <v>0</v>
      </c>
      <c r="E658" s="1">
        <f>IFERROR(VLOOKUP(234,'PEDIDO 9'!$C$2:$E$230,3,0),0)</f>
        <v>0</v>
      </c>
      <c r="F658" s="1">
        <f>IFERROR(VLOOKUP(233,'PEDIDO 9'!$C$2:$E$230,3,0),0)</f>
        <v>0</v>
      </c>
      <c r="G658" s="18">
        <f t="shared" si="16"/>
        <v>0</v>
      </c>
    </row>
    <row r="659" spans="1:7" ht="15.75" x14ac:dyDescent="0.25">
      <c r="A659" s="15" t="str">
        <f>'PEDIDO 9'!$B$2</f>
        <v>Salto De Pirapora-Magazine Haddad Ltda</v>
      </c>
      <c r="B659" s="12" t="s">
        <v>408</v>
      </c>
      <c r="C659" s="1">
        <f>IFERROR(VLOOKUP(237,'PEDIDO 9'!$C$2:$E$230,3,0),0)</f>
        <v>0</v>
      </c>
      <c r="D659" s="1">
        <f>IFERROR(VLOOKUP(238,'PEDIDO 9'!$C$2:$E$230,3,0),0)</f>
        <v>0</v>
      </c>
      <c r="E659" s="1">
        <f>IFERROR(VLOOKUP(240,'PEDIDO 9'!$C$2:$E$230,3,0),0)</f>
        <v>0</v>
      </c>
      <c r="F659" s="1">
        <f>IFERROR(VLOOKUP(239,'PEDIDO 9'!$C$2:$E$230,3,0),0)</f>
        <v>0</v>
      </c>
      <c r="G659" s="18">
        <f t="shared" si="16"/>
        <v>0</v>
      </c>
    </row>
    <row r="660" spans="1:7" ht="15.75" x14ac:dyDescent="0.25">
      <c r="A660" s="15" t="str">
        <f>'PEDIDO 9'!$B$2</f>
        <v>Salto De Pirapora-Magazine Haddad Ltda</v>
      </c>
      <c r="B660" s="12" t="s">
        <v>409</v>
      </c>
      <c r="C660" s="1">
        <f>IFERROR(VLOOKUP(25707,'PEDIDO 9'!$C$2:$E$230,3,0),0)</f>
        <v>0</v>
      </c>
      <c r="D660" s="1">
        <f>IFERROR(VLOOKUP(25708,'PEDIDO 9'!$C$2:$E$230,3,0),0)</f>
        <v>0</v>
      </c>
      <c r="E660" s="1">
        <f>IFERROR(VLOOKUP(25710,'PEDIDO 9'!$C$2:$E$230,3,0),0)</f>
        <v>0</v>
      </c>
      <c r="F660" s="1">
        <f>IFERROR(VLOOKUP(25709,'PEDIDO 9'!$C$2:$E$230,3,0),0)</f>
        <v>0</v>
      </c>
      <c r="G660" s="18">
        <f t="shared" si="16"/>
        <v>0</v>
      </c>
    </row>
    <row r="661" spans="1:7" ht="15.75" x14ac:dyDescent="0.25">
      <c r="A661" s="15" t="str">
        <f>'PEDIDO 9'!$B$2</f>
        <v>Salto De Pirapora-Magazine Haddad Ltda</v>
      </c>
      <c r="B661" s="12" t="s">
        <v>410</v>
      </c>
      <c r="C661" s="1">
        <f>IFERROR(VLOOKUP(25711,'PEDIDO 9'!$C$2:$E$230,3,0),0)</f>
        <v>0</v>
      </c>
      <c r="D661" s="1"/>
      <c r="E661" s="1"/>
      <c r="F661" s="1"/>
      <c r="G661" s="18">
        <f t="shared" si="16"/>
        <v>0</v>
      </c>
    </row>
    <row r="662" spans="1:7" ht="15.75" x14ac:dyDescent="0.25">
      <c r="A662" s="15" t="str">
        <f>'PEDIDO 9'!$B$2</f>
        <v>Salto De Pirapora-Magazine Haddad Ltda</v>
      </c>
      <c r="B662" s="12" t="s">
        <v>411</v>
      </c>
      <c r="C662" s="1">
        <f>IFERROR(VLOOKUP(35,'PEDIDO 9'!$C$2:$E$230,3,0),0)</f>
        <v>0</v>
      </c>
      <c r="D662" s="1">
        <f>IFERROR(VLOOKUP(36,'PEDIDO 9'!$C$2:$E$230,3,0),0)</f>
        <v>0</v>
      </c>
      <c r="E662" s="1">
        <f>IFERROR(VLOOKUP(37,'PEDIDO 9'!$C$2:$E$230,3,0),0)</f>
        <v>0</v>
      </c>
      <c r="F662" s="1">
        <f>IFERROR(VLOOKUP(294,'PEDIDO 9'!$C$2:$E$230,3,0),0)</f>
        <v>0</v>
      </c>
      <c r="G662" s="18">
        <f t="shared" si="16"/>
        <v>0</v>
      </c>
    </row>
    <row r="663" spans="1:7" ht="15.75" x14ac:dyDescent="0.25">
      <c r="A663" s="15" t="str">
        <f>'PEDIDO 9'!$B$2</f>
        <v>Salto De Pirapora-Magazine Haddad Ltda</v>
      </c>
      <c r="B663" s="12" t="s">
        <v>412</v>
      </c>
      <c r="C663" s="1">
        <f>IFERROR(VLOOKUP(39,'PEDIDO 9'!$C$2:$E$230,3,0),0)</f>
        <v>0</v>
      </c>
      <c r="D663" s="1">
        <f>IFERROR(VLOOKUP(40,'PEDIDO 9'!$C$2:$E$230,3,0),0)</f>
        <v>0</v>
      </c>
      <c r="E663" s="1">
        <f>IFERROR(VLOOKUP(42,'PEDIDO 9'!$C$2:$E$230,3,0),0)</f>
        <v>0</v>
      </c>
      <c r="F663" s="1">
        <f>IFERROR(VLOOKUP(295,'PEDIDO 9'!$C$2:$E$230,3,0),0)</f>
        <v>0</v>
      </c>
      <c r="G663" s="18">
        <f t="shared" si="16"/>
        <v>0</v>
      </c>
    </row>
    <row r="664" spans="1:7" ht="15.75" x14ac:dyDescent="0.25">
      <c r="A664" s="15" t="str">
        <f>'PEDIDO 9'!$B$2</f>
        <v>Salto De Pirapora-Magazine Haddad Ltda</v>
      </c>
      <c r="B664" s="12" t="s">
        <v>413</v>
      </c>
      <c r="C664" s="1">
        <f>IFERROR(VLOOKUP(44,'PEDIDO 9'!$C$2:$E$230,3,0),0)</f>
        <v>0</v>
      </c>
      <c r="D664" s="1">
        <f>IFERROR(VLOOKUP(45,'PEDIDO 9'!$C$2:$E$230,3,0),0)</f>
        <v>0</v>
      </c>
      <c r="E664" s="1">
        <f>IFERROR(VLOOKUP(46,'PEDIDO 9'!$C$2:$E$230,3,0),0)</f>
        <v>0</v>
      </c>
      <c r="F664" s="1">
        <f>IFERROR(VLOOKUP(283,'PEDIDO 9'!$C$2:$E$230,3,0),0)</f>
        <v>3</v>
      </c>
      <c r="G664" s="18">
        <f t="shared" si="16"/>
        <v>3</v>
      </c>
    </row>
    <row r="665" spans="1:7" ht="15.75" x14ac:dyDescent="0.25">
      <c r="A665" s="15" t="str">
        <f>'PEDIDO 9'!$B$2</f>
        <v>Salto De Pirapora-Magazine Haddad Ltda</v>
      </c>
      <c r="B665" s="12" t="s">
        <v>414</v>
      </c>
      <c r="C665" s="1">
        <f>IFERROR(VLOOKUP(48,'PEDIDO 9'!$C$2:$E$230,3,0),0)</f>
        <v>0</v>
      </c>
      <c r="D665" s="1">
        <f>IFERROR(VLOOKUP(49,'PEDIDO 9'!$C$2:$E$230,3,0),0)</f>
        <v>0</v>
      </c>
      <c r="E665" s="1">
        <f>IFERROR(VLOOKUP(50,'PEDIDO 9'!$C$2:$E$230,3,0),0)</f>
        <v>0</v>
      </c>
      <c r="F665" s="1">
        <f>IFERROR(VLOOKUP(298,'PEDIDO 9'!$C$2:$E$230,3,0),0)</f>
        <v>3</v>
      </c>
      <c r="G665" s="18">
        <f t="shared" si="16"/>
        <v>3</v>
      </c>
    </row>
    <row r="666" spans="1:7" ht="15.75" x14ac:dyDescent="0.25">
      <c r="A666" s="15" t="str">
        <f>'PEDIDO 9'!$B$2</f>
        <v>Salto De Pirapora-Magazine Haddad Ltda</v>
      </c>
      <c r="B666" s="12" t="s">
        <v>415</v>
      </c>
      <c r="C666" s="1">
        <f>IFERROR(VLOOKUP(52,'PEDIDO 9'!$C$2:$E$230,3,0),0)</f>
        <v>0</v>
      </c>
      <c r="D666" s="1">
        <f>IFERROR(VLOOKUP(53,'PEDIDO 9'!$C$2:$E$230,3,0),0)</f>
        <v>0</v>
      </c>
      <c r="E666" s="1">
        <f>IFERROR(VLOOKUP(54,'PEDIDO 9'!$C$2:$E$230,3,0),0)</f>
        <v>0</v>
      </c>
      <c r="F666" s="1">
        <f>IFERROR(VLOOKUP(299,'PEDIDO 9'!$C$2:$E$230,3,0),0)</f>
        <v>0</v>
      </c>
      <c r="G666" s="18">
        <f t="shared" si="16"/>
        <v>0</v>
      </c>
    </row>
    <row r="667" spans="1:7" ht="15.75" x14ac:dyDescent="0.25">
      <c r="A667" s="15" t="str">
        <f>'PEDIDO 9'!$B$2</f>
        <v>Salto De Pirapora-Magazine Haddad Ltda</v>
      </c>
      <c r="B667" s="12" t="s">
        <v>416</v>
      </c>
      <c r="C667" s="1">
        <f>IFERROR(VLOOKUP(56,'PEDIDO 9'!$C$2:$E$230,3,0),0)</f>
        <v>0</v>
      </c>
      <c r="D667" s="1">
        <f>IFERROR(VLOOKUP(61,'PEDIDO 9'!$C$2:$E$230,3,0),0)</f>
        <v>0</v>
      </c>
      <c r="E667" s="1">
        <f>IFERROR(VLOOKUP(58,'PEDIDO 9'!$C$2:$E$230,3,0),0)</f>
        <v>0</v>
      </c>
      <c r="F667" s="1">
        <f>IFERROR(VLOOKUP(300,'PEDIDO 9'!$C$2:$E$230,3,0),0)</f>
        <v>2</v>
      </c>
      <c r="G667" s="18">
        <f t="shared" si="16"/>
        <v>2</v>
      </c>
    </row>
    <row r="668" spans="1:7" ht="15.75" x14ac:dyDescent="0.25">
      <c r="A668" s="15" t="str">
        <f>'PEDIDO 9'!$B$2</f>
        <v>Salto De Pirapora-Magazine Haddad Ltda</v>
      </c>
      <c r="B668" s="12" t="s">
        <v>417</v>
      </c>
      <c r="C668" s="1">
        <f>IFERROR(VLOOKUP(60,'PEDIDO 9'!$C$2:$E$230,3,0),0)</f>
        <v>0</v>
      </c>
      <c r="D668" s="1">
        <f>IFERROR(VLOOKUP(120,'PEDIDO 9'!$C$2:$E$230,3,0),0)</f>
        <v>0</v>
      </c>
      <c r="E668" s="1">
        <f>IFERROR(VLOOKUP(62,'PEDIDO 9'!$C$2:$E$230,3,0),0)</f>
        <v>0</v>
      </c>
      <c r="F668" s="1">
        <f>IFERROR(VLOOKUP(301,'PEDIDO 9'!$C$2:$E$230,3,0),0)</f>
        <v>0</v>
      </c>
      <c r="G668" s="18">
        <f t="shared" si="16"/>
        <v>0</v>
      </c>
    </row>
    <row r="669" spans="1:7" ht="15.75" x14ac:dyDescent="0.25">
      <c r="A669" s="15" t="str">
        <f>'PEDIDO 9'!$B$2</f>
        <v>Salto De Pirapora-Magazine Haddad Ltda</v>
      </c>
      <c r="B669" s="12" t="s">
        <v>426</v>
      </c>
      <c r="C669" s="1">
        <f>IFERROR(VLOOKUP(112,'PEDIDO 9'!$C$2:$E$230,3,0),0)</f>
        <v>0</v>
      </c>
      <c r="D669" s="1">
        <f>IFERROR(VLOOKUP(113,'PEDIDO 9'!$C$2:$E$230,3,0),0)</f>
        <v>0</v>
      </c>
      <c r="E669" s="1">
        <f>IFERROR(VLOOKUP(114,'PEDIDO 9'!$C$2:$E$230,3,0),0)</f>
        <v>0</v>
      </c>
      <c r="F669" s="1">
        <f>IFERROR(VLOOKUP(296,'PEDIDO 9'!$C$2:$E$230,3,0),0)</f>
        <v>0</v>
      </c>
      <c r="G669" s="18">
        <f t="shared" si="16"/>
        <v>0</v>
      </c>
    </row>
    <row r="670" spans="1:7" ht="15.75" x14ac:dyDescent="0.25">
      <c r="A670" s="15" t="str">
        <f>'PEDIDO 9'!$B$2</f>
        <v>Salto De Pirapora-Magazine Haddad Ltda</v>
      </c>
      <c r="B670" s="12" t="s">
        <v>427</v>
      </c>
      <c r="C670" s="1">
        <f>IFERROR(VLOOKUP(116,'PEDIDO 9'!$C$2:$E$230,3,0),0)</f>
        <v>0</v>
      </c>
      <c r="D670" s="1">
        <f>IFERROR(VLOOKUP(117,'PEDIDO 9'!$C$2:$E$230,3,0),0)</f>
        <v>0</v>
      </c>
      <c r="E670" s="1">
        <f>IFERROR(VLOOKUP(118,'PEDIDO 9'!$C$2:$E$230,3,0),0)</f>
        <v>0</v>
      </c>
      <c r="F670" s="1">
        <f>IFERROR(VLOOKUP(293,'PEDIDO 9'!$C$2:$E$230,3,0),0)</f>
        <v>0</v>
      </c>
      <c r="G670" s="18">
        <f t="shared" si="16"/>
        <v>0</v>
      </c>
    </row>
    <row r="671" spans="1:7" ht="15.75" x14ac:dyDescent="0.25">
      <c r="A671" s="15" t="str">
        <f>'PEDIDO 9'!$B$2</f>
        <v>Salto De Pirapora-Magazine Haddad Ltda</v>
      </c>
      <c r="B671" s="12" t="s">
        <v>418</v>
      </c>
      <c r="C671" s="1">
        <f>IFERROR(VLOOKUP(963,'PEDIDO 9'!$C$2:$E$230,3,0),0)</f>
        <v>0</v>
      </c>
      <c r="D671" s="1">
        <f>IFERROR(VLOOKUP(965,'PEDIDO 9'!$C$2:$E$230,3,0),0)</f>
        <v>0</v>
      </c>
      <c r="E671" s="1">
        <f>IFERROR(VLOOKUP(966,'PEDIDO 9'!$C$2:$E$230,3,0),0)</f>
        <v>0</v>
      </c>
      <c r="F671" s="1">
        <f>IFERROR(VLOOKUP(964,'PEDIDO 9'!$C$2:$E$230,3,0),0)</f>
        <v>0</v>
      </c>
      <c r="G671" s="18">
        <f t="shared" si="16"/>
        <v>0</v>
      </c>
    </row>
    <row r="672" spans="1:7" ht="15.75" x14ac:dyDescent="0.25">
      <c r="A672" s="15" t="str">
        <f>'PEDIDO 9'!$B$2</f>
        <v>Salto De Pirapora-Magazine Haddad Ltda</v>
      </c>
      <c r="B672" s="12" t="s">
        <v>419</v>
      </c>
      <c r="C672" s="1">
        <f>IFERROR(VLOOKUP(2042,'PEDIDO 9'!$C$2:$E$230,3,0),0)</f>
        <v>0</v>
      </c>
      <c r="D672" s="1">
        <f>IFERROR(VLOOKUP(2041,'PEDIDO 9'!$C$2:$E$230,3,0),0)</f>
        <v>0</v>
      </c>
      <c r="E672" s="1">
        <f>IFERROR(VLOOKUP(2043,'PEDIDO 9'!$C$2:$E$230,3,0),0)</f>
        <v>0</v>
      </c>
      <c r="F672" s="1">
        <f>IFERROR(VLOOKUP(2040,'PEDIDO 9'!$C$2:$E$230,3,0),0)</f>
        <v>0</v>
      </c>
      <c r="G672" s="18">
        <f t="shared" si="16"/>
        <v>0</v>
      </c>
    </row>
    <row r="673" spans="1:7" ht="15.75" x14ac:dyDescent="0.25">
      <c r="A673" s="15" t="str">
        <f>'PEDIDO 9'!$B$2</f>
        <v>Salto De Pirapora-Magazine Haddad Ltda</v>
      </c>
      <c r="B673" s="12" t="s">
        <v>420</v>
      </c>
      <c r="C673" s="1">
        <f>IFERROR(VLOOKUP(2045,'PEDIDO 9'!$C$2:$E$230,3,0),0)</f>
        <v>0</v>
      </c>
      <c r="D673" s="1">
        <f>IFERROR(VLOOKUP(2046,'PEDIDO 9'!$C$2:$E$230,3,0),0)</f>
        <v>0</v>
      </c>
      <c r="E673" s="1">
        <f>IFERROR(VLOOKUP(2047,'PEDIDO 9'!$C$2:$E$230,3,0),0)</f>
        <v>0</v>
      </c>
      <c r="F673" s="1">
        <f>IFERROR(VLOOKUP(2048,'PEDIDO 9'!$C$2:$E$230,3,0),0)</f>
        <v>0</v>
      </c>
      <c r="G673" s="18">
        <f t="shared" si="16"/>
        <v>0</v>
      </c>
    </row>
    <row r="674" spans="1:7" ht="15.75" x14ac:dyDescent="0.25">
      <c r="A674" s="15" t="str">
        <f>'PEDIDO 9'!$B$2</f>
        <v>Salto De Pirapora-Magazine Haddad Ltda</v>
      </c>
      <c r="B674" s="12" t="s">
        <v>421</v>
      </c>
      <c r="C674" s="1">
        <f>IFERROR(VLOOKUP(2050,'PEDIDO 9'!$C$2:$E$230,3,0),0)</f>
        <v>0</v>
      </c>
      <c r="D674" s="1">
        <f>IFERROR(VLOOKUP(2051,'PEDIDO 9'!$C$2:$E$230,3,0),0)</f>
        <v>0</v>
      </c>
      <c r="E674" s="1">
        <f>IFERROR(VLOOKUP(2052,'PEDIDO 9'!$C$2:$E$230,3,0),0)</f>
        <v>0</v>
      </c>
      <c r="F674" s="1">
        <f>IFERROR(VLOOKUP(2053,'PEDIDO 9'!$C$2:$E$230,3,0),0)</f>
        <v>0</v>
      </c>
      <c r="G674" s="18">
        <f t="shared" si="16"/>
        <v>0</v>
      </c>
    </row>
    <row r="675" spans="1:7" ht="15.75" x14ac:dyDescent="0.25">
      <c r="A675" s="15" t="str">
        <f>'PEDIDO 9'!$B$2</f>
        <v>Salto De Pirapora-Magazine Haddad Ltda</v>
      </c>
      <c r="B675" s="12" t="s">
        <v>422</v>
      </c>
      <c r="C675" s="1">
        <f>IFERROR(VLOOKUP(216,'PEDIDO 9'!$C$2:$E$230,3,0),0)</f>
        <v>0</v>
      </c>
      <c r="D675" s="1">
        <f>IFERROR(VLOOKUP(217,'PEDIDO 9'!$C$2:$E$230,3,0),0)</f>
        <v>0</v>
      </c>
      <c r="E675" s="1">
        <f>IFERROR(VLOOKUP(218,'PEDIDO 9'!$C$2:$E$230,3,0),0)</f>
        <v>0</v>
      </c>
      <c r="F675" s="1">
        <f>IFERROR(VLOOKUP(305,'PEDIDO 9'!$C$2:$E$230,3,0),0)</f>
        <v>0</v>
      </c>
      <c r="G675" s="18">
        <f t="shared" si="16"/>
        <v>0</v>
      </c>
    </row>
    <row r="676" spans="1:7" ht="15.75" x14ac:dyDescent="0.25">
      <c r="A676" s="15" t="str">
        <f>'PEDIDO 9'!$B$2</f>
        <v>Salto De Pirapora-Magazine Haddad Ltda</v>
      </c>
      <c r="B676" s="12" t="s">
        <v>423</v>
      </c>
      <c r="C676" s="1">
        <f>IFERROR(VLOOKUP(100,'PEDIDO 9'!$C$2:$E$230,3,0),0)</f>
        <v>0</v>
      </c>
      <c r="D676" s="1">
        <f>IFERROR(VLOOKUP(101,'PEDIDO 9'!$C$2:$E$230,3,0),0)</f>
        <v>0</v>
      </c>
      <c r="E676" s="1">
        <f>IFERROR(VLOOKUP(102,'PEDIDO 9'!$C$2:$E$230,3,0),0)</f>
        <v>0</v>
      </c>
      <c r="F676" s="1">
        <f>IFERROR(VLOOKUP(306,'PEDIDO 9'!$C$2:$E$230,3,0),0)</f>
        <v>0</v>
      </c>
      <c r="G676" s="18">
        <f t="shared" si="16"/>
        <v>0</v>
      </c>
    </row>
    <row r="677" spans="1:7" ht="15.75" x14ac:dyDescent="0.25">
      <c r="A677" s="15" t="str">
        <f>'PEDIDO 9'!$B$2</f>
        <v>Salto De Pirapora-Magazine Haddad Ltda</v>
      </c>
      <c r="B677" s="12" t="s">
        <v>424</v>
      </c>
      <c r="C677" s="1">
        <f>IFERROR(VLOOKUP(104,'PEDIDO 9'!$C$2:$E$230,3,0),0)</f>
        <v>0</v>
      </c>
      <c r="D677" s="1">
        <f>IFERROR(VLOOKUP(105,'PEDIDO 9'!$C$2:$E$230,3,0),0)</f>
        <v>0</v>
      </c>
      <c r="E677" s="1">
        <f>IFERROR(VLOOKUP(106,'PEDIDO 9'!$C$2:$E$230,3,0),0)</f>
        <v>0</v>
      </c>
      <c r="F677" s="1">
        <f>IFERROR(VLOOKUP(307,'PEDIDO 9'!$C$2:$E$230,3,0),0)</f>
        <v>0</v>
      </c>
      <c r="G677" s="18">
        <f t="shared" si="16"/>
        <v>0</v>
      </c>
    </row>
    <row r="678" spans="1:7" ht="15.75" x14ac:dyDescent="0.25">
      <c r="A678" s="15" t="str">
        <f>'PEDIDO 9'!$B$2</f>
        <v>Salto De Pirapora-Magazine Haddad Ltda</v>
      </c>
      <c r="B678" s="12" t="s">
        <v>425</v>
      </c>
      <c r="C678" s="1">
        <f>IFERROR(VLOOKUP(400,'PEDIDO 9'!$C$2:$E$230,3,0),0)</f>
        <v>0</v>
      </c>
      <c r="D678" s="1">
        <f>IFERROR(VLOOKUP(401,'PEDIDO 9'!$C$2:$E$230,3,0),0)</f>
        <v>0</v>
      </c>
      <c r="E678" s="1">
        <f>IFERROR(VLOOKUP(402,'PEDIDO 9'!$C$2:$E$230,3,0),0)</f>
        <v>0</v>
      </c>
      <c r="F678" s="1">
        <f>IFERROR(VLOOKUP(403,'PEDIDO 9'!$C$2:$E$230,3,0),0)</f>
        <v>0</v>
      </c>
      <c r="G678" s="18">
        <f t="shared" si="16"/>
        <v>0</v>
      </c>
    </row>
    <row r="679" spans="1:7" ht="15.75" x14ac:dyDescent="0.25">
      <c r="A679" s="15" t="str">
        <f>'PEDIDO 9'!$B$2</f>
        <v>Salto De Pirapora-Magazine Haddad Ltda</v>
      </c>
      <c r="B679" s="12" t="s">
        <v>428</v>
      </c>
      <c r="C679" s="1">
        <f>IFERROR(VLOOKUP(22,'PEDIDO 9'!$C$2:$E$230,3,0),0)</f>
        <v>0</v>
      </c>
      <c r="D679" s="1"/>
      <c r="E679" s="1"/>
      <c r="F679" s="1"/>
      <c r="G679" s="18">
        <f t="shared" si="16"/>
        <v>0</v>
      </c>
    </row>
    <row r="680" spans="1:7" ht="15.75" x14ac:dyDescent="0.25">
      <c r="A680" s="15" t="str">
        <f>'PEDIDO 9'!$B$2</f>
        <v>Salto De Pirapora-Magazine Haddad Ltda</v>
      </c>
      <c r="B680" s="12" t="s">
        <v>429</v>
      </c>
      <c r="C680" s="1">
        <f>IFERROR(VLOOKUP(21,'PEDIDO 9'!$C$2:$E$230,3,0),0)</f>
        <v>0</v>
      </c>
      <c r="D680" s="1"/>
      <c r="E680" s="1"/>
      <c r="F680" s="1"/>
      <c r="G680" s="18">
        <f t="shared" si="16"/>
        <v>0</v>
      </c>
    </row>
    <row r="681" spans="1:7" ht="15.75" x14ac:dyDescent="0.25">
      <c r="A681" s="15" t="str">
        <f>'PEDIDO 9'!$B$2</f>
        <v>Salto De Pirapora-Magazine Haddad Ltda</v>
      </c>
      <c r="B681" s="12" t="s">
        <v>430</v>
      </c>
      <c r="C681" s="1">
        <f>IFERROR(VLOOKUP(1125,'PEDIDO 9'!$C$2:$E$230,3,0),0)</f>
        <v>0</v>
      </c>
      <c r="D681" s="1">
        <f>IFERROR(VLOOKUP(1126,'PEDIDO 9'!$C$2:$E$230,3,0),0)</f>
        <v>0</v>
      </c>
      <c r="E681" s="1">
        <f>IFERROR(VLOOKUP(1127,'PEDIDO 9'!$C$2:$E$230,3,0),0)</f>
        <v>0</v>
      </c>
      <c r="F681" s="1">
        <f>IFERROR(VLOOKUP(1128,'PEDIDO 9'!$C$2:$E$230,3,0),0)</f>
        <v>0</v>
      </c>
      <c r="G681" s="18">
        <f t="shared" si="16"/>
        <v>0</v>
      </c>
    </row>
    <row r="682" spans="1:7" ht="15.75" x14ac:dyDescent="0.25">
      <c r="A682" s="15" t="str">
        <f>'PEDIDO 9'!$B$2</f>
        <v>Salto De Pirapora-Magazine Haddad Ltda</v>
      </c>
      <c r="B682" s="12" t="s">
        <v>431</v>
      </c>
      <c r="C682" s="1">
        <f>IFERROR(VLOOKUP(1133,'PEDIDO 9'!$C$2:$E$230,3,0),0)</f>
        <v>0</v>
      </c>
      <c r="D682" s="1">
        <f>IFERROR(VLOOKUP(1134,'PEDIDO 9'!$C$2:$E$230,3,0),0)</f>
        <v>0</v>
      </c>
      <c r="E682" s="1">
        <f>IFERROR(VLOOKUP(1135,'PEDIDO 9'!$C$2:$E$230,3,0),0)</f>
        <v>0</v>
      </c>
      <c r="F682" s="1">
        <f>IFERROR(VLOOKUP(1136,'PEDIDO 9'!$C$2:$E$230,3,0),0)</f>
        <v>0</v>
      </c>
      <c r="G682" s="18">
        <f t="shared" si="16"/>
        <v>0</v>
      </c>
    </row>
    <row r="683" spans="1:7" ht="15.75" x14ac:dyDescent="0.25">
      <c r="A683" s="15" t="str">
        <f>'PEDIDO 9'!$B$2</f>
        <v>Salto De Pirapora-Magazine Haddad Ltda</v>
      </c>
      <c r="B683" s="12" t="s">
        <v>432</v>
      </c>
      <c r="C683" s="1">
        <f>IFERROR(VLOOKUP(1105,'PEDIDO 9'!$C$2:$E$230,3,0),0)</f>
        <v>0</v>
      </c>
      <c r="D683" s="1">
        <f>IFERROR(VLOOKUP(1106,'PEDIDO 9'!$C$2:$E$230,3,0),0)</f>
        <v>0</v>
      </c>
      <c r="E683" s="1">
        <f>IFERROR(VLOOKUP(1107,'PEDIDO 9'!$C$2:$E$230,3,0),0)</f>
        <v>0</v>
      </c>
      <c r="F683" s="1">
        <f>IFERROR(VLOOKUP(1108,'PEDIDO 9'!$C$2:$E$230,3,0),0)</f>
        <v>0</v>
      </c>
      <c r="G683" s="18">
        <f t="shared" si="16"/>
        <v>0</v>
      </c>
    </row>
    <row r="684" spans="1:7" ht="15.75" x14ac:dyDescent="0.25">
      <c r="A684" s="15" t="str">
        <f>'PEDIDO 9'!$B$2</f>
        <v>Salto De Pirapora-Magazine Haddad Ltda</v>
      </c>
      <c r="B684" s="12" t="s">
        <v>433</v>
      </c>
      <c r="C684" s="1">
        <f>IFERROR(VLOOKUP(1109,'PEDIDO 9'!$C$2:$E$230,3,0),0)</f>
        <v>0</v>
      </c>
      <c r="D684" s="1">
        <f>IFERROR(VLOOKUP(1110,'PEDIDO 9'!$C$2:$E$230,3,0),0)</f>
        <v>0</v>
      </c>
      <c r="E684" s="1">
        <f>IFERROR(VLOOKUP(1111,'PEDIDO 9'!$C$2:$E$230,3,0),0)</f>
        <v>0</v>
      </c>
      <c r="F684" s="1">
        <f>IFERROR(VLOOKUP(1112,'PEDIDO 9'!$C$2:$E$230,3,0),0)</f>
        <v>0</v>
      </c>
      <c r="G684" s="18">
        <f t="shared" si="16"/>
        <v>0</v>
      </c>
    </row>
    <row r="685" spans="1:7" ht="15.75" x14ac:dyDescent="0.25">
      <c r="A685" s="15" t="str">
        <f>'PEDIDO 9'!$B$2</f>
        <v>Salto De Pirapora-Magazine Haddad Ltda</v>
      </c>
      <c r="B685" s="12" t="s">
        <v>434</v>
      </c>
      <c r="C685" s="1">
        <f>IFERROR(VLOOKUP(1113,'PEDIDO 9'!$C$2:$E$230,3,0),0)</f>
        <v>0</v>
      </c>
      <c r="D685" s="1">
        <f>IFERROR(VLOOKUP(1114,'PEDIDO 9'!$C$2:$E$230,3,0),0)</f>
        <v>0</v>
      </c>
      <c r="E685" s="1">
        <f>IFERROR(VLOOKUP(1115,'PEDIDO 9'!$C$2:$E$230,3,0),0)</f>
        <v>0</v>
      </c>
      <c r="F685" s="1">
        <f>IFERROR(VLOOKUP(1116,'PEDIDO 9'!$C$2:$E$230,3,0),0)</f>
        <v>0</v>
      </c>
      <c r="G685" s="18">
        <f t="shared" si="16"/>
        <v>0</v>
      </c>
    </row>
    <row r="686" spans="1:7" ht="15.75" x14ac:dyDescent="0.25">
      <c r="A686" s="15" t="str">
        <f>'PEDIDO 9'!$B$2</f>
        <v>Salto De Pirapora-Magazine Haddad Ltda</v>
      </c>
      <c r="B686" s="12" t="s">
        <v>435</v>
      </c>
      <c r="C686" s="1">
        <f>IFERROR(VLOOKUP(1117,'PEDIDO 9'!$C$2:$E$230,3,0),0)</f>
        <v>0</v>
      </c>
      <c r="D686" s="1">
        <f>IFERROR(VLOOKUP(1118,'PEDIDO 9'!$C$2:$E$230,3,0),0)</f>
        <v>0</v>
      </c>
      <c r="E686" s="1">
        <f>IFERROR(VLOOKUP(1119,'PEDIDO 9'!$C$2:$E$230,3,0),0)</f>
        <v>0</v>
      </c>
      <c r="F686" s="1">
        <f>IFERROR(VLOOKUP(1120,'PEDIDO 9'!$C$2:$E$230,3,0),0)</f>
        <v>0</v>
      </c>
      <c r="G686" s="18">
        <f t="shared" si="16"/>
        <v>0</v>
      </c>
    </row>
    <row r="687" spans="1:7" ht="15.75" x14ac:dyDescent="0.25">
      <c r="A687" s="15" t="str">
        <f>'PEDIDO 9'!$B$2</f>
        <v>Salto De Pirapora-Magazine Haddad Ltda</v>
      </c>
      <c r="B687" s="12" t="s">
        <v>436</v>
      </c>
      <c r="C687" s="1">
        <f>IFERROR(VLOOKUP(1121,'PEDIDO 9'!$C$2:$E$230,3,0),0)</f>
        <v>0</v>
      </c>
      <c r="D687" s="1">
        <f>IFERROR(VLOOKUP(1122,'PEDIDO 9'!$C$2:$E$230,3,0),0)</f>
        <v>0</v>
      </c>
      <c r="E687" s="1">
        <f>IFERROR(VLOOKUP(1123,'PEDIDO 9'!$C$2:$E$230,3,0),0)</f>
        <v>0</v>
      </c>
      <c r="F687" s="1">
        <f>IFERROR(VLOOKUP(1124,'PEDIDO 9'!$C$2:$E$230,3,0),0)</f>
        <v>0</v>
      </c>
      <c r="G687" s="18">
        <f t="shared" si="16"/>
        <v>0</v>
      </c>
    </row>
    <row r="688" spans="1:7" ht="15.75" x14ac:dyDescent="0.25">
      <c r="A688" s="15" t="str">
        <f>'PEDIDO 9'!$B$2</f>
        <v>Salto De Pirapora-Magazine Haddad Ltda</v>
      </c>
      <c r="B688" s="12" t="s">
        <v>437</v>
      </c>
      <c r="C688" s="1">
        <f>IFERROR(VLOOKUP(1129,'PEDIDO 9'!$C$2:$E$230,3,0),0)</f>
        <v>0</v>
      </c>
      <c r="D688" s="1">
        <f>IFERROR(VLOOKUP(1130,'PEDIDO 9'!$C$2:$E$230,3,0),0)</f>
        <v>0</v>
      </c>
      <c r="E688" s="1">
        <f>IFERROR(VLOOKUP(1131,'PEDIDO 9'!$C$2:$E$230,3,0),0)</f>
        <v>0</v>
      </c>
      <c r="F688" s="1">
        <f>IFERROR(VLOOKUP(1132,'PEDIDO 9'!$C$2:$E$230,3,0),0)</f>
        <v>0</v>
      </c>
      <c r="G688" s="18">
        <f t="shared" si="16"/>
        <v>0</v>
      </c>
    </row>
    <row r="689" spans="1:7" ht="15.75" x14ac:dyDescent="0.25">
      <c r="A689" s="15" t="str">
        <f>'PEDIDO 9'!$B$2</f>
        <v>Salto De Pirapora-Magazine Haddad Ltda</v>
      </c>
      <c r="B689" s="12" t="s">
        <v>438</v>
      </c>
      <c r="C689" s="1">
        <f>IFERROR(VLOOKUP(1137,'PEDIDO 9'!$C$2:$E$230,3,0),0)</f>
        <v>0</v>
      </c>
      <c r="D689" s="1">
        <f>IFERROR(VLOOKUP(1138,'PEDIDO 9'!$C$2:$E$230,3,0),0)</f>
        <v>0</v>
      </c>
      <c r="E689" s="1">
        <f>IFERROR(VLOOKUP(1139,'PEDIDO 9'!$C$2:$E$230,3,0),0)</f>
        <v>0</v>
      </c>
      <c r="F689" s="1">
        <f>IFERROR(VLOOKUP(1140,'PEDIDO 9'!$C$2:$E$230,3,0),0)</f>
        <v>0</v>
      </c>
      <c r="G689" s="18">
        <f t="shared" si="16"/>
        <v>0</v>
      </c>
    </row>
    <row r="690" spans="1:7" ht="15.75" x14ac:dyDescent="0.25">
      <c r="A690" s="15" t="str">
        <f>'PEDIDO 9'!$B$2</f>
        <v>Salto De Pirapora-Magazine Haddad Ltda</v>
      </c>
      <c r="B690" s="12" t="s">
        <v>439</v>
      </c>
      <c r="C690" s="1">
        <f>IFERROR(VLOOKUP(1141,'PEDIDO 9'!$C$2:$E$230,3,0),0)</f>
        <v>0</v>
      </c>
      <c r="D690" s="1">
        <f>IFERROR(VLOOKUP(1142,'PEDIDO 9'!$C$2:$E$230,3,0),0)</f>
        <v>0</v>
      </c>
      <c r="E690" s="1">
        <f>IFERROR(VLOOKUP(1143,'PEDIDO 9'!$C$2:$E$230,3,0),0)</f>
        <v>0</v>
      </c>
      <c r="F690" s="1">
        <f>IFERROR(VLOOKUP(1144,'PEDIDO 9'!$C$2:$E$230,3,0),0)</f>
        <v>0</v>
      </c>
      <c r="G690" s="18">
        <f t="shared" si="16"/>
        <v>0</v>
      </c>
    </row>
    <row r="691" spans="1:7" ht="15.75" x14ac:dyDescent="0.25">
      <c r="A691" s="15" t="str">
        <f>'PEDIDO 9'!$B$2</f>
        <v>Salto De Pirapora-Magazine Haddad Ltda</v>
      </c>
      <c r="B691" s="12" t="s">
        <v>440</v>
      </c>
      <c r="C691" s="1">
        <f>IFERROR(VLOOKUP(1145,'PEDIDO 9'!$C$2:$E$230,3,0),0)</f>
        <v>0</v>
      </c>
      <c r="D691" s="1">
        <f>IFERROR(VLOOKUP(1146,'PEDIDO 9'!$C$2:$E$230,3,0),0)</f>
        <v>0</v>
      </c>
      <c r="E691" s="1">
        <f>IFERROR(VLOOKUP(1147,'PEDIDO 9'!$C$2:$E$230,3,0),0)</f>
        <v>0</v>
      </c>
      <c r="F691" s="1">
        <f>IFERROR(VLOOKUP(1148,'PEDIDO 9'!$C$2:$E$230,3,0),0)</f>
        <v>0</v>
      </c>
      <c r="G691" s="18">
        <f t="shared" si="16"/>
        <v>0</v>
      </c>
    </row>
    <row r="692" spans="1:7" ht="15.75" x14ac:dyDescent="0.25">
      <c r="A692" s="15" t="str">
        <f>'PEDIDO 9'!$B$2</f>
        <v>Salto De Pirapora-Magazine Haddad Ltda</v>
      </c>
      <c r="B692" s="12" t="s">
        <v>441</v>
      </c>
      <c r="C692" s="1">
        <f>IFERROR(VLOOKUP(1149,'PEDIDO 9'!$C$2:$E$230,3,0),0)</f>
        <v>0</v>
      </c>
      <c r="D692" s="1">
        <f>IFERROR(VLOOKUP(1150,'PEDIDO 9'!$C$2:$E$230,3,0),0)</f>
        <v>0</v>
      </c>
      <c r="E692" s="1">
        <f>IFERROR(VLOOKUP(1151,'PEDIDO 9'!$C$2:$E$230,3,0),0)</f>
        <v>0</v>
      </c>
      <c r="F692" s="1">
        <f>IFERROR(VLOOKUP(1152,'PEDIDO 9'!$C$2:$E$230,3,0),0)</f>
        <v>0</v>
      </c>
      <c r="G692" s="18">
        <f t="shared" si="16"/>
        <v>0</v>
      </c>
    </row>
    <row r="693" spans="1:7" ht="15.75" x14ac:dyDescent="0.25">
      <c r="A693" s="15" t="str">
        <f>'PEDIDO 9'!$B$2</f>
        <v>Salto De Pirapora-Magazine Haddad Ltda</v>
      </c>
      <c r="B693" s="12" t="s">
        <v>442</v>
      </c>
      <c r="C693" s="1">
        <f>IFERROR(VLOOKUP(1153,'PEDIDO 9'!$C$2:$E$230,3,0),0)</f>
        <v>0</v>
      </c>
      <c r="D693" s="1">
        <f>IFERROR(VLOOKUP(1154,'PEDIDO 9'!$C$2:$E$230,3,0),0)</f>
        <v>0</v>
      </c>
      <c r="E693" s="1">
        <f>IFERROR(VLOOKUP(1155,'PEDIDO 9'!$C$2:$E$230,3,0),0)</f>
        <v>0</v>
      </c>
      <c r="F693" s="1">
        <f>IFERROR(VLOOKUP(1156,'PEDIDO 9'!$C$2:$E$230,3,0),0)</f>
        <v>0</v>
      </c>
      <c r="G693" s="18">
        <f t="shared" si="16"/>
        <v>0</v>
      </c>
    </row>
    <row r="694" spans="1:7" ht="15.75" x14ac:dyDescent="0.25">
      <c r="A694" s="15" t="str">
        <f>'PEDIDO 9'!$B$2</f>
        <v>Salto De Pirapora-Magazine Haddad Ltda</v>
      </c>
      <c r="B694" s="12" t="s">
        <v>443</v>
      </c>
      <c r="C694" s="1">
        <f>IFERROR(VLOOKUP(1157,'PEDIDO 9'!$C$2:$E$230,3,0),0)</f>
        <v>0</v>
      </c>
      <c r="D694" s="1">
        <f>IFERROR(VLOOKUP(1158,'PEDIDO 9'!$C$2:$E$230,3,0),0)</f>
        <v>0</v>
      </c>
      <c r="E694" s="1">
        <f>IFERROR(VLOOKUP(1159,'PEDIDO 9'!$C$2:$E$230,3,0),0)</f>
        <v>0</v>
      </c>
      <c r="F694" s="1">
        <f>IFERROR(VLOOKUP(1160,'PEDIDO 9'!$C$2:$E$230,3,0),0)</f>
        <v>0</v>
      </c>
      <c r="G694" s="18">
        <f t="shared" si="16"/>
        <v>0</v>
      </c>
    </row>
    <row r="695" spans="1:7" ht="15.75" x14ac:dyDescent="0.25">
      <c r="A695" s="15" t="str">
        <f>'PEDIDO 9'!$B$2</f>
        <v>Salto De Pirapora-Magazine Haddad Ltda</v>
      </c>
      <c r="B695" s="12" t="s">
        <v>444</v>
      </c>
      <c r="C695" s="1">
        <f>IFERROR(VLOOKUP(1161,'PEDIDO 9'!$C$2:$E$230,3,0),0)</f>
        <v>0</v>
      </c>
      <c r="D695" s="1">
        <f>IFERROR(VLOOKUP(1162,'PEDIDO 9'!$C$2:$E$230,3,0),0)</f>
        <v>0</v>
      </c>
      <c r="E695" s="1">
        <f>IFERROR(VLOOKUP(1163,'PEDIDO 9'!$C$2:$E$230,3,0),0)</f>
        <v>0</v>
      </c>
      <c r="F695" s="1">
        <f>IFERROR(VLOOKUP(1164,'PEDIDO 9'!$C$2:$E$230,3,0),0)</f>
        <v>0</v>
      </c>
      <c r="G695" s="18">
        <f t="shared" si="16"/>
        <v>0</v>
      </c>
    </row>
    <row r="696" spans="1:7" ht="15.75" x14ac:dyDescent="0.25">
      <c r="A696" s="15" t="str">
        <f>'PEDIDO 9'!$B$2</f>
        <v>Salto De Pirapora-Magazine Haddad Ltda</v>
      </c>
      <c r="B696" s="12" t="s">
        <v>445</v>
      </c>
      <c r="C696" s="1">
        <f>IFERROR(VLOOKUP(1165,'PEDIDO 9'!$C$2:$E$230,3,0),0)</f>
        <v>0</v>
      </c>
      <c r="D696" s="1">
        <f>IFERROR(VLOOKUP(1166,'PEDIDO 9'!$C$2:$E$230,3,0),0)</f>
        <v>0</v>
      </c>
      <c r="E696" s="1">
        <f>IFERROR(VLOOKUP(1167,'PEDIDO 9'!$C$2:$E$230,3,0),0)</f>
        <v>0</v>
      </c>
      <c r="F696" s="1">
        <f>IFERROR(VLOOKUP(1168,'PEDIDO 9'!$C$2:$E$230,3,0),0)</f>
        <v>0</v>
      </c>
      <c r="G696" s="18">
        <f t="shared" si="16"/>
        <v>0</v>
      </c>
    </row>
    <row r="697" spans="1:7" ht="15.75" x14ac:dyDescent="0.25">
      <c r="A697" s="15" t="str">
        <f>'PEDIDO 9'!$B$2</f>
        <v>Salto De Pirapora-Magazine Haddad Ltda</v>
      </c>
      <c r="B697" s="12" t="s">
        <v>446</v>
      </c>
      <c r="C697" s="1">
        <f>IFERROR(VLOOKUP(1169,'PEDIDO 9'!$C$2:$E$230,3,0),0)</f>
        <v>0</v>
      </c>
      <c r="D697" s="1">
        <f>IFERROR(VLOOKUP(1170,'PEDIDO 9'!$C$2:$E$230,3,0),0)</f>
        <v>0</v>
      </c>
      <c r="E697" s="1">
        <f>IFERROR(VLOOKUP(1171,'PEDIDO 9'!$C$2:$E$230,3,0),0)</f>
        <v>0</v>
      </c>
      <c r="F697" s="1">
        <f>IFERROR(VLOOKUP(1172,'PEDIDO 9'!$C$2:$E$230,3,0),0)</f>
        <v>0</v>
      </c>
      <c r="G697" s="18">
        <f t="shared" si="16"/>
        <v>0</v>
      </c>
    </row>
    <row r="698" spans="1:7" ht="15.75" x14ac:dyDescent="0.25">
      <c r="A698" s="15" t="str">
        <f>'PEDIDO 9'!$B$2</f>
        <v>Salto De Pirapora-Magazine Haddad Ltda</v>
      </c>
      <c r="B698" s="12" t="s">
        <v>447</v>
      </c>
      <c r="C698" s="1">
        <f>IFERROR(VLOOKUP(1173,'PEDIDO 9'!$C$2:$E$230,3,0),0)</f>
        <v>0</v>
      </c>
      <c r="D698" s="1">
        <f>IFERROR(VLOOKUP(1174,'PEDIDO 9'!$C$2:$E$230,3,0),0)</f>
        <v>0</v>
      </c>
      <c r="E698" s="1">
        <f>IFERROR(VLOOKUP(1175,'PEDIDO 9'!$C$2:$E$230,3,0),0)</f>
        <v>0</v>
      </c>
      <c r="F698" s="1">
        <f>IFERROR(VLOOKUP(1176,'PEDIDO 9'!$C$2:$E$230,3,0),0)</f>
        <v>0</v>
      </c>
      <c r="G698" s="18">
        <f t="shared" si="16"/>
        <v>0</v>
      </c>
    </row>
    <row r="699" spans="1:7" ht="15.75" x14ac:dyDescent="0.25">
      <c r="A699" s="15" t="str">
        <f>'PEDIDO 9'!$B$2</f>
        <v>Salto De Pirapora-Magazine Haddad Ltda</v>
      </c>
      <c r="B699" s="12" t="s">
        <v>448</v>
      </c>
      <c r="C699" s="1">
        <f>IFERROR(VLOOKUP(1249,'PEDIDO 9'!$C$2:$E$230,3,0),0)</f>
        <v>0</v>
      </c>
      <c r="D699" s="1">
        <f>IFERROR(VLOOKUP(1250,'PEDIDO 9'!$C$2:$E$230,3,0),0)</f>
        <v>0</v>
      </c>
      <c r="E699" s="1">
        <f>IFERROR(VLOOKUP(1251,'PEDIDO 9'!$C$2:$E$230,3,0),0)</f>
        <v>0</v>
      </c>
      <c r="F699" s="1">
        <f>IFERROR(VLOOKUP(1252,'PEDIDO 9'!$C$2:$E$230,3,0),0)</f>
        <v>0</v>
      </c>
      <c r="G699" s="18">
        <f t="shared" si="16"/>
        <v>0</v>
      </c>
    </row>
    <row r="700" spans="1:7" ht="15.75" x14ac:dyDescent="0.25">
      <c r="A700" s="15" t="str">
        <f>'PEDIDO 9'!$B$2</f>
        <v>Salto De Pirapora-Magazine Haddad Ltda</v>
      </c>
      <c r="B700" s="12" t="s">
        <v>449</v>
      </c>
      <c r="C700" s="1">
        <f>IFERROR(VLOOKUP(1177,'PEDIDO 9'!$C$2:$E$230,3,0),0)</f>
        <v>0</v>
      </c>
      <c r="D700" s="1">
        <f>IFERROR(VLOOKUP(1178,'PEDIDO 9'!$C$2:$E$230,3,0),0)</f>
        <v>0</v>
      </c>
      <c r="E700" s="1">
        <f>IFERROR(VLOOKUP(1179,'PEDIDO 9'!$C$2:$E$230,3,0),0)</f>
        <v>0</v>
      </c>
      <c r="F700" s="1">
        <f>IFERROR(VLOOKUP(1180,'PEDIDO 9'!$C$2:$E$230,3,0),0)</f>
        <v>0</v>
      </c>
      <c r="G700" s="18">
        <f t="shared" si="16"/>
        <v>0</v>
      </c>
    </row>
    <row r="701" spans="1:7" ht="15.75" x14ac:dyDescent="0.25">
      <c r="A701" s="15" t="str">
        <f>'PEDIDO 9'!$B$2</f>
        <v>Salto De Pirapora-Magazine Haddad Ltda</v>
      </c>
      <c r="B701" s="12" t="s">
        <v>450</v>
      </c>
      <c r="C701" s="1">
        <f>IFERROR(VLOOKUP(1181,'PEDIDO 9'!$C$2:$E$230,3,0),0)</f>
        <v>0</v>
      </c>
      <c r="D701" s="1">
        <f>IFERROR(VLOOKUP(1182,'PEDIDO 9'!$C$2:$E$230,3,0),0)</f>
        <v>0</v>
      </c>
      <c r="E701" s="1">
        <f>IFERROR(VLOOKUP(1183,'PEDIDO 9'!$C$2:$E$230,3,0),0)</f>
        <v>0</v>
      </c>
      <c r="F701" s="1">
        <f>IFERROR(VLOOKUP(1184,'PEDIDO 9'!$C$2:$E$230,3,0),0)</f>
        <v>0</v>
      </c>
      <c r="G701" s="18">
        <f t="shared" si="16"/>
        <v>0</v>
      </c>
    </row>
    <row r="702" spans="1:7" ht="15.75" x14ac:dyDescent="0.25">
      <c r="A702" s="15" t="str">
        <f>'PEDIDO 9'!$B$2</f>
        <v>Salto De Pirapora-Magazine Haddad Ltda</v>
      </c>
      <c r="B702" s="12" t="s">
        <v>451</v>
      </c>
      <c r="C702" s="1">
        <f>IFERROR(VLOOKUP(1185,'PEDIDO 9'!$C$2:$E$230,3,0),0)</f>
        <v>0</v>
      </c>
      <c r="D702" s="1">
        <f>IFERROR(VLOOKUP(1186,'PEDIDO 9'!$C$2:$E$230,3,0),0)</f>
        <v>0</v>
      </c>
      <c r="E702" s="1">
        <f>IFERROR(VLOOKUP(1187,'PEDIDO 9'!$C$2:$E$230,3,0),0)</f>
        <v>0</v>
      </c>
      <c r="F702" s="1">
        <f>IFERROR(VLOOKUP(1188,'PEDIDO 9'!$C$2:$E$230,3,0),0)</f>
        <v>0</v>
      </c>
      <c r="G702" s="18">
        <f t="shared" si="16"/>
        <v>0</v>
      </c>
    </row>
    <row r="703" spans="1:7" ht="15.75" x14ac:dyDescent="0.25">
      <c r="A703" s="15" t="str">
        <f>'PEDIDO 9'!$B$2</f>
        <v>Salto De Pirapora-Magazine Haddad Ltda</v>
      </c>
      <c r="B703" s="12" t="s">
        <v>452</v>
      </c>
      <c r="C703" s="1">
        <f>IFERROR(VLOOKUP(1189,'PEDIDO 9'!$C$2:$E$230,3,0),0)</f>
        <v>0</v>
      </c>
      <c r="D703" s="1">
        <f>IFERROR(VLOOKUP(1190,'PEDIDO 9'!$C$2:$E$230,3,0),0)</f>
        <v>0</v>
      </c>
      <c r="E703" s="1">
        <f>IFERROR(VLOOKUP(1191,'PEDIDO 9'!$C$2:$E$230,3,0),0)</f>
        <v>0</v>
      </c>
      <c r="F703" s="1">
        <f>IFERROR(VLOOKUP(1192,'PEDIDO 9'!$C$2:$E$230,3,0),0)</f>
        <v>0</v>
      </c>
      <c r="G703" s="18">
        <f t="shared" si="16"/>
        <v>0</v>
      </c>
    </row>
    <row r="704" spans="1:7" ht="15.75" x14ac:dyDescent="0.25">
      <c r="A704" s="15" t="str">
        <f>'PEDIDO 9'!$B$2</f>
        <v>Salto De Pirapora-Magazine Haddad Ltda</v>
      </c>
      <c r="B704" s="12" t="s">
        <v>453</v>
      </c>
      <c r="C704" s="1">
        <f>IFERROR(VLOOKUP(1193,'PEDIDO 9'!$C$2:$E$230,3,0),0)</f>
        <v>0</v>
      </c>
      <c r="D704" s="1">
        <f>IFERROR(VLOOKUP(1194,'PEDIDO 9'!$C$2:$E$230,3,0),0)</f>
        <v>0</v>
      </c>
      <c r="E704" s="1">
        <f>IFERROR(VLOOKUP(1195,'PEDIDO 9'!$C$2:$E$230,3,0),0)</f>
        <v>0</v>
      </c>
      <c r="F704" s="1">
        <f>IFERROR(VLOOKUP(1196,'PEDIDO 9'!$C$2:$E$230,3,0),0)</f>
        <v>0</v>
      </c>
      <c r="G704" s="18">
        <f t="shared" si="16"/>
        <v>0</v>
      </c>
    </row>
    <row r="705" spans="1:7" ht="15.75" x14ac:dyDescent="0.25">
      <c r="A705" s="15" t="str">
        <f>'PEDIDO 9'!$B$2</f>
        <v>Salto De Pirapora-Magazine Haddad Ltda</v>
      </c>
      <c r="B705" s="12" t="s">
        <v>454</v>
      </c>
      <c r="C705" s="1">
        <f>IFERROR(VLOOKUP(1197,'PEDIDO 9'!$C$2:$E$230,3,0),0)</f>
        <v>0</v>
      </c>
      <c r="D705" s="1">
        <f>IFERROR(VLOOKUP(1198,'PEDIDO 9'!$C$2:$E$230,3,0),0)</f>
        <v>0</v>
      </c>
      <c r="E705" s="1">
        <f>IFERROR(VLOOKUP(1199,'PEDIDO 9'!$C$2:$E$230,3,0),0)</f>
        <v>0</v>
      </c>
      <c r="F705" s="1">
        <f>IFERROR(VLOOKUP(1200,'PEDIDO 9'!$C$2:$E$230,3,0),0)</f>
        <v>0</v>
      </c>
      <c r="G705" s="18">
        <f t="shared" si="16"/>
        <v>0</v>
      </c>
    </row>
    <row r="706" spans="1:7" ht="15.75" x14ac:dyDescent="0.25">
      <c r="A706" s="15" t="str">
        <f>'PEDIDO 9'!$B$2</f>
        <v>Salto De Pirapora-Magazine Haddad Ltda</v>
      </c>
      <c r="B706" s="12" t="s">
        <v>455</v>
      </c>
      <c r="C706" s="1">
        <f>IFERROR(VLOOKUP(1201,'PEDIDO 9'!$C$2:$E$230,3,0),0)</f>
        <v>0</v>
      </c>
      <c r="D706" s="1">
        <f>IFERROR(VLOOKUP(1202,'PEDIDO 9'!$C$2:$E$230,3,0),0)</f>
        <v>0</v>
      </c>
      <c r="E706" s="1">
        <f>IFERROR(VLOOKUP(1203,'PEDIDO 9'!$C$2:$E$230,3,0),0)</f>
        <v>0</v>
      </c>
      <c r="F706" s="1">
        <f>IFERROR(VLOOKUP(1204,'PEDIDO 9'!$C$2:$E$230,3,0),0)</f>
        <v>0</v>
      </c>
      <c r="G706" s="18">
        <f t="shared" si="16"/>
        <v>0</v>
      </c>
    </row>
    <row r="707" spans="1:7" ht="15.75" x14ac:dyDescent="0.25">
      <c r="A707" s="15" t="str">
        <f>'PEDIDO 9'!$B$2</f>
        <v>Salto De Pirapora-Magazine Haddad Ltda</v>
      </c>
      <c r="B707" s="12" t="s">
        <v>456</v>
      </c>
      <c r="C707" s="1">
        <f>IFERROR(VLOOKUP(1205,'PEDIDO 9'!$C$2:$E$230,3,0),0)</f>
        <v>0</v>
      </c>
      <c r="D707" s="1">
        <f>IFERROR(VLOOKUP(1206,'PEDIDO 9'!$C$2:$E$230,3,0),0)</f>
        <v>0</v>
      </c>
      <c r="E707" s="1">
        <f>IFERROR(VLOOKUP(1207,'PEDIDO 9'!$C$2:$E$230,3,0),0)</f>
        <v>0</v>
      </c>
      <c r="F707" s="1">
        <f>IFERROR(VLOOKUP(1208,'PEDIDO 9'!$C$2:$E$230,3,0),0)</f>
        <v>0</v>
      </c>
      <c r="G707" s="18">
        <f t="shared" si="16"/>
        <v>0</v>
      </c>
    </row>
    <row r="708" spans="1:7" ht="15.75" x14ac:dyDescent="0.25">
      <c r="A708" s="15" t="str">
        <f>'PEDIDO 9'!$B$2</f>
        <v>Salto De Pirapora-Magazine Haddad Ltda</v>
      </c>
      <c r="B708" s="12" t="s">
        <v>457</v>
      </c>
      <c r="C708" s="1">
        <f>IFERROR(VLOOKUP(1213,'PEDIDO 9'!$C$2:$E$230,3,0),0)</f>
        <v>0</v>
      </c>
      <c r="D708" s="1">
        <f>IFERROR(VLOOKUP(1214,'PEDIDO 9'!$C$2:$E$230,3,0),0)</f>
        <v>0</v>
      </c>
      <c r="E708" s="1">
        <f>IFERROR(VLOOKUP(1215,'PEDIDO 9'!$C$2:$E$230,3,0),0)</f>
        <v>0</v>
      </c>
      <c r="F708" s="10">
        <f>IFERROR(VLOOKUP(1216,'PEDIDO 9'!$C$2:$E$230,3,0),0)</f>
        <v>0</v>
      </c>
      <c r="G708" s="18">
        <f t="shared" si="16"/>
        <v>0</v>
      </c>
    </row>
    <row r="709" spans="1:7" ht="15.75" x14ac:dyDescent="0.25">
      <c r="A709" s="15" t="str">
        <f>'PEDIDO 9'!$B$2</f>
        <v>Salto De Pirapora-Magazine Haddad Ltda</v>
      </c>
      <c r="B709" s="12" t="s">
        <v>458</v>
      </c>
      <c r="C709" s="1">
        <f>IFERROR(VLOOKUP(1209,'PEDIDO 9'!$C$2:$E$230,3,0),0)</f>
        <v>0</v>
      </c>
      <c r="D709" s="1">
        <f>IFERROR(VLOOKUP(1210,'PEDIDO 9'!$C$2:$E$230,3,0),0)</f>
        <v>0</v>
      </c>
      <c r="E709" s="1">
        <f>IFERROR(VLOOKUP(1211,'PEDIDO 9'!$C$2:$E$230,3,0),0)</f>
        <v>0</v>
      </c>
      <c r="F709" s="1">
        <f>IFERROR(VLOOKUP(1212,'PEDIDO 9'!$C$2:$E$230,3,0),0)</f>
        <v>0</v>
      </c>
      <c r="G709" s="18">
        <f t="shared" si="16"/>
        <v>0</v>
      </c>
    </row>
    <row r="710" spans="1:7" ht="15.75" x14ac:dyDescent="0.25">
      <c r="A710" s="15" t="str">
        <f>'PEDIDO 9'!$B$2</f>
        <v>Salto De Pirapora-Magazine Haddad Ltda</v>
      </c>
      <c r="B710" s="12" t="s">
        <v>459</v>
      </c>
      <c r="C710" s="1">
        <f>IFERROR(VLOOKUP(1217,'PEDIDO 9'!$C$2:$E$230,3,0),0)</f>
        <v>0</v>
      </c>
      <c r="D710" s="1">
        <f>IFERROR(VLOOKUP(1218,'PEDIDO 9'!$C$2:$E$230,3,0),0)</f>
        <v>0</v>
      </c>
      <c r="E710" s="1">
        <f>IFERROR(VLOOKUP(1219,'PEDIDO 9'!$C$2:$E$230,3,0),0)</f>
        <v>0</v>
      </c>
      <c r="F710" s="1">
        <f>IFERROR(VLOOKUP(1220,'PEDIDO 9'!$C$2:$E$230,3,0),0)</f>
        <v>0</v>
      </c>
      <c r="G710" s="18">
        <f t="shared" si="16"/>
        <v>0</v>
      </c>
    </row>
    <row r="711" spans="1:7" ht="15.75" x14ac:dyDescent="0.25">
      <c r="A711" s="15" t="str">
        <f>'PEDIDO 9'!$B$2</f>
        <v>Salto De Pirapora-Magazine Haddad Ltda</v>
      </c>
      <c r="B711" s="12" t="s">
        <v>461</v>
      </c>
      <c r="C711" s="1">
        <f>IFERROR(VLOOKUP(1225,'PEDIDO 9'!$C$2:$E$230,3,0),0)</f>
        <v>0</v>
      </c>
      <c r="D711" s="1">
        <f>IFERROR(VLOOKUP(1226,'PEDIDO 9'!$C$2:$E$230,3,0),0)</f>
        <v>0</v>
      </c>
      <c r="E711" s="1">
        <f>IFERROR(VLOOKUP(1227,'PEDIDO 9'!$C$2:$E$230,3,0),0)</f>
        <v>0</v>
      </c>
      <c r="F711" s="1">
        <f>IFERROR(VLOOKUP(1228,'PEDIDO 9'!$C$2:$E$230,3,0),0)</f>
        <v>0</v>
      </c>
      <c r="G711" s="18">
        <f t="shared" si="16"/>
        <v>0</v>
      </c>
    </row>
    <row r="712" spans="1:7" ht="15.75" x14ac:dyDescent="0.25">
      <c r="A712" s="15" t="str">
        <f>'PEDIDO 9'!$B$2</f>
        <v>Salto De Pirapora-Magazine Haddad Ltda</v>
      </c>
      <c r="B712" s="12" t="s">
        <v>462</v>
      </c>
      <c r="C712" s="1">
        <f>IFERROR(VLOOKUP(1221,'PEDIDO 9'!$C$2:$E$230,3,0),0)</f>
        <v>0</v>
      </c>
      <c r="D712" s="1">
        <f>IFERROR(VLOOKUP(1222,'PEDIDO 9'!$C$2:$E$230,3,0),0)</f>
        <v>0</v>
      </c>
      <c r="E712" s="1">
        <f>IFERROR(VLOOKUP(1223,'PEDIDO 9'!$C$2:$E$230,3,0),0)</f>
        <v>0</v>
      </c>
      <c r="F712" s="1">
        <f>IFERROR(VLOOKUP(1224,'PEDIDO 9'!$C$2:$E$230,3,0),0)</f>
        <v>0</v>
      </c>
      <c r="G712" s="18">
        <f t="shared" si="16"/>
        <v>0</v>
      </c>
    </row>
    <row r="713" spans="1:7" ht="15.75" x14ac:dyDescent="0.25">
      <c r="A713" s="15" t="str">
        <f>'PEDIDO 9'!$B$2</f>
        <v>Salto De Pirapora-Magazine Haddad Ltda</v>
      </c>
      <c r="B713" s="12" t="s">
        <v>460</v>
      </c>
      <c r="C713" s="1">
        <f>IFERROR(VLOOKUP(1229,'PEDIDO 9'!$C$2:$E$230,3,0),0)</f>
        <v>0</v>
      </c>
      <c r="D713" s="1">
        <f>IFERROR(VLOOKUP(1230,'PEDIDO 9'!$C$2:$E$230,3,0),0)</f>
        <v>0</v>
      </c>
      <c r="E713" s="1">
        <f>IFERROR(VLOOKUP(1231,'PEDIDO 9'!$C$2:$E$230,3,0),0)</f>
        <v>0</v>
      </c>
      <c r="F713" s="1">
        <f>IFERROR(VLOOKUP(1232,'PEDIDO 9'!$C$2:$E$230,3,0),0)</f>
        <v>0</v>
      </c>
      <c r="G713" s="18">
        <f t="shared" si="16"/>
        <v>0</v>
      </c>
    </row>
    <row r="714" spans="1:7" ht="15.75" x14ac:dyDescent="0.25">
      <c r="A714" s="15" t="str">
        <f>'PEDIDO 9'!$B$2</f>
        <v>Salto De Pirapora-Magazine Haddad Ltda</v>
      </c>
      <c r="B714" s="12" t="s">
        <v>463</v>
      </c>
      <c r="C714" s="1">
        <f>IFERROR(VLOOKUP(1233,'PEDIDO 9'!$C$2:$E$230,3,0),0)</f>
        <v>0</v>
      </c>
      <c r="D714" s="1">
        <f>IFERROR(VLOOKUP(1234,'PEDIDO 9'!$C$2:$E$230,3,0),0)</f>
        <v>0</v>
      </c>
      <c r="E714" s="1">
        <f>IFERROR(VLOOKUP(1235,'PEDIDO 9'!$C$2:$E$230,3,0),0)</f>
        <v>0</v>
      </c>
      <c r="F714" s="1">
        <f>IFERROR(VLOOKUP(1236,'PEDIDO 9'!$C$2:$E$230,3,0),0)</f>
        <v>0</v>
      </c>
      <c r="G714" s="18">
        <f t="shared" si="16"/>
        <v>0</v>
      </c>
    </row>
    <row r="715" spans="1:7" ht="15.75" x14ac:dyDescent="0.25">
      <c r="A715" s="15" t="str">
        <f>'PEDIDO 9'!$B$2</f>
        <v>Salto De Pirapora-Magazine Haddad Ltda</v>
      </c>
      <c r="B715" s="12" t="s">
        <v>464</v>
      </c>
      <c r="C715" s="1">
        <f>IFERROR(VLOOKUP(1237,'PEDIDO 9'!$C$2:$E$230,3,0),0)</f>
        <v>0</v>
      </c>
      <c r="D715" s="1">
        <f>IFERROR(VLOOKUP(1238,'PEDIDO 9'!$C$2:$E$230,3,0),0)</f>
        <v>0</v>
      </c>
      <c r="E715" s="1">
        <f>IFERROR(VLOOKUP(1239,'PEDIDO 9'!$C$2:$E$230,3,0),0)</f>
        <v>0</v>
      </c>
      <c r="F715" s="1">
        <f>IFERROR(VLOOKUP(1240,'PEDIDO 9'!$C$2:$E$230,3,0),0)</f>
        <v>0</v>
      </c>
      <c r="G715" s="18">
        <f t="shared" ref="G715:G727" si="17">SUM(C715+D715+E715+F715)</f>
        <v>0</v>
      </c>
    </row>
    <row r="716" spans="1:7" ht="15.75" x14ac:dyDescent="0.25">
      <c r="A716" s="15" t="str">
        <f>'PEDIDO 9'!$B$2</f>
        <v>Salto De Pirapora-Magazine Haddad Ltda</v>
      </c>
      <c r="B716" s="12" t="s">
        <v>465</v>
      </c>
      <c r="C716" s="1">
        <f>IFERROR(VLOOKUP(1241,'PEDIDO 9'!$C$2:$E$230,3,0),0)</f>
        <v>0</v>
      </c>
      <c r="D716" s="1">
        <f>IFERROR(VLOOKUP(1242,'PEDIDO 9'!$C$2:$E$230,3,0),0)</f>
        <v>0</v>
      </c>
      <c r="E716" s="1">
        <f>IFERROR(VLOOKUP(1243,'PEDIDO 9'!$C$2:$E$230,3,0),0)</f>
        <v>0</v>
      </c>
      <c r="F716" s="1">
        <f>IFERROR(VLOOKUP(1244,'PEDIDO 9'!$C$2:$E$230,3,0),0)</f>
        <v>0</v>
      </c>
      <c r="G716" s="18">
        <f t="shared" si="17"/>
        <v>0</v>
      </c>
    </row>
    <row r="717" spans="1:7" ht="15.75" x14ac:dyDescent="0.25">
      <c r="A717" s="15" t="str">
        <f>'PEDIDO 9'!$B$2</f>
        <v>Salto De Pirapora-Magazine Haddad Ltda</v>
      </c>
      <c r="B717" s="12" t="s">
        <v>466</v>
      </c>
      <c r="C717" s="1">
        <f>IFERROR(VLOOKUP(1245,'PEDIDO 9'!$C$2:$E$230,3,0),0)</f>
        <v>0</v>
      </c>
      <c r="D717" s="1">
        <f>IFERROR(VLOOKUP(1246,'PEDIDO 9'!$C$2:$E$230,3,0),0)</f>
        <v>0</v>
      </c>
      <c r="E717" s="1">
        <f>IFERROR(VLOOKUP(1247,'PEDIDO 9'!$C$2:$E$230,3,0),0)</f>
        <v>0</v>
      </c>
      <c r="F717" s="1">
        <f>IFERROR(VLOOKUP(1248,'PEDIDO 9'!$C$2:$E$230,3,0),0)</f>
        <v>0</v>
      </c>
      <c r="G717" s="18">
        <f t="shared" si="17"/>
        <v>0</v>
      </c>
    </row>
    <row r="718" spans="1:7" ht="15.75" x14ac:dyDescent="0.25">
      <c r="A718" s="15" t="str">
        <f>'PEDIDO 9'!$B$2</f>
        <v>Salto De Pirapora-Magazine Haddad Ltda</v>
      </c>
      <c r="B718" s="12" t="s">
        <v>467</v>
      </c>
      <c r="C718" s="1">
        <f>IFERROR(VLOOKUP(25714,'PEDIDO 9'!$C$2:$E$230,3,0),0)</f>
        <v>0</v>
      </c>
      <c r="D718" s="1"/>
      <c r="E718" s="1"/>
      <c r="F718" s="1"/>
      <c r="G718" s="18">
        <f t="shared" si="17"/>
        <v>0</v>
      </c>
    </row>
    <row r="719" spans="1:7" ht="15.75" x14ac:dyDescent="0.25">
      <c r="A719" s="15" t="str">
        <f>'PEDIDO 9'!$B$2</f>
        <v>Salto De Pirapora-Magazine Haddad Ltda</v>
      </c>
      <c r="B719" s="12" t="s">
        <v>468</v>
      </c>
      <c r="C719" s="1">
        <f>IFERROR(VLOOKUP(25712,'PEDIDO 9'!$C$2:$E$230,3,0),0)</f>
        <v>0</v>
      </c>
      <c r="D719" s="1"/>
      <c r="E719" s="1"/>
      <c r="F719" s="1"/>
      <c r="G719" s="18">
        <f t="shared" si="17"/>
        <v>0</v>
      </c>
    </row>
    <row r="720" spans="1:7" ht="15.75" x14ac:dyDescent="0.25">
      <c r="A720" s="15" t="str">
        <f>'PEDIDO 9'!$B$2</f>
        <v>Salto De Pirapora-Magazine Haddad Ltda</v>
      </c>
      <c r="B720" s="12" t="s">
        <v>469</v>
      </c>
      <c r="C720" s="1">
        <f>IFERROR(VLOOKUP(25713,'PEDIDO 9'!$C$2:$E$230,3,0),0)</f>
        <v>0</v>
      </c>
      <c r="D720" s="1"/>
      <c r="E720" s="1"/>
      <c r="F720" s="1"/>
      <c r="G720" s="18">
        <f t="shared" si="17"/>
        <v>0</v>
      </c>
    </row>
    <row r="721" spans="1:7" ht="15.75" x14ac:dyDescent="0.25">
      <c r="A721" s="15" t="str">
        <f>'PEDIDO 9'!$B$2</f>
        <v>Salto De Pirapora-Magazine Haddad Ltda</v>
      </c>
      <c r="B721" s="12" t="s">
        <v>470</v>
      </c>
      <c r="C721" s="1">
        <f>IFERROR(VLOOKUP(1260,'PEDIDO 9'!$C$2:$E$230,3,0),0)</f>
        <v>0</v>
      </c>
      <c r="D721" s="1"/>
      <c r="E721" s="1"/>
      <c r="F721" s="1"/>
      <c r="G721" s="18">
        <f t="shared" si="17"/>
        <v>0</v>
      </c>
    </row>
    <row r="722" spans="1:7" ht="15.75" x14ac:dyDescent="0.25">
      <c r="A722" s="15" t="str">
        <f>'PEDIDO 9'!$B$2</f>
        <v>Salto De Pirapora-Magazine Haddad Ltda</v>
      </c>
      <c r="B722" s="12" t="s">
        <v>471</v>
      </c>
      <c r="C722" s="1">
        <f>IFERROR(VLOOKUP(1261,'PEDIDO 9'!$C$2:$E$230,3,0),0)</f>
        <v>0</v>
      </c>
      <c r="D722" s="1"/>
      <c r="E722" s="1"/>
      <c r="F722" s="1"/>
      <c r="G722" s="18">
        <f t="shared" si="17"/>
        <v>0</v>
      </c>
    </row>
    <row r="723" spans="1:7" ht="15.75" x14ac:dyDescent="0.25">
      <c r="A723" s="15" t="str">
        <f>'PEDIDO 9'!$B$2</f>
        <v>Salto De Pirapora-Magazine Haddad Ltda</v>
      </c>
      <c r="B723" s="12" t="s">
        <v>472</v>
      </c>
      <c r="C723" s="1">
        <f>IFERROR(VLOOKUP(1262,'PEDIDO 9'!$C$2:$E$230,3,0),0)</f>
        <v>0</v>
      </c>
      <c r="D723" s="1"/>
      <c r="E723" s="1"/>
      <c r="F723" s="1"/>
      <c r="G723" s="18">
        <f t="shared" si="17"/>
        <v>0</v>
      </c>
    </row>
    <row r="724" spans="1:7" ht="15.75" x14ac:dyDescent="0.25">
      <c r="A724" s="15" t="str">
        <f>'PEDIDO 9'!$B$2</f>
        <v>Salto De Pirapora-Magazine Haddad Ltda</v>
      </c>
      <c r="B724" s="12" t="s">
        <v>473</v>
      </c>
      <c r="C724" s="1">
        <f>IFERROR(VLOOKUP(1263,'PEDIDO 9'!$C$2:$E$230,3,0),0)</f>
        <v>0</v>
      </c>
      <c r="D724" s="1"/>
      <c r="E724" s="1"/>
      <c r="F724" s="1"/>
      <c r="G724" s="18">
        <f t="shared" si="17"/>
        <v>0</v>
      </c>
    </row>
    <row r="725" spans="1:7" ht="15.75" x14ac:dyDescent="0.25">
      <c r="A725" s="15" t="str">
        <f>'PEDIDO 9'!$B$2</f>
        <v>Salto De Pirapora-Magazine Haddad Ltda</v>
      </c>
      <c r="B725" s="12" t="s">
        <v>474</v>
      </c>
      <c r="C725" s="1">
        <f>IFERROR(VLOOKUP(1264,'PEDIDO 9'!$C$2:$E$230,3,0),0)</f>
        <v>0</v>
      </c>
      <c r="D725" s="1"/>
      <c r="E725" s="1"/>
      <c r="F725" s="1"/>
      <c r="G725" s="18">
        <f t="shared" si="17"/>
        <v>0</v>
      </c>
    </row>
    <row r="726" spans="1:7" ht="15.75" x14ac:dyDescent="0.25">
      <c r="A726" s="15" t="str">
        <f>'PEDIDO 9'!$B$2</f>
        <v>Salto De Pirapora-Magazine Haddad Ltda</v>
      </c>
      <c r="B726" s="12" t="s">
        <v>475</v>
      </c>
      <c r="C726" s="1">
        <f>IFERROR(VLOOKUP(1265,'PEDIDO 9'!$C$2:$E$230,3,0),0)</f>
        <v>0</v>
      </c>
      <c r="D726" s="1"/>
      <c r="E726" s="1"/>
      <c r="F726" s="1"/>
      <c r="G726" s="18">
        <f t="shared" si="17"/>
        <v>0</v>
      </c>
    </row>
    <row r="727" spans="1:7" ht="15.75" x14ac:dyDescent="0.25">
      <c r="A727" s="15" t="str">
        <f>'PEDIDO 9'!$B$2</f>
        <v>Salto De Pirapora-Magazine Haddad Ltda</v>
      </c>
      <c r="B727" s="12" t="s">
        <v>476</v>
      </c>
      <c r="C727" s="1">
        <f>IFERROR(VLOOKUP(1266,'PEDIDO 9'!$C$2:$E$230,3,0),0)</f>
        <v>0</v>
      </c>
      <c r="D727" s="1"/>
      <c r="E727" s="1"/>
      <c r="F727" s="1"/>
      <c r="G727" s="18">
        <f t="shared" si="17"/>
        <v>0</v>
      </c>
    </row>
    <row r="728" spans="1:7" ht="15.75" x14ac:dyDescent="0.25">
      <c r="A728" s="15" t="str">
        <f>'PEDIDO 9'!$B$2</f>
        <v>Salto De Pirapora-Magazine Haddad Ltda</v>
      </c>
      <c r="B728" s="12" t="s">
        <v>477</v>
      </c>
      <c r="C728" s="1">
        <f>IFERROR(VLOOKUP(1268,'PEDIDO 9'!$C$2:$E$230,3,0),0)</f>
        <v>0</v>
      </c>
      <c r="D728" s="1">
        <f>IFERROR(VLOOKUP(1269,'PEDIDO 9'!$C$2:$E$230,3,0),0)</f>
        <v>0</v>
      </c>
      <c r="E728" s="1">
        <f>IFERROR(VLOOKUP(1270,'PEDIDO 9'!$C$2:$E$230,3,0),0)</f>
        <v>0</v>
      </c>
      <c r="F728" s="1">
        <f>IFERROR(VLOOKUP(1271,'PEDIDO 9'!$C$2:$E$230,3,0),0)</f>
        <v>0</v>
      </c>
      <c r="G728" s="18">
        <f>SUM(C728+D728+E728+F728)</f>
        <v>0</v>
      </c>
    </row>
    <row r="729" spans="1:7" ht="15.75" x14ac:dyDescent="0.25">
      <c r="A729" s="17"/>
      <c r="B729" s="13"/>
      <c r="C729" s="13"/>
      <c r="D729" s="13"/>
      <c r="E729" s="13"/>
      <c r="F729" s="13"/>
      <c r="G729" s="19"/>
    </row>
    <row r="730" spans="1:7" ht="15.75" x14ac:dyDescent="0.25">
      <c r="A730" s="17"/>
      <c r="B730" s="13"/>
      <c r="C730" s="13"/>
      <c r="D730" s="13"/>
      <c r="E730" s="13"/>
      <c r="F730" s="13"/>
      <c r="G730" s="19"/>
    </row>
    <row r="731" spans="1:7" ht="15.75" x14ac:dyDescent="0.25">
      <c r="A731" s="15" t="str">
        <f>'PEDIDO 10'!$B$2</f>
        <v>Aracoiaba Da Serra-Pontual Eletromoveis Epp</v>
      </c>
      <c r="B731" s="12" t="s">
        <v>399</v>
      </c>
      <c r="C731" s="1">
        <f>IFERROR(VLOOKUP(1,'PEDIDO 10'!$C$2:$E$230,3,0),0)</f>
        <v>0</v>
      </c>
      <c r="D731" s="1">
        <f>IFERROR(VLOOKUP(2,'PEDIDO 10'!$C$2:$E$230,3,0),0)</f>
        <v>0</v>
      </c>
      <c r="E731" s="1">
        <f>IFERROR(VLOOKUP(3,'PEDIDO 10'!$C$2:$E$230,3,0),0)</f>
        <v>0</v>
      </c>
      <c r="F731" s="1">
        <f>IFERROR(VLOOKUP(282,'PEDIDO 10'!$C$2:$E$230,3,0),0)</f>
        <v>0</v>
      </c>
      <c r="G731" s="18">
        <f>SUM(C731+D731+E731+F731)</f>
        <v>0</v>
      </c>
    </row>
    <row r="732" spans="1:7" ht="15.75" x14ac:dyDescent="0.25">
      <c r="A732" s="15" t="str">
        <f>'PEDIDO 10'!$B$2</f>
        <v>Aracoiaba Da Serra-Pontual Eletromoveis Epp</v>
      </c>
      <c r="B732" s="12" t="s">
        <v>400</v>
      </c>
      <c r="C732" s="1">
        <f>IFERROR(VLOOKUP(5,'PEDIDO 10'!$C$2:$E$230,3,0),0)</f>
        <v>0</v>
      </c>
      <c r="D732" s="1">
        <f>IFERROR(VLOOKUP(6,'PEDIDO 10'!$C$2:$E$230,3,0),0)</f>
        <v>0</v>
      </c>
      <c r="E732" s="1">
        <f>IFERROR(VLOOKUP(7,'PEDIDO 10'!$C$2:$E$230,3,0),0)</f>
        <v>0</v>
      </c>
      <c r="F732" s="1">
        <f>IFERROR(VLOOKUP(258,'PEDIDO 10'!$C$2:$E$230,3,0),0)</f>
        <v>20</v>
      </c>
      <c r="G732" s="18">
        <f t="shared" ref="G732:G795" si="18">SUM(C732+D732+E732+F732)</f>
        <v>20</v>
      </c>
    </row>
    <row r="733" spans="1:7" ht="15.75" x14ac:dyDescent="0.25">
      <c r="A733" s="15" t="str">
        <f>'PEDIDO 10'!$B$2</f>
        <v>Aracoiaba Da Serra-Pontual Eletromoveis Epp</v>
      </c>
      <c r="B733" s="12" t="s">
        <v>401</v>
      </c>
      <c r="C733" s="1">
        <f>IFERROR(VLOOKUP(13,'PEDIDO 10'!$C$2:$E$230,3,0),0)</f>
        <v>0</v>
      </c>
      <c r="D733" s="1">
        <f>IFERROR(VLOOKUP(14,'PEDIDO 10'!$C$2:$E$230,3,0),0)</f>
        <v>0</v>
      </c>
      <c r="E733" s="1">
        <f>IFERROR(VLOOKUP(15,'PEDIDO 10'!$C$2:$E$230,3,0),0)</f>
        <v>0</v>
      </c>
      <c r="F733" s="1">
        <f>IFERROR(VLOOKUP(289,'PEDIDO 10'!$C$2:$E$230,3,0),0)</f>
        <v>0</v>
      </c>
      <c r="G733" s="18">
        <f t="shared" si="18"/>
        <v>0</v>
      </c>
    </row>
    <row r="734" spans="1:7" ht="15.75" x14ac:dyDescent="0.25">
      <c r="A734" s="15" t="str">
        <f>'PEDIDO 10'!$B$2</f>
        <v>Aracoiaba Da Serra-Pontual Eletromoveis Epp</v>
      </c>
      <c r="B734" s="12" t="s">
        <v>402</v>
      </c>
      <c r="C734" s="1">
        <f>IFERROR(VLOOKUP(267,'PEDIDO 10'!$C$2:$E$230,3,0),0)</f>
        <v>0</v>
      </c>
      <c r="D734" s="1">
        <f>IFERROR(VLOOKUP(268,'PEDIDO 10'!$C$2:$E$230,3,0),0)</f>
        <v>0</v>
      </c>
      <c r="E734" s="1">
        <f>IFERROR(VLOOKUP(270,'PEDIDO 10'!$C$2:$E$230,3,0),0)</f>
        <v>0</v>
      </c>
      <c r="F734" s="1">
        <f>IFERROR(VLOOKUP(269,'PEDIDO 10'!$C$2:$E$230,3,0),0)</f>
        <v>0</v>
      </c>
      <c r="G734" s="18">
        <f t="shared" si="18"/>
        <v>0</v>
      </c>
    </row>
    <row r="735" spans="1:7" ht="15.75" x14ac:dyDescent="0.25">
      <c r="A735" s="15" t="str">
        <f>'PEDIDO 10'!$B$2</f>
        <v>Aracoiaba Da Serra-Pontual Eletromoveis Epp</v>
      </c>
      <c r="B735" s="12" t="s">
        <v>403</v>
      </c>
      <c r="C735" s="1">
        <f>IFERROR(VLOOKUP(17,'PEDIDO 10'!$C$2:$E$230,3,0),0)</f>
        <v>0</v>
      </c>
      <c r="D735" s="1">
        <f>IFERROR(VLOOKUP(18,'PEDIDO 10'!$C$2:$E$230,3,0),0)</f>
        <v>0</v>
      </c>
      <c r="E735" s="1">
        <f>IFERROR(VLOOKUP(19,'PEDIDO 10'!$C$2:$E$230,3,0),0)</f>
        <v>0</v>
      </c>
      <c r="F735" s="1">
        <f>IFERROR(VLOOKUP(290,'PEDIDO 10'!$C$2:$E$230,3,0),0)</f>
        <v>0</v>
      </c>
      <c r="G735" s="18">
        <f t="shared" si="18"/>
        <v>0</v>
      </c>
    </row>
    <row r="736" spans="1:7" ht="15.75" x14ac:dyDescent="0.25">
      <c r="A736" s="15" t="str">
        <f>'PEDIDO 10'!$B$2</f>
        <v>Aracoiaba Da Serra-Pontual Eletromoveis Epp</v>
      </c>
      <c r="B736" s="12" t="s">
        <v>404</v>
      </c>
      <c r="C736" s="1">
        <f>IFERROR(VLOOKUP(23,'PEDIDO 10'!$C$2:$E$230,3,0),0)</f>
        <v>0</v>
      </c>
      <c r="D736" s="1">
        <f>IFERROR(VLOOKUP(24,'PEDIDO 10'!$C$2:$E$230,3,0),0)</f>
        <v>0</v>
      </c>
      <c r="E736" s="1">
        <f>IFERROR(VLOOKUP(25,'PEDIDO 10'!$C$2:$E$230,3,0),0)</f>
        <v>0</v>
      </c>
      <c r="F736" s="1">
        <f>IFERROR(VLOOKUP(291,'PEDIDO 10'!$C$2:$E$230,3,0),0)</f>
        <v>0</v>
      </c>
      <c r="G736" s="18">
        <f t="shared" si="18"/>
        <v>0</v>
      </c>
    </row>
    <row r="737" spans="1:7" ht="15.75" x14ac:dyDescent="0.25">
      <c r="A737" s="15" t="str">
        <f>'PEDIDO 10'!$B$2</f>
        <v>Aracoiaba Da Serra-Pontual Eletromoveis Epp</v>
      </c>
      <c r="B737" s="12" t="s">
        <v>405</v>
      </c>
      <c r="C737" s="1">
        <f>IFERROR(VLOOKUP(27,'PEDIDO 10'!$C$2:$E$230,3,0),0)</f>
        <v>0</v>
      </c>
      <c r="D737" s="1">
        <f>IFERROR(VLOOKUP(28,'PEDIDO 10'!$C$2:$E$230,3,0),0)</f>
        <v>0</v>
      </c>
      <c r="E737" s="1">
        <f>IFERROR(VLOOKUP(29,'PEDIDO 10'!$C$2:$E$230,3,0),0)</f>
        <v>0</v>
      </c>
      <c r="F737" s="1">
        <f>IFERROR(VLOOKUP(292,'PEDIDO 10'!$C$2:$E$230,3,0),0)</f>
        <v>0</v>
      </c>
      <c r="G737" s="18">
        <f t="shared" si="18"/>
        <v>0</v>
      </c>
    </row>
    <row r="738" spans="1:7" ht="15.75" x14ac:dyDescent="0.25">
      <c r="A738" s="15" t="str">
        <f>'PEDIDO 10'!$B$2</f>
        <v>Aracoiaba Da Serra-Pontual Eletromoveis Epp</v>
      </c>
      <c r="B738" s="12" t="s">
        <v>406</v>
      </c>
      <c r="C738" s="1">
        <f>IFERROR(VLOOKUP(227,'PEDIDO 10'!$C$2:$E$230,3,0),0)</f>
        <v>0</v>
      </c>
      <c r="D738" s="1">
        <f>IFERROR(VLOOKUP(228,'PEDIDO 10'!$C$2:$E$230,3,0),0)</f>
        <v>0</v>
      </c>
      <c r="E738" s="1">
        <f>IFERROR(VLOOKUP(229,'PEDIDO 10'!$C$2:$E$230,3,0),0)</f>
        <v>0</v>
      </c>
      <c r="F738" s="1">
        <f>IFERROR(VLOOKUP(230,'PEDIDO 10'!$C$2:$E$230,3,0),0)</f>
        <v>0</v>
      </c>
      <c r="G738" s="18">
        <f t="shared" si="18"/>
        <v>0</v>
      </c>
    </row>
    <row r="739" spans="1:7" ht="15.75" x14ac:dyDescent="0.25">
      <c r="A739" s="15" t="str">
        <f>'PEDIDO 10'!$B$2</f>
        <v>Aracoiaba Da Serra-Pontual Eletromoveis Epp</v>
      </c>
      <c r="B739" s="12" t="s">
        <v>407</v>
      </c>
      <c r="C739" s="1">
        <f>IFERROR(VLOOKUP(231,'PEDIDO 10'!$C$2:$E$230,3,0),0)</f>
        <v>0</v>
      </c>
      <c r="D739" s="1">
        <f>IFERROR(VLOOKUP(232,'PEDIDO 10'!$C$2:$E$230,3,0),0)</f>
        <v>0</v>
      </c>
      <c r="E739" s="1">
        <f>IFERROR(VLOOKUP(234,'PEDIDO 10'!$C$2:$E$230,3,0),0)</f>
        <v>0</v>
      </c>
      <c r="F739" s="1">
        <f>IFERROR(VLOOKUP(233,'PEDIDO 10'!$C$2:$E$230,3,0),0)</f>
        <v>0</v>
      </c>
      <c r="G739" s="18">
        <f t="shared" si="18"/>
        <v>0</v>
      </c>
    </row>
    <row r="740" spans="1:7" ht="15.75" x14ac:dyDescent="0.25">
      <c r="A740" s="15" t="str">
        <f>'PEDIDO 10'!$B$2</f>
        <v>Aracoiaba Da Serra-Pontual Eletromoveis Epp</v>
      </c>
      <c r="B740" s="12" t="s">
        <v>408</v>
      </c>
      <c r="C740" s="1">
        <f>IFERROR(VLOOKUP(237,'PEDIDO 10'!$C$2:$E$230,3,0),0)</f>
        <v>0</v>
      </c>
      <c r="D740" s="1">
        <f>IFERROR(VLOOKUP(238,'PEDIDO 10'!$C$2:$E$230,3,0),0)</f>
        <v>0</v>
      </c>
      <c r="E740" s="1">
        <f>IFERROR(VLOOKUP(240,'PEDIDO 10'!$C$2:$E$230,3,0),0)</f>
        <v>0</v>
      </c>
      <c r="F740" s="1">
        <f>IFERROR(VLOOKUP(239,'PEDIDO 10'!$C$2:$E$230,3,0),0)</f>
        <v>0</v>
      </c>
      <c r="G740" s="18">
        <f t="shared" si="18"/>
        <v>0</v>
      </c>
    </row>
    <row r="741" spans="1:7" ht="15.75" x14ac:dyDescent="0.25">
      <c r="A741" s="15" t="str">
        <f>'PEDIDO 10'!$B$2</f>
        <v>Aracoiaba Da Serra-Pontual Eletromoveis Epp</v>
      </c>
      <c r="B741" s="12" t="s">
        <v>409</v>
      </c>
      <c r="C741" s="1">
        <f>IFERROR(VLOOKUP(25707,'PEDIDO 10'!$C$2:$E$230,3,0),0)</f>
        <v>0</v>
      </c>
      <c r="D741" s="1">
        <f>IFERROR(VLOOKUP(25708,'PEDIDO 10'!$C$2:$E$230,3,0),0)</f>
        <v>0</v>
      </c>
      <c r="E741" s="1">
        <f>IFERROR(VLOOKUP(25710,'PEDIDO 10'!$C$2:$E$230,3,0),0)</f>
        <v>0</v>
      </c>
      <c r="F741" s="1">
        <f>IFERROR(VLOOKUP(25709,'PEDIDO 10'!$C$2:$E$230,3,0),0)</f>
        <v>0</v>
      </c>
      <c r="G741" s="18">
        <f t="shared" si="18"/>
        <v>0</v>
      </c>
    </row>
    <row r="742" spans="1:7" ht="15.75" x14ac:dyDescent="0.25">
      <c r="A742" s="15" t="str">
        <f>'PEDIDO 10'!$B$2</f>
        <v>Aracoiaba Da Serra-Pontual Eletromoveis Epp</v>
      </c>
      <c r="B742" s="12" t="s">
        <v>410</v>
      </c>
      <c r="C742" s="1">
        <f>IFERROR(VLOOKUP(25711,'PEDIDO 10'!$C$2:$E$230,3,0),0)</f>
        <v>0</v>
      </c>
      <c r="D742" s="1"/>
      <c r="E742" s="1"/>
      <c r="F742" s="1"/>
      <c r="G742" s="18">
        <f t="shared" si="18"/>
        <v>0</v>
      </c>
    </row>
    <row r="743" spans="1:7" ht="15.75" x14ac:dyDescent="0.25">
      <c r="A743" s="15" t="str">
        <f>'PEDIDO 10'!$B$2</f>
        <v>Aracoiaba Da Serra-Pontual Eletromoveis Epp</v>
      </c>
      <c r="B743" s="12" t="s">
        <v>411</v>
      </c>
      <c r="C743" s="1">
        <f>IFERROR(VLOOKUP(35,'PEDIDO 10'!$C$2:$E$230,3,0),0)</f>
        <v>0</v>
      </c>
      <c r="D743" s="1">
        <f>IFERROR(VLOOKUP(36,'PEDIDO 10'!$C$2:$E$230,3,0),0)</f>
        <v>0</v>
      </c>
      <c r="E743" s="1">
        <f>IFERROR(VLOOKUP(37,'PEDIDO 10'!$C$2:$E$230,3,0),0)</f>
        <v>0</v>
      </c>
      <c r="F743" s="1">
        <f>IFERROR(VLOOKUP(294,'PEDIDO 10'!$C$2:$E$230,3,0),0)</f>
        <v>3</v>
      </c>
      <c r="G743" s="18">
        <f t="shared" si="18"/>
        <v>3</v>
      </c>
    </row>
    <row r="744" spans="1:7" ht="15.75" x14ac:dyDescent="0.25">
      <c r="A744" s="15" t="str">
        <f>'PEDIDO 10'!$B$2</f>
        <v>Aracoiaba Da Serra-Pontual Eletromoveis Epp</v>
      </c>
      <c r="B744" s="12" t="s">
        <v>412</v>
      </c>
      <c r="C744" s="1">
        <f>IFERROR(VLOOKUP(39,'PEDIDO 10'!$C$2:$E$230,3,0),0)</f>
        <v>0</v>
      </c>
      <c r="D744" s="1">
        <f>IFERROR(VLOOKUP(40,'PEDIDO 10'!$C$2:$E$230,3,0),0)</f>
        <v>0</v>
      </c>
      <c r="E744" s="1">
        <f>IFERROR(VLOOKUP(42,'PEDIDO 10'!$C$2:$E$230,3,0),0)</f>
        <v>0</v>
      </c>
      <c r="F744" s="1">
        <f>IFERROR(VLOOKUP(295,'PEDIDO 10'!$C$2:$E$230,3,0),0)</f>
        <v>2</v>
      </c>
      <c r="G744" s="18">
        <f t="shared" si="18"/>
        <v>2</v>
      </c>
    </row>
    <row r="745" spans="1:7" ht="15.75" x14ac:dyDescent="0.25">
      <c r="A745" s="15" t="str">
        <f>'PEDIDO 10'!$B$2</f>
        <v>Aracoiaba Da Serra-Pontual Eletromoveis Epp</v>
      </c>
      <c r="B745" s="12" t="s">
        <v>413</v>
      </c>
      <c r="C745" s="1">
        <f>IFERROR(VLOOKUP(44,'PEDIDO 10'!$C$2:$E$230,3,0),0)</f>
        <v>0</v>
      </c>
      <c r="D745" s="1">
        <f>IFERROR(VLOOKUP(45,'PEDIDO 10'!$C$2:$E$230,3,0),0)</f>
        <v>0</v>
      </c>
      <c r="E745" s="1">
        <f>IFERROR(VLOOKUP(46,'PEDIDO 10'!$C$2:$E$230,3,0),0)</f>
        <v>0</v>
      </c>
      <c r="F745" s="1">
        <f>IFERROR(VLOOKUP(283,'PEDIDO 10'!$C$2:$E$230,3,0),0)</f>
        <v>0</v>
      </c>
      <c r="G745" s="18">
        <f t="shared" si="18"/>
        <v>0</v>
      </c>
    </row>
    <row r="746" spans="1:7" ht="15.75" x14ac:dyDescent="0.25">
      <c r="A746" s="15" t="str">
        <f>'PEDIDO 10'!$B$2</f>
        <v>Aracoiaba Da Serra-Pontual Eletromoveis Epp</v>
      </c>
      <c r="B746" s="12" t="s">
        <v>414</v>
      </c>
      <c r="C746" s="1">
        <f>IFERROR(VLOOKUP(48,'PEDIDO 10'!$C$2:$E$230,3,0),0)</f>
        <v>0</v>
      </c>
      <c r="D746" s="1">
        <f>IFERROR(VLOOKUP(49,'PEDIDO 10'!$C$2:$E$230,3,0),0)</f>
        <v>0</v>
      </c>
      <c r="E746" s="1">
        <f>IFERROR(VLOOKUP(50,'PEDIDO 10'!$C$2:$E$230,3,0),0)</f>
        <v>0</v>
      </c>
      <c r="F746" s="1">
        <f>IFERROR(VLOOKUP(298,'PEDIDO 10'!$C$2:$E$230,3,0),0)</f>
        <v>1</v>
      </c>
      <c r="G746" s="18">
        <f t="shared" si="18"/>
        <v>1</v>
      </c>
    </row>
    <row r="747" spans="1:7" ht="15.75" x14ac:dyDescent="0.25">
      <c r="A747" s="15" t="str">
        <f>'PEDIDO 10'!$B$2</f>
        <v>Aracoiaba Da Serra-Pontual Eletromoveis Epp</v>
      </c>
      <c r="B747" s="12" t="s">
        <v>415</v>
      </c>
      <c r="C747" s="1">
        <f>IFERROR(VLOOKUP(52,'PEDIDO 10'!$C$2:$E$230,3,0),0)</f>
        <v>0</v>
      </c>
      <c r="D747" s="1">
        <f>IFERROR(VLOOKUP(53,'PEDIDO 10'!$C$2:$E$230,3,0),0)</f>
        <v>0</v>
      </c>
      <c r="E747" s="1">
        <f>IFERROR(VLOOKUP(54,'PEDIDO 10'!$C$2:$E$230,3,0),0)</f>
        <v>0</v>
      </c>
      <c r="F747" s="1">
        <f>IFERROR(VLOOKUP(299,'PEDIDO 10'!$C$2:$E$230,3,0),0)</f>
        <v>0</v>
      </c>
      <c r="G747" s="18">
        <f t="shared" si="18"/>
        <v>0</v>
      </c>
    </row>
    <row r="748" spans="1:7" ht="15.75" x14ac:dyDescent="0.25">
      <c r="A748" s="15" t="str">
        <f>'PEDIDO 10'!$B$2</f>
        <v>Aracoiaba Da Serra-Pontual Eletromoveis Epp</v>
      </c>
      <c r="B748" s="12" t="s">
        <v>416</v>
      </c>
      <c r="C748" s="1">
        <f>IFERROR(VLOOKUP(56,'PEDIDO 10'!$C$2:$E$230,3,0),0)</f>
        <v>0</v>
      </c>
      <c r="D748" s="1">
        <f>IFERROR(VLOOKUP(61,'PEDIDO 10'!$C$2:$E$230,3,0),0)</f>
        <v>0</v>
      </c>
      <c r="E748" s="1">
        <f>IFERROR(VLOOKUP(58,'PEDIDO 10'!$C$2:$E$230,3,0),0)</f>
        <v>0</v>
      </c>
      <c r="F748" s="1">
        <f>IFERROR(VLOOKUP(300,'PEDIDO 10'!$C$2:$E$230,3,0),0)</f>
        <v>0</v>
      </c>
      <c r="G748" s="18">
        <f t="shared" si="18"/>
        <v>0</v>
      </c>
    </row>
    <row r="749" spans="1:7" ht="15.75" x14ac:dyDescent="0.25">
      <c r="A749" s="15" t="str">
        <f>'PEDIDO 10'!$B$2</f>
        <v>Aracoiaba Da Serra-Pontual Eletromoveis Epp</v>
      </c>
      <c r="B749" s="12" t="s">
        <v>417</v>
      </c>
      <c r="C749" s="1">
        <f>IFERROR(VLOOKUP(60,'PEDIDO 10'!$C$2:$E$230,3,0),0)</f>
        <v>0</v>
      </c>
      <c r="D749" s="1">
        <f>IFERROR(VLOOKUP(120,'PEDIDO 10'!$C$2:$E$230,3,0),0)</f>
        <v>0</v>
      </c>
      <c r="E749" s="1">
        <f>IFERROR(VLOOKUP(62,'PEDIDO 10'!$C$2:$E$230,3,0),0)</f>
        <v>0</v>
      </c>
      <c r="F749" s="1">
        <f>IFERROR(VLOOKUP(301,'PEDIDO 10'!$C$2:$E$230,3,0),0)</f>
        <v>0</v>
      </c>
      <c r="G749" s="18">
        <f t="shared" si="18"/>
        <v>0</v>
      </c>
    </row>
    <row r="750" spans="1:7" ht="15.75" x14ac:dyDescent="0.25">
      <c r="A750" s="15" t="str">
        <f>'PEDIDO 10'!$B$2</f>
        <v>Aracoiaba Da Serra-Pontual Eletromoveis Epp</v>
      </c>
      <c r="B750" s="12" t="s">
        <v>426</v>
      </c>
      <c r="C750" s="1">
        <f>IFERROR(VLOOKUP(112,'PEDIDO 10'!$C$2:$E$230,3,0),0)</f>
        <v>0</v>
      </c>
      <c r="D750" s="1">
        <f>IFERROR(VLOOKUP(113,'PEDIDO 10'!$C$2:$E$230,3,0),0)</f>
        <v>0</v>
      </c>
      <c r="E750" s="1">
        <f>IFERROR(VLOOKUP(114,'PEDIDO 10'!$C$2:$E$230,3,0),0)</f>
        <v>0</v>
      </c>
      <c r="F750" s="1">
        <f>IFERROR(VLOOKUP(296,'PEDIDO 10'!$C$2:$E$230,3,0),0)</f>
        <v>0</v>
      </c>
      <c r="G750" s="18">
        <f t="shared" si="18"/>
        <v>0</v>
      </c>
    </row>
    <row r="751" spans="1:7" ht="15.75" x14ac:dyDescent="0.25">
      <c r="A751" s="15" t="str">
        <f>'PEDIDO 10'!$B$2</f>
        <v>Aracoiaba Da Serra-Pontual Eletromoveis Epp</v>
      </c>
      <c r="B751" s="12" t="s">
        <v>427</v>
      </c>
      <c r="C751" s="1">
        <f>IFERROR(VLOOKUP(116,'PEDIDO 10'!$C$2:$E$230,3,0),0)</f>
        <v>0</v>
      </c>
      <c r="D751" s="1">
        <f>IFERROR(VLOOKUP(117,'PEDIDO 10'!$C$2:$E$230,3,0),0)</f>
        <v>0</v>
      </c>
      <c r="E751" s="1">
        <f>IFERROR(VLOOKUP(118,'PEDIDO 10'!$C$2:$E$230,3,0),0)</f>
        <v>0</v>
      </c>
      <c r="F751" s="1">
        <f>IFERROR(VLOOKUP(293,'PEDIDO 10'!$C$2:$E$230,3,0),0)</f>
        <v>0</v>
      </c>
      <c r="G751" s="18">
        <f t="shared" si="18"/>
        <v>0</v>
      </c>
    </row>
    <row r="752" spans="1:7" ht="15.75" x14ac:dyDescent="0.25">
      <c r="A752" s="15" t="str">
        <f>'PEDIDO 10'!$B$2</f>
        <v>Aracoiaba Da Serra-Pontual Eletromoveis Epp</v>
      </c>
      <c r="B752" s="12" t="s">
        <v>418</v>
      </c>
      <c r="C752" s="1">
        <f>IFERROR(VLOOKUP(963,'PEDIDO 10'!$C$2:$E$230,3,0),0)</f>
        <v>0</v>
      </c>
      <c r="D752" s="1">
        <f>IFERROR(VLOOKUP(965,'PEDIDO 10'!$C$2:$E$230,3,0),0)</f>
        <v>0</v>
      </c>
      <c r="E752" s="1">
        <f>IFERROR(VLOOKUP(966,'PEDIDO 10'!$C$2:$E$230,3,0),0)</f>
        <v>0</v>
      </c>
      <c r="F752" s="1">
        <f>IFERROR(VLOOKUP(964,'PEDIDO 10'!$C$2:$E$230,3,0),0)</f>
        <v>0</v>
      </c>
      <c r="G752" s="18">
        <f t="shared" si="18"/>
        <v>0</v>
      </c>
    </row>
    <row r="753" spans="1:7" ht="15.75" x14ac:dyDescent="0.25">
      <c r="A753" s="15" t="str">
        <f>'PEDIDO 10'!$B$2</f>
        <v>Aracoiaba Da Serra-Pontual Eletromoveis Epp</v>
      </c>
      <c r="B753" s="12" t="s">
        <v>419</v>
      </c>
      <c r="C753" s="1">
        <f>IFERROR(VLOOKUP(2042,'PEDIDO 10'!$C$2:$E$230,3,0),0)</f>
        <v>0</v>
      </c>
      <c r="D753" s="1">
        <f>IFERROR(VLOOKUP(2041,'PEDIDO 10'!$C$2:$E$230,3,0),0)</f>
        <v>0</v>
      </c>
      <c r="E753" s="1">
        <f>IFERROR(VLOOKUP(2043,'PEDIDO 10'!$C$2:$E$230,3,0),0)</f>
        <v>0</v>
      </c>
      <c r="F753" s="1">
        <f>IFERROR(VLOOKUP(2040,'PEDIDO 10'!$C$2:$E$230,3,0),0)</f>
        <v>0</v>
      </c>
      <c r="G753" s="18">
        <f t="shared" si="18"/>
        <v>0</v>
      </c>
    </row>
    <row r="754" spans="1:7" ht="15.75" x14ac:dyDescent="0.25">
      <c r="A754" s="15" t="str">
        <f>'PEDIDO 10'!$B$2</f>
        <v>Aracoiaba Da Serra-Pontual Eletromoveis Epp</v>
      </c>
      <c r="B754" s="12" t="s">
        <v>420</v>
      </c>
      <c r="C754" s="1">
        <f>IFERROR(VLOOKUP(2045,'PEDIDO 10'!$C$2:$E$230,3,0),0)</f>
        <v>0</v>
      </c>
      <c r="D754" s="1">
        <f>IFERROR(VLOOKUP(2046,'PEDIDO 10'!$C$2:$E$230,3,0),0)</f>
        <v>0</v>
      </c>
      <c r="E754" s="1">
        <f>IFERROR(VLOOKUP(2047,'PEDIDO 10'!$C$2:$E$230,3,0),0)</f>
        <v>0</v>
      </c>
      <c r="F754" s="1">
        <f>IFERROR(VLOOKUP(2048,'PEDIDO 10'!$C$2:$E$230,3,0),0)</f>
        <v>0</v>
      </c>
      <c r="G754" s="18">
        <f t="shared" si="18"/>
        <v>0</v>
      </c>
    </row>
    <row r="755" spans="1:7" ht="15.75" x14ac:dyDescent="0.25">
      <c r="A755" s="15" t="str">
        <f>'PEDIDO 10'!$B$2</f>
        <v>Aracoiaba Da Serra-Pontual Eletromoveis Epp</v>
      </c>
      <c r="B755" s="12" t="s">
        <v>421</v>
      </c>
      <c r="C755" s="1">
        <f>IFERROR(VLOOKUP(2050,'PEDIDO 10'!$C$2:$E$230,3,0),0)</f>
        <v>0</v>
      </c>
      <c r="D755" s="1">
        <f>IFERROR(VLOOKUP(2051,'PEDIDO 10'!$C$2:$E$230,3,0),0)</f>
        <v>0</v>
      </c>
      <c r="E755" s="1">
        <f>IFERROR(VLOOKUP(2052,'PEDIDO 10'!$C$2:$E$230,3,0),0)</f>
        <v>0</v>
      </c>
      <c r="F755" s="1">
        <f>IFERROR(VLOOKUP(2053,'PEDIDO 10'!$C$2:$E$230,3,0),0)</f>
        <v>0</v>
      </c>
      <c r="G755" s="18">
        <f t="shared" si="18"/>
        <v>0</v>
      </c>
    </row>
    <row r="756" spans="1:7" ht="15.75" x14ac:dyDescent="0.25">
      <c r="A756" s="15" t="str">
        <f>'PEDIDO 10'!$B$2</f>
        <v>Aracoiaba Da Serra-Pontual Eletromoveis Epp</v>
      </c>
      <c r="B756" s="12" t="s">
        <v>422</v>
      </c>
      <c r="C756" s="1">
        <f>IFERROR(VLOOKUP(216,'PEDIDO 10'!$C$2:$E$230,3,0),0)</f>
        <v>0</v>
      </c>
      <c r="D756" s="1">
        <f>IFERROR(VLOOKUP(217,'PEDIDO 10'!$C$2:$E$230,3,0),0)</f>
        <v>0</v>
      </c>
      <c r="E756" s="1">
        <f>IFERROR(VLOOKUP(218,'PEDIDO 10'!$C$2:$E$230,3,0),0)</f>
        <v>0</v>
      </c>
      <c r="F756" s="1">
        <f>IFERROR(VLOOKUP(305,'PEDIDO 10'!$C$2:$E$230,3,0),0)</f>
        <v>0</v>
      </c>
      <c r="G756" s="18">
        <f t="shared" si="18"/>
        <v>0</v>
      </c>
    </row>
    <row r="757" spans="1:7" ht="15.75" x14ac:dyDescent="0.25">
      <c r="A757" s="15" t="str">
        <f>'PEDIDO 10'!$B$2</f>
        <v>Aracoiaba Da Serra-Pontual Eletromoveis Epp</v>
      </c>
      <c r="B757" s="12" t="s">
        <v>423</v>
      </c>
      <c r="C757" s="1">
        <f>IFERROR(VLOOKUP(100,'PEDIDO 10'!$C$2:$E$230,3,0),0)</f>
        <v>0</v>
      </c>
      <c r="D757" s="1">
        <f>IFERROR(VLOOKUP(101,'PEDIDO 10'!$C$2:$E$230,3,0),0)</f>
        <v>0</v>
      </c>
      <c r="E757" s="1">
        <f>IFERROR(VLOOKUP(102,'PEDIDO 10'!$C$2:$E$230,3,0),0)</f>
        <v>0</v>
      </c>
      <c r="F757" s="1">
        <f>IFERROR(VLOOKUP(306,'PEDIDO 10'!$C$2:$E$230,3,0),0)</f>
        <v>0</v>
      </c>
      <c r="G757" s="18">
        <f t="shared" si="18"/>
        <v>0</v>
      </c>
    </row>
    <row r="758" spans="1:7" ht="15.75" x14ac:dyDescent="0.25">
      <c r="A758" s="15" t="str">
        <f>'PEDIDO 10'!$B$2</f>
        <v>Aracoiaba Da Serra-Pontual Eletromoveis Epp</v>
      </c>
      <c r="B758" s="12" t="s">
        <v>424</v>
      </c>
      <c r="C758" s="1">
        <f>IFERROR(VLOOKUP(104,'PEDIDO 10'!$C$2:$E$230,3,0),0)</f>
        <v>0</v>
      </c>
      <c r="D758" s="1">
        <f>IFERROR(VLOOKUP(105,'PEDIDO 10'!$C$2:$E$230,3,0),0)</f>
        <v>0</v>
      </c>
      <c r="E758" s="1">
        <f>IFERROR(VLOOKUP(106,'PEDIDO 10'!$C$2:$E$230,3,0),0)</f>
        <v>0</v>
      </c>
      <c r="F758" s="1">
        <f>IFERROR(VLOOKUP(307,'PEDIDO 10'!$C$2:$E$230,3,0),0)</f>
        <v>0</v>
      </c>
      <c r="G758" s="18">
        <f t="shared" si="18"/>
        <v>0</v>
      </c>
    </row>
    <row r="759" spans="1:7" ht="15.75" x14ac:dyDescent="0.25">
      <c r="A759" s="15" t="str">
        <f>'PEDIDO 10'!$B$2</f>
        <v>Aracoiaba Da Serra-Pontual Eletromoveis Epp</v>
      </c>
      <c r="B759" s="12" t="s">
        <v>425</v>
      </c>
      <c r="C759" s="1">
        <f>IFERROR(VLOOKUP(400,'PEDIDO 10'!$C$2:$E$230,3,0),0)</f>
        <v>0</v>
      </c>
      <c r="D759" s="1">
        <f>IFERROR(VLOOKUP(401,'PEDIDO 10'!$C$2:$E$230,3,0),0)</f>
        <v>0</v>
      </c>
      <c r="E759" s="1">
        <f>IFERROR(VLOOKUP(402,'PEDIDO 10'!$C$2:$E$230,3,0),0)</f>
        <v>0</v>
      </c>
      <c r="F759" s="1">
        <f>IFERROR(VLOOKUP(403,'PEDIDO 10'!$C$2:$E$230,3,0),0)</f>
        <v>0</v>
      </c>
      <c r="G759" s="18">
        <f t="shared" si="18"/>
        <v>0</v>
      </c>
    </row>
    <row r="760" spans="1:7" ht="15.75" x14ac:dyDescent="0.25">
      <c r="A760" s="15" t="str">
        <f>'PEDIDO 10'!$B$2</f>
        <v>Aracoiaba Da Serra-Pontual Eletromoveis Epp</v>
      </c>
      <c r="B760" s="12" t="s">
        <v>428</v>
      </c>
      <c r="C760" s="1">
        <f>IFERROR(VLOOKUP(22,'PEDIDO 10'!$C$2:$E$230,3,0),0)</f>
        <v>0</v>
      </c>
      <c r="D760" s="1"/>
      <c r="E760" s="1"/>
      <c r="F760" s="1"/>
      <c r="G760" s="18">
        <f t="shared" si="18"/>
        <v>0</v>
      </c>
    </row>
    <row r="761" spans="1:7" ht="15.75" x14ac:dyDescent="0.25">
      <c r="A761" s="15" t="str">
        <f>'PEDIDO 10'!$B$2</f>
        <v>Aracoiaba Da Serra-Pontual Eletromoveis Epp</v>
      </c>
      <c r="B761" s="12" t="s">
        <v>429</v>
      </c>
      <c r="C761" s="1">
        <f>IFERROR(VLOOKUP(21,'PEDIDO 10'!$C$2:$E$230,3,0),0)</f>
        <v>0</v>
      </c>
      <c r="D761" s="1"/>
      <c r="E761" s="1"/>
      <c r="F761" s="1"/>
      <c r="G761" s="18">
        <f t="shared" si="18"/>
        <v>0</v>
      </c>
    </row>
    <row r="762" spans="1:7" ht="15.75" x14ac:dyDescent="0.25">
      <c r="A762" s="15" t="str">
        <f>'PEDIDO 10'!$B$2</f>
        <v>Aracoiaba Da Serra-Pontual Eletromoveis Epp</v>
      </c>
      <c r="B762" s="12" t="s">
        <v>430</v>
      </c>
      <c r="C762" s="1">
        <f>IFERROR(VLOOKUP(1125,'PEDIDO 10'!$C$2:$E$230,3,0),0)</f>
        <v>0</v>
      </c>
      <c r="D762" s="1">
        <f>IFERROR(VLOOKUP(1126,'PEDIDO 10'!$C$2:$E$230,3,0),0)</f>
        <v>0</v>
      </c>
      <c r="E762" s="1">
        <f>IFERROR(VLOOKUP(1127,'PEDIDO 10'!$C$2:$E$230,3,0),0)</f>
        <v>0</v>
      </c>
      <c r="F762" s="1">
        <f>IFERROR(VLOOKUP(1128,'PEDIDO 10'!$C$2:$E$230,3,0),0)</f>
        <v>0</v>
      </c>
      <c r="G762" s="18">
        <f t="shared" si="18"/>
        <v>0</v>
      </c>
    </row>
    <row r="763" spans="1:7" ht="15.75" x14ac:dyDescent="0.25">
      <c r="A763" s="15" t="str">
        <f>'PEDIDO 10'!$B$2</f>
        <v>Aracoiaba Da Serra-Pontual Eletromoveis Epp</v>
      </c>
      <c r="B763" s="12" t="s">
        <v>431</v>
      </c>
      <c r="C763" s="1">
        <f>IFERROR(VLOOKUP(1133,'PEDIDO 10'!$C$2:$E$230,3,0),0)</f>
        <v>0</v>
      </c>
      <c r="D763" s="1">
        <f>IFERROR(VLOOKUP(1134,'PEDIDO 10'!$C$2:$E$230,3,0),0)</f>
        <v>0</v>
      </c>
      <c r="E763" s="1">
        <f>IFERROR(VLOOKUP(1135,'PEDIDO 10'!$C$2:$E$230,3,0),0)</f>
        <v>0</v>
      </c>
      <c r="F763" s="1">
        <f>IFERROR(VLOOKUP(1136,'PEDIDO 10'!$C$2:$E$230,3,0),0)</f>
        <v>0</v>
      </c>
      <c r="G763" s="18">
        <f t="shared" si="18"/>
        <v>0</v>
      </c>
    </row>
    <row r="764" spans="1:7" ht="15.75" x14ac:dyDescent="0.25">
      <c r="A764" s="15" t="str">
        <f>'PEDIDO 10'!$B$2</f>
        <v>Aracoiaba Da Serra-Pontual Eletromoveis Epp</v>
      </c>
      <c r="B764" s="12" t="s">
        <v>432</v>
      </c>
      <c r="C764" s="1">
        <f>IFERROR(VLOOKUP(1105,'PEDIDO 10'!$C$2:$E$230,3,0),0)</f>
        <v>0</v>
      </c>
      <c r="D764" s="1">
        <f>IFERROR(VLOOKUP(1106,'PEDIDO 10'!$C$2:$E$230,3,0),0)</f>
        <v>0</v>
      </c>
      <c r="E764" s="1">
        <f>IFERROR(VLOOKUP(1107,'PEDIDO 10'!$C$2:$E$230,3,0),0)</f>
        <v>0</v>
      </c>
      <c r="F764" s="1">
        <f>IFERROR(VLOOKUP(1108,'PEDIDO 10'!$C$2:$E$230,3,0),0)</f>
        <v>0</v>
      </c>
      <c r="G764" s="18">
        <f t="shared" si="18"/>
        <v>0</v>
      </c>
    </row>
    <row r="765" spans="1:7" ht="15.75" x14ac:dyDescent="0.25">
      <c r="A765" s="15" t="str">
        <f>'PEDIDO 10'!$B$2</f>
        <v>Aracoiaba Da Serra-Pontual Eletromoveis Epp</v>
      </c>
      <c r="B765" s="12" t="s">
        <v>433</v>
      </c>
      <c r="C765" s="1">
        <f>IFERROR(VLOOKUP(1109,'PEDIDO 10'!$C$2:$E$230,3,0),0)</f>
        <v>0</v>
      </c>
      <c r="D765" s="1">
        <f>IFERROR(VLOOKUP(1110,'PEDIDO 10'!$C$2:$E$230,3,0),0)</f>
        <v>0</v>
      </c>
      <c r="E765" s="1">
        <f>IFERROR(VLOOKUP(1111,'PEDIDO 10'!$C$2:$E$230,3,0),0)</f>
        <v>0</v>
      </c>
      <c r="F765" s="1">
        <f>IFERROR(VLOOKUP(1112,'PEDIDO 10'!$C$2:$E$230,3,0),0)</f>
        <v>0</v>
      </c>
      <c r="G765" s="18">
        <f t="shared" si="18"/>
        <v>0</v>
      </c>
    </row>
    <row r="766" spans="1:7" ht="15.75" x14ac:dyDescent="0.25">
      <c r="A766" s="15" t="str">
        <f>'PEDIDO 10'!$B$2</f>
        <v>Aracoiaba Da Serra-Pontual Eletromoveis Epp</v>
      </c>
      <c r="B766" s="12" t="s">
        <v>434</v>
      </c>
      <c r="C766" s="1">
        <f>IFERROR(VLOOKUP(1113,'PEDIDO 10'!$C$2:$E$230,3,0),0)</f>
        <v>0</v>
      </c>
      <c r="D766" s="1">
        <f>IFERROR(VLOOKUP(1114,'PEDIDO 10'!$C$2:$E$230,3,0),0)</f>
        <v>0</v>
      </c>
      <c r="E766" s="1">
        <f>IFERROR(VLOOKUP(1115,'PEDIDO 10'!$C$2:$E$230,3,0),0)</f>
        <v>0</v>
      </c>
      <c r="F766" s="1">
        <f>IFERROR(VLOOKUP(1116,'PEDIDO 10'!$C$2:$E$230,3,0),0)</f>
        <v>0</v>
      </c>
      <c r="G766" s="18">
        <f t="shared" si="18"/>
        <v>0</v>
      </c>
    </row>
    <row r="767" spans="1:7" ht="15.75" x14ac:dyDescent="0.25">
      <c r="A767" s="15" t="str">
        <f>'PEDIDO 10'!$B$2</f>
        <v>Aracoiaba Da Serra-Pontual Eletromoveis Epp</v>
      </c>
      <c r="B767" s="12" t="s">
        <v>435</v>
      </c>
      <c r="C767" s="1">
        <f>IFERROR(VLOOKUP(1117,'PEDIDO 10'!$C$2:$E$230,3,0),0)</f>
        <v>0</v>
      </c>
      <c r="D767" s="1">
        <f>IFERROR(VLOOKUP(1118,'PEDIDO 10'!$C$2:$E$230,3,0),0)</f>
        <v>0</v>
      </c>
      <c r="E767" s="1">
        <f>IFERROR(VLOOKUP(1119,'PEDIDO 10'!$C$2:$E$230,3,0),0)</f>
        <v>0</v>
      </c>
      <c r="F767" s="1">
        <f>IFERROR(VLOOKUP(1120,'PEDIDO 10'!$C$2:$E$230,3,0),0)</f>
        <v>0</v>
      </c>
      <c r="G767" s="18">
        <f t="shared" si="18"/>
        <v>0</v>
      </c>
    </row>
    <row r="768" spans="1:7" ht="15.75" x14ac:dyDescent="0.25">
      <c r="A768" s="15" t="str">
        <f>'PEDIDO 10'!$B$2</f>
        <v>Aracoiaba Da Serra-Pontual Eletromoveis Epp</v>
      </c>
      <c r="B768" s="12" t="s">
        <v>436</v>
      </c>
      <c r="C768" s="1">
        <f>IFERROR(VLOOKUP(1121,'PEDIDO 10'!$C$2:$E$230,3,0),0)</f>
        <v>0</v>
      </c>
      <c r="D768" s="1">
        <f>IFERROR(VLOOKUP(1122,'PEDIDO 10'!$C$2:$E$230,3,0),0)</f>
        <v>0</v>
      </c>
      <c r="E768" s="1">
        <f>IFERROR(VLOOKUP(1123,'PEDIDO 10'!$C$2:$E$230,3,0),0)</f>
        <v>0</v>
      </c>
      <c r="F768" s="1">
        <f>IFERROR(VLOOKUP(1124,'PEDIDO 10'!$C$2:$E$230,3,0),0)</f>
        <v>0</v>
      </c>
      <c r="G768" s="18">
        <f t="shared" si="18"/>
        <v>0</v>
      </c>
    </row>
    <row r="769" spans="1:7" ht="15.75" x14ac:dyDescent="0.25">
      <c r="A769" s="15" t="str">
        <f>'PEDIDO 10'!$B$2</f>
        <v>Aracoiaba Da Serra-Pontual Eletromoveis Epp</v>
      </c>
      <c r="B769" s="12" t="s">
        <v>437</v>
      </c>
      <c r="C769" s="1">
        <f>IFERROR(VLOOKUP(1129,'PEDIDO 10'!$C$2:$E$230,3,0),0)</f>
        <v>0</v>
      </c>
      <c r="D769" s="1">
        <f>IFERROR(VLOOKUP(1130,'PEDIDO 10'!$C$2:$E$230,3,0),0)</f>
        <v>0</v>
      </c>
      <c r="E769" s="1">
        <f>IFERROR(VLOOKUP(1131,'PEDIDO 10'!$C$2:$E$230,3,0),0)</f>
        <v>0</v>
      </c>
      <c r="F769" s="1">
        <f>IFERROR(VLOOKUP(1132,'PEDIDO 10'!$C$2:$E$230,3,0),0)</f>
        <v>0</v>
      </c>
      <c r="G769" s="18">
        <f t="shared" si="18"/>
        <v>0</v>
      </c>
    </row>
    <row r="770" spans="1:7" ht="15.75" x14ac:dyDescent="0.25">
      <c r="A770" s="15" t="str">
        <f>'PEDIDO 10'!$B$2</f>
        <v>Aracoiaba Da Serra-Pontual Eletromoveis Epp</v>
      </c>
      <c r="B770" s="12" t="s">
        <v>438</v>
      </c>
      <c r="C770" s="1">
        <f>IFERROR(VLOOKUP(1137,'PEDIDO 10'!$C$2:$E$230,3,0),0)</f>
        <v>0</v>
      </c>
      <c r="D770" s="1">
        <f>IFERROR(VLOOKUP(1138,'PEDIDO 10'!$C$2:$E$230,3,0),0)</f>
        <v>0</v>
      </c>
      <c r="E770" s="1">
        <f>IFERROR(VLOOKUP(1139,'PEDIDO 10'!$C$2:$E$230,3,0),0)</f>
        <v>0</v>
      </c>
      <c r="F770" s="1">
        <f>IFERROR(VLOOKUP(1140,'PEDIDO 10'!$C$2:$E$230,3,0),0)</f>
        <v>0</v>
      </c>
      <c r="G770" s="18">
        <f t="shared" si="18"/>
        <v>0</v>
      </c>
    </row>
    <row r="771" spans="1:7" ht="15.75" x14ac:dyDescent="0.25">
      <c r="A771" s="15" t="str">
        <f>'PEDIDO 10'!$B$2</f>
        <v>Aracoiaba Da Serra-Pontual Eletromoveis Epp</v>
      </c>
      <c r="B771" s="12" t="s">
        <v>439</v>
      </c>
      <c r="C771" s="1">
        <f>IFERROR(VLOOKUP(1141,'PEDIDO 10'!$C$2:$E$230,3,0),0)</f>
        <v>0</v>
      </c>
      <c r="D771" s="1">
        <f>IFERROR(VLOOKUP(1142,'PEDIDO 10'!$C$2:$E$230,3,0),0)</f>
        <v>0</v>
      </c>
      <c r="E771" s="1">
        <f>IFERROR(VLOOKUP(1143,'PEDIDO 10'!$C$2:$E$230,3,0),0)</f>
        <v>0</v>
      </c>
      <c r="F771" s="1">
        <f>IFERROR(VLOOKUP(1144,'PEDIDO 10'!$C$2:$E$230,3,0),0)</f>
        <v>0</v>
      </c>
      <c r="G771" s="18">
        <f t="shared" si="18"/>
        <v>0</v>
      </c>
    </row>
    <row r="772" spans="1:7" ht="15.75" x14ac:dyDescent="0.25">
      <c r="A772" s="15" t="str">
        <f>'PEDIDO 10'!$B$2</f>
        <v>Aracoiaba Da Serra-Pontual Eletromoveis Epp</v>
      </c>
      <c r="B772" s="12" t="s">
        <v>440</v>
      </c>
      <c r="C772" s="1">
        <f>IFERROR(VLOOKUP(1145,'PEDIDO 10'!$C$2:$E$230,3,0),0)</f>
        <v>0</v>
      </c>
      <c r="D772" s="1">
        <f>IFERROR(VLOOKUP(1146,'PEDIDO 10'!$C$2:$E$230,3,0),0)</f>
        <v>0</v>
      </c>
      <c r="E772" s="1">
        <f>IFERROR(VLOOKUP(1147,'PEDIDO 10'!$C$2:$E$230,3,0),0)</f>
        <v>0</v>
      </c>
      <c r="F772" s="1">
        <f>IFERROR(VLOOKUP(1148,'PEDIDO 10'!$C$2:$E$230,3,0),0)</f>
        <v>0</v>
      </c>
      <c r="G772" s="18">
        <f t="shared" si="18"/>
        <v>0</v>
      </c>
    </row>
    <row r="773" spans="1:7" ht="15.75" x14ac:dyDescent="0.25">
      <c r="A773" s="15" t="str">
        <f>'PEDIDO 10'!$B$2</f>
        <v>Aracoiaba Da Serra-Pontual Eletromoveis Epp</v>
      </c>
      <c r="B773" s="12" t="s">
        <v>441</v>
      </c>
      <c r="C773" s="1">
        <f>IFERROR(VLOOKUP(1149,'PEDIDO 10'!$C$2:$E$230,3,0),0)</f>
        <v>0</v>
      </c>
      <c r="D773" s="1">
        <f>IFERROR(VLOOKUP(1150,'PEDIDO 10'!$C$2:$E$230,3,0),0)</f>
        <v>0</v>
      </c>
      <c r="E773" s="1">
        <f>IFERROR(VLOOKUP(1151,'PEDIDO 10'!$C$2:$E$230,3,0),0)</f>
        <v>0</v>
      </c>
      <c r="F773" s="1">
        <f>IFERROR(VLOOKUP(1152,'PEDIDO 10'!$C$2:$E$230,3,0),0)</f>
        <v>0</v>
      </c>
      <c r="G773" s="18">
        <f t="shared" si="18"/>
        <v>0</v>
      </c>
    </row>
    <row r="774" spans="1:7" ht="15.75" x14ac:dyDescent="0.25">
      <c r="A774" s="15" t="str">
        <f>'PEDIDO 10'!$B$2</f>
        <v>Aracoiaba Da Serra-Pontual Eletromoveis Epp</v>
      </c>
      <c r="B774" s="12" t="s">
        <v>442</v>
      </c>
      <c r="C774" s="1">
        <f>IFERROR(VLOOKUP(1153,'PEDIDO 10'!$C$2:$E$230,3,0),0)</f>
        <v>0</v>
      </c>
      <c r="D774" s="1">
        <f>IFERROR(VLOOKUP(1154,'PEDIDO 10'!$C$2:$E$230,3,0),0)</f>
        <v>0</v>
      </c>
      <c r="E774" s="1">
        <f>IFERROR(VLOOKUP(1155,'PEDIDO 10'!$C$2:$E$230,3,0),0)</f>
        <v>0</v>
      </c>
      <c r="F774" s="1">
        <f>IFERROR(VLOOKUP(1156,'PEDIDO 10'!$C$2:$E$230,3,0),0)</f>
        <v>0</v>
      </c>
      <c r="G774" s="18">
        <f t="shared" si="18"/>
        <v>0</v>
      </c>
    </row>
    <row r="775" spans="1:7" ht="15.75" x14ac:dyDescent="0.25">
      <c r="A775" s="15" t="str">
        <f>'PEDIDO 10'!$B$2</f>
        <v>Aracoiaba Da Serra-Pontual Eletromoveis Epp</v>
      </c>
      <c r="B775" s="12" t="s">
        <v>443</v>
      </c>
      <c r="C775" s="1">
        <f>IFERROR(VLOOKUP(1157,'PEDIDO 10'!$C$2:$E$230,3,0),0)</f>
        <v>0</v>
      </c>
      <c r="D775" s="1">
        <f>IFERROR(VLOOKUP(1158,'PEDIDO 10'!$C$2:$E$230,3,0),0)</f>
        <v>0</v>
      </c>
      <c r="E775" s="1">
        <f>IFERROR(VLOOKUP(1159,'PEDIDO 10'!$C$2:$E$230,3,0),0)</f>
        <v>0</v>
      </c>
      <c r="F775" s="1">
        <f>IFERROR(VLOOKUP(1160,'PEDIDO 10'!$C$2:$E$230,3,0),0)</f>
        <v>0</v>
      </c>
      <c r="G775" s="18">
        <f t="shared" si="18"/>
        <v>0</v>
      </c>
    </row>
    <row r="776" spans="1:7" ht="15.75" x14ac:dyDescent="0.25">
      <c r="A776" s="15" t="str">
        <f>'PEDIDO 10'!$B$2</f>
        <v>Aracoiaba Da Serra-Pontual Eletromoveis Epp</v>
      </c>
      <c r="B776" s="12" t="s">
        <v>444</v>
      </c>
      <c r="C776" s="1">
        <f>IFERROR(VLOOKUP(1161,'PEDIDO 10'!$C$2:$E$230,3,0),0)</f>
        <v>0</v>
      </c>
      <c r="D776" s="1">
        <f>IFERROR(VLOOKUP(1162,'PEDIDO 10'!$C$2:$E$230,3,0),0)</f>
        <v>0</v>
      </c>
      <c r="E776" s="1">
        <f>IFERROR(VLOOKUP(1163,'PEDIDO 10'!$C$2:$E$230,3,0),0)</f>
        <v>0</v>
      </c>
      <c r="F776" s="1">
        <f>IFERROR(VLOOKUP(1164,'PEDIDO 10'!$C$2:$E$230,3,0),0)</f>
        <v>0</v>
      </c>
      <c r="G776" s="18">
        <f t="shared" si="18"/>
        <v>0</v>
      </c>
    </row>
    <row r="777" spans="1:7" ht="15.75" x14ac:dyDescent="0.25">
      <c r="A777" s="15" t="str">
        <f>'PEDIDO 10'!$B$2</f>
        <v>Aracoiaba Da Serra-Pontual Eletromoveis Epp</v>
      </c>
      <c r="B777" s="12" t="s">
        <v>445</v>
      </c>
      <c r="C777" s="1">
        <f>IFERROR(VLOOKUP(1165,'PEDIDO 10'!$C$2:$E$230,3,0),0)</f>
        <v>0</v>
      </c>
      <c r="D777" s="1">
        <f>IFERROR(VLOOKUP(1166,'PEDIDO 10'!$C$2:$E$230,3,0),0)</f>
        <v>0</v>
      </c>
      <c r="E777" s="1">
        <f>IFERROR(VLOOKUP(1167,'PEDIDO 10'!$C$2:$E$230,3,0),0)</f>
        <v>0</v>
      </c>
      <c r="F777" s="1">
        <f>IFERROR(VLOOKUP(1168,'PEDIDO 10'!$C$2:$E$230,3,0),0)</f>
        <v>0</v>
      </c>
      <c r="G777" s="18">
        <f t="shared" si="18"/>
        <v>0</v>
      </c>
    </row>
    <row r="778" spans="1:7" ht="15.75" x14ac:dyDescent="0.25">
      <c r="A778" s="15" t="str">
        <f>'PEDIDO 10'!$B$2</f>
        <v>Aracoiaba Da Serra-Pontual Eletromoveis Epp</v>
      </c>
      <c r="B778" s="12" t="s">
        <v>446</v>
      </c>
      <c r="C778" s="1">
        <f>IFERROR(VLOOKUP(1169,'PEDIDO 10'!$C$2:$E$230,3,0),0)</f>
        <v>0</v>
      </c>
      <c r="D778" s="1">
        <f>IFERROR(VLOOKUP(1170,'PEDIDO 10'!$C$2:$E$230,3,0),0)</f>
        <v>0</v>
      </c>
      <c r="E778" s="1">
        <f>IFERROR(VLOOKUP(1171,'PEDIDO 10'!$C$2:$E$230,3,0),0)</f>
        <v>0</v>
      </c>
      <c r="F778" s="1">
        <f>IFERROR(VLOOKUP(1172,'PEDIDO 10'!$C$2:$E$230,3,0),0)</f>
        <v>0</v>
      </c>
      <c r="G778" s="18">
        <f t="shared" si="18"/>
        <v>0</v>
      </c>
    </row>
    <row r="779" spans="1:7" ht="15.75" x14ac:dyDescent="0.25">
      <c r="A779" s="15" t="str">
        <f>'PEDIDO 10'!$B$2</f>
        <v>Aracoiaba Da Serra-Pontual Eletromoveis Epp</v>
      </c>
      <c r="B779" s="12" t="s">
        <v>447</v>
      </c>
      <c r="C779" s="1">
        <f>IFERROR(VLOOKUP(1173,'PEDIDO 10'!$C$2:$E$230,3,0),0)</f>
        <v>0</v>
      </c>
      <c r="D779" s="1">
        <f>IFERROR(VLOOKUP(1174,'PEDIDO 10'!$C$2:$E$230,3,0),0)</f>
        <v>0</v>
      </c>
      <c r="E779" s="1">
        <f>IFERROR(VLOOKUP(1175,'PEDIDO 10'!$C$2:$E$230,3,0),0)</f>
        <v>0</v>
      </c>
      <c r="F779" s="1">
        <f>IFERROR(VLOOKUP(1176,'PEDIDO 10'!$C$2:$E$230,3,0),0)</f>
        <v>0</v>
      </c>
      <c r="G779" s="18">
        <f t="shared" si="18"/>
        <v>0</v>
      </c>
    </row>
    <row r="780" spans="1:7" ht="15.75" x14ac:dyDescent="0.25">
      <c r="A780" s="15" t="str">
        <f>'PEDIDO 10'!$B$2</f>
        <v>Aracoiaba Da Serra-Pontual Eletromoveis Epp</v>
      </c>
      <c r="B780" s="12" t="s">
        <v>448</v>
      </c>
      <c r="C780" s="1">
        <f>IFERROR(VLOOKUP(1249,'PEDIDO 10'!$C$2:$E$230,3,0),0)</f>
        <v>0</v>
      </c>
      <c r="D780" s="1">
        <f>IFERROR(VLOOKUP(1250,'PEDIDO 10'!$C$2:$E$230,3,0),0)</f>
        <v>0</v>
      </c>
      <c r="E780" s="1">
        <f>IFERROR(VLOOKUP(1251,'PEDIDO 10'!$C$2:$E$230,3,0),0)</f>
        <v>0</v>
      </c>
      <c r="F780" s="1">
        <f>IFERROR(VLOOKUP(1252,'PEDIDO 10'!$C$2:$E$230,3,0),0)</f>
        <v>0</v>
      </c>
      <c r="G780" s="18">
        <f t="shared" si="18"/>
        <v>0</v>
      </c>
    </row>
    <row r="781" spans="1:7" ht="15.75" x14ac:dyDescent="0.25">
      <c r="A781" s="15" t="str">
        <f>'PEDIDO 10'!$B$2</f>
        <v>Aracoiaba Da Serra-Pontual Eletromoveis Epp</v>
      </c>
      <c r="B781" s="12" t="s">
        <v>449</v>
      </c>
      <c r="C781" s="1">
        <f>IFERROR(VLOOKUP(1177,'PEDIDO 10'!$C$2:$E$230,3,0),0)</f>
        <v>0</v>
      </c>
      <c r="D781" s="1">
        <f>IFERROR(VLOOKUP(1178,'PEDIDO 10'!$C$2:$E$230,3,0),0)</f>
        <v>0</v>
      </c>
      <c r="E781" s="1">
        <f>IFERROR(VLOOKUP(1179,'PEDIDO 10'!$C$2:$E$230,3,0),0)</f>
        <v>0</v>
      </c>
      <c r="F781" s="1">
        <f>IFERROR(VLOOKUP(1180,'PEDIDO 10'!$C$2:$E$230,3,0),0)</f>
        <v>0</v>
      </c>
      <c r="G781" s="18">
        <f t="shared" si="18"/>
        <v>0</v>
      </c>
    </row>
    <row r="782" spans="1:7" ht="15.75" x14ac:dyDescent="0.25">
      <c r="A782" s="15" t="str">
        <f>'PEDIDO 10'!$B$2</f>
        <v>Aracoiaba Da Serra-Pontual Eletromoveis Epp</v>
      </c>
      <c r="B782" s="12" t="s">
        <v>450</v>
      </c>
      <c r="C782" s="1">
        <f>IFERROR(VLOOKUP(1181,'PEDIDO 10'!$C$2:$E$230,3,0),0)</f>
        <v>0</v>
      </c>
      <c r="D782" s="1">
        <f>IFERROR(VLOOKUP(1182,'PEDIDO 10'!$C$2:$E$230,3,0),0)</f>
        <v>0</v>
      </c>
      <c r="E782" s="1">
        <f>IFERROR(VLOOKUP(1183,'PEDIDO 10'!$C$2:$E$230,3,0),0)</f>
        <v>0</v>
      </c>
      <c r="F782" s="1">
        <f>IFERROR(VLOOKUP(1184,'PEDIDO 10'!$C$2:$E$230,3,0),0)</f>
        <v>0</v>
      </c>
      <c r="G782" s="18">
        <f t="shared" si="18"/>
        <v>0</v>
      </c>
    </row>
    <row r="783" spans="1:7" ht="15.75" x14ac:dyDescent="0.25">
      <c r="A783" s="15" t="str">
        <f>'PEDIDO 10'!$B$2</f>
        <v>Aracoiaba Da Serra-Pontual Eletromoveis Epp</v>
      </c>
      <c r="B783" s="12" t="s">
        <v>451</v>
      </c>
      <c r="C783" s="1">
        <f>IFERROR(VLOOKUP(1185,'PEDIDO 10'!$C$2:$E$230,3,0),0)</f>
        <v>0</v>
      </c>
      <c r="D783" s="1">
        <f>IFERROR(VLOOKUP(1186,'PEDIDO 10'!$C$2:$E$230,3,0),0)</f>
        <v>0</v>
      </c>
      <c r="E783" s="1">
        <f>IFERROR(VLOOKUP(1187,'PEDIDO 10'!$C$2:$E$230,3,0),0)</f>
        <v>0</v>
      </c>
      <c r="F783" s="1">
        <f>IFERROR(VLOOKUP(1188,'PEDIDO 10'!$C$2:$E$230,3,0),0)</f>
        <v>0</v>
      </c>
      <c r="G783" s="18">
        <f t="shared" si="18"/>
        <v>0</v>
      </c>
    </row>
    <row r="784" spans="1:7" ht="15.75" x14ac:dyDescent="0.25">
      <c r="A784" s="15" t="str">
        <f>'PEDIDO 10'!$B$2</f>
        <v>Aracoiaba Da Serra-Pontual Eletromoveis Epp</v>
      </c>
      <c r="B784" s="12" t="s">
        <v>452</v>
      </c>
      <c r="C784" s="1">
        <f>IFERROR(VLOOKUP(1189,'PEDIDO 10'!$C$2:$E$230,3,0),0)</f>
        <v>0</v>
      </c>
      <c r="D784" s="1">
        <f>IFERROR(VLOOKUP(1190,'PEDIDO 10'!$C$2:$E$230,3,0),0)</f>
        <v>0</v>
      </c>
      <c r="E784" s="1">
        <f>IFERROR(VLOOKUP(1191,'PEDIDO 10'!$C$2:$E$230,3,0),0)</f>
        <v>0</v>
      </c>
      <c r="F784" s="1">
        <f>IFERROR(VLOOKUP(1192,'PEDIDO 10'!$C$2:$E$230,3,0),0)</f>
        <v>0</v>
      </c>
      <c r="G784" s="18">
        <f t="shared" si="18"/>
        <v>0</v>
      </c>
    </row>
    <row r="785" spans="1:7" ht="15.75" x14ac:dyDescent="0.25">
      <c r="A785" s="15" t="str">
        <f>'PEDIDO 10'!$B$2</f>
        <v>Aracoiaba Da Serra-Pontual Eletromoveis Epp</v>
      </c>
      <c r="B785" s="12" t="s">
        <v>453</v>
      </c>
      <c r="C785" s="1">
        <f>IFERROR(VLOOKUP(1193,'PEDIDO 10'!$C$2:$E$230,3,0),0)</f>
        <v>0</v>
      </c>
      <c r="D785" s="1">
        <f>IFERROR(VLOOKUP(1194,'PEDIDO 10'!$C$2:$E$230,3,0),0)</f>
        <v>0</v>
      </c>
      <c r="E785" s="1">
        <f>IFERROR(VLOOKUP(1195,'PEDIDO 10'!$C$2:$E$230,3,0),0)</f>
        <v>0</v>
      </c>
      <c r="F785" s="1">
        <f>IFERROR(VLOOKUP(1196,'PEDIDO 10'!$C$2:$E$230,3,0),0)</f>
        <v>0</v>
      </c>
      <c r="G785" s="18">
        <f t="shared" si="18"/>
        <v>0</v>
      </c>
    </row>
    <row r="786" spans="1:7" ht="15.75" x14ac:dyDescent="0.25">
      <c r="A786" s="15" t="str">
        <f>'PEDIDO 10'!$B$2</f>
        <v>Aracoiaba Da Serra-Pontual Eletromoveis Epp</v>
      </c>
      <c r="B786" s="12" t="s">
        <v>454</v>
      </c>
      <c r="C786" s="1">
        <f>IFERROR(VLOOKUP(1197,'PEDIDO 10'!$C$2:$E$230,3,0),0)</f>
        <v>0</v>
      </c>
      <c r="D786" s="1">
        <f>IFERROR(VLOOKUP(1198,'PEDIDO 10'!$C$2:$E$230,3,0),0)</f>
        <v>0</v>
      </c>
      <c r="E786" s="1">
        <f>IFERROR(VLOOKUP(1199,'PEDIDO 10'!$C$2:$E$230,3,0),0)</f>
        <v>0</v>
      </c>
      <c r="F786" s="1">
        <f>IFERROR(VLOOKUP(1200,'PEDIDO 10'!$C$2:$E$230,3,0),0)</f>
        <v>0</v>
      </c>
      <c r="G786" s="18">
        <f t="shared" si="18"/>
        <v>0</v>
      </c>
    </row>
    <row r="787" spans="1:7" ht="15.75" x14ac:dyDescent="0.25">
      <c r="A787" s="15" t="str">
        <f>'PEDIDO 10'!$B$2</f>
        <v>Aracoiaba Da Serra-Pontual Eletromoveis Epp</v>
      </c>
      <c r="B787" s="12" t="s">
        <v>455</v>
      </c>
      <c r="C787" s="1">
        <f>IFERROR(VLOOKUP(1201,'PEDIDO 10'!$C$2:$E$230,3,0),0)</f>
        <v>0</v>
      </c>
      <c r="D787" s="1">
        <f>IFERROR(VLOOKUP(1202,'PEDIDO 10'!$C$2:$E$230,3,0),0)</f>
        <v>0</v>
      </c>
      <c r="E787" s="1">
        <f>IFERROR(VLOOKUP(1203,'PEDIDO 10'!$C$2:$E$230,3,0),0)</f>
        <v>0</v>
      </c>
      <c r="F787" s="1">
        <f>IFERROR(VLOOKUP(1204,'PEDIDO 10'!$C$2:$E$230,3,0),0)</f>
        <v>0</v>
      </c>
      <c r="G787" s="18">
        <f t="shared" si="18"/>
        <v>0</v>
      </c>
    </row>
    <row r="788" spans="1:7" ht="15.75" x14ac:dyDescent="0.25">
      <c r="A788" s="15" t="str">
        <f>'PEDIDO 10'!$B$2</f>
        <v>Aracoiaba Da Serra-Pontual Eletromoveis Epp</v>
      </c>
      <c r="B788" s="12" t="s">
        <v>456</v>
      </c>
      <c r="C788" s="1">
        <f>IFERROR(VLOOKUP(1205,'PEDIDO 10'!$C$2:$E$230,3,0),0)</f>
        <v>0</v>
      </c>
      <c r="D788" s="1">
        <f>IFERROR(VLOOKUP(1206,'PEDIDO 10'!$C$2:$E$230,3,0),0)</f>
        <v>0</v>
      </c>
      <c r="E788" s="1">
        <f>IFERROR(VLOOKUP(1207,'PEDIDO 10'!$C$2:$E$230,3,0),0)</f>
        <v>0</v>
      </c>
      <c r="F788" s="1">
        <f>IFERROR(VLOOKUP(1208,'PEDIDO 10'!$C$2:$E$230,3,0),0)</f>
        <v>0</v>
      </c>
      <c r="G788" s="18">
        <f t="shared" si="18"/>
        <v>0</v>
      </c>
    </row>
    <row r="789" spans="1:7" ht="15.75" x14ac:dyDescent="0.25">
      <c r="A789" s="15" t="str">
        <f>'PEDIDO 10'!$B$2</f>
        <v>Aracoiaba Da Serra-Pontual Eletromoveis Epp</v>
      </c>
      <c r="B789" s="12" t="s">
        <v>457</v>
      </c>
      <c r="C789" s="1">
        <f>IFERROR(VLOOKUP(1213,'PEDIDO 10'!$C$2:$E$230,3,0),0)</f>
        <v>0</v>
      </c>
      <c r="D789" s="1">
        <f>IFERROR(VLOOKUP(1214,'PEDIDO 10'!$C$2:$E$230,3,0),0)</f>
        <v>0</v>
      </c>
      <c r="E789" s="1">
        <f>IFERROR(VLOOKUP(1215,'PEDIDO 10'!$C$2:$E$230,3,0),0)</f>
        <v>0</v>
      </c>
      <c r="F789" s="10">
        <f>IFERROR(VLOOKUP(1216,'PEDIDO 10'!$C$2:$E$230,3,0),0)</f>
        <v>0</v>
      </c>
      <c r="G789" s="18">
        <f t="shared" si="18"/>
        <v>0</v>
      </c>
    </row>
    <row r="790" spans="1:7" ht="15.75" x14ac:dyDescent="0.25">
      <c r="A790" s="15" t="str">
        <f>'PEDIDO 10'!$B$2</f>
        <v>Aracoiaba Da Serra-Pontual Eletromoveis Epp</v>
      </c>
      <c r="B790" s="12" t="s">
        <v>458</v>
      </c>
      <c r="C790" s="1">
        <f>IFERROR(VLOOKUP(1209,'PEDIDO 10'!$C$2:$E$230,3,0),0)</f>
        <v>0</v>
      </c>
      <c r="D790" s="1">
        <f>IFERROR(VLOOKUP(1210,'PEDIDO 10'!$C$2:$E$230,3,0),0)</f>
        <v>0</v>
      </c>
      <c r="E790" s="1">
        <f>IFERROR(VLOOKUP(1211,'PEDIDO 10'!$C$2:$E$230,3,0),0)</f>
        <v>0</v>
      </c>
      <c r="F790" s="1">
        <f>IFERROR(VLOOKUP(1212,'PEDIDO 10'!$C$2:$E$230,3,0),0)</f>
        <v>0</v>
      </c>
      <c r="G790" s="18">
        <f t="shared" si="18"/>
        <v>0</v>
      </c>
    </row>
    <row r="791" spans="1:7" ht="15.75" x14ac:dyDescent="0.25">
      <c r="A791" s="15" t="str">
        <f>'PEDIDO 10'!$B$2</f>
        <v>Aracoiaba Da Serra-Pontual Eletromoveis Epp</v>
      </c>
      <c r="B791" s="12" t="s">
        <v>459</v>
      </c>
      <c r="C791" s="1">
        <f>IFERROR(VLOOKUP(1217,'PEDIDO 10'!$C$2:$E$230,3,0),0)</f>
        <v>0</v>
      </c>
      <c r="D791" s="1">
        <f>IFERROR(VLOOKUP(1218,'PEDIDO 10'!$C$2:$E$230,3,0),0)</f>
        <v>0</v>
      </c>
      <c r="E791" s="1">
        <f>IFERROR(VLOOKUP(1219,'PEDIDO 10'!$C$2:$E$230,3,0),0)</f>
        <v>0</v>
      </c>
      <c r="F791" s="1">
        <f>IFERROR(VLOOKUP(1220,'PEDIDO 10'!$C$2:$E$230,3,0),0)</f>
        <v>0</v>
      </c>
      <c r="G791" s="18">
        <f t="shared" si="18"/>
        <v>0</v>
      </c>
    </row>
    <row r="792" spans="1:7" ht="15.75" x14ac:dyDescent="0.25">
      <c r="A792" s="15" t="str">
        <f>'PEDIDO 10'!$B$2</f>
        <v>Aracoiaba Da Serra-Pontual Eletromoveis Epp</v>
      </c>
      <c r="B792" s="12" t="s">
        <v>461</v>
      </c>
      <c r="C792" s="1">
        <f>IFERROR(VLOOKUP(1225,'PEDIDO 10'!$C$2:$E$230,3,0),0)</f>
        <v>0</v>
      </c>
      <c r="D792" s="1">
        <f>IFERROR(VLOOKUP(1226,'PEDIDO 10'!$C$2:$E$230,3,0),0)</f>
        <v>0</v>
      </c>
      <c r="E792" s="1">
        <f>IFERROR(VLOOKUP(1227,'PEDIDO 10'!$C$2:$E$230,3,0),0)</f>
        <v>0</v>
      </c>
      <c r="F792" s="1">
        <f>IFERROR(VLOOKUP(1228,'PEDIDO 10'!$C$2:$E$230,3,0),0)</f>
        <v>0</v>
      </c>
      <c r="G792" s="18">
        <f t="shared" si="18"/>
        <v>0</v>
      </c>
    </row>
    <row r="793" spans="1:7" ht="15.75" x14ac:dyDescent="0.25">
      <c r="A793" s="15" t="str">
        <f>'PEDIDO 10'!$B$2</f>
        <v>Aracoiaba Da Serra-Pontual Eletromoveis Epp</v>
      </c>
      <c r="B793" s="12" t="s">
        <v>462</v>
      </c>
      <c r="C793" s="1">
        <f>IFERROR(VLOOKUP(1221,'PEDIDO 10'!$C$2:$E$230,3,0),0)</f>
        <v>0</v>
      </c>
      <c r="D793" s="1">
        <f>IFERROR(VLOOKUP(1222,'PEDIDO 10'!$C$2:$E$230,3,0),0)</f>
        <v>0</v>
      </c>
      <c r="E793" s="1">
        <f>IFERROR(VLOOKUP(1223,'PEDIDO 10'!$C$2:$E$230,3,0),0)</f>
        <v>0</v>
      </c>
      <c r="F793" s="1">
        <f>IFERROR(VLOOKUP(1224,'PEDIDO 10'!$C$2:$E$230,3,0),0)</f>
        <v>0</v>
      </c>
      <c r="G793" s="18">
        <f t="shared" si="18"/>
        <v>0</v>
      </c>
    </row>
    <row r="794" spans="1:7" ht="15.75" x14ac:dyDescent="0.25">
      <c r="A794" s="15" t="str">
        <f>'PEDIDO 10'!$B$2</f>
        <v>Aracoiaba Da Serra-Pontual Eletromoveis Epp</v>
      </c>
      <c r="B794" s="12" t="s">
        <v>460</v>
      </c>
      <c r="C794" s="1">
        <f>IFERROR(VLOOKUP(1229,'PEDIDO 10'!$C$2:$E$230,3,0),0)</f>
        <v>0</v>
      </c>
      <c r="D794" s="1">
        <f>IFERROR(VLOOKUP(1230,'PEDIDO 10'!$C$2:$E$230,3,0),0)</f>
        <v>0</v>
      </c>
      <c r="E794" s="1">
        <f>IFERROR(VLOOKUP(1231,'PEDIDO 10'!$C$2:$E$230,3,0),0)</f>
        <v>0</v>
      </c>
      <c r="F794" s="1">
        <f>IFERROR(VLOOKUP(1232,'PEDIDO 10'!$C$2:$E$230,3,0),0)</f>
        <v>0</v>
      </c>
      <c r="G794" s="18">
        <f t="shared" si="18"/>
        <v>0</v>
      </c>
    </row>
    <row r="795" spans="1:7" ht="15.75" x14ac:dyDescent="0.25">
      <c r="A795" s="15" t="str">
        <f>'PEDIDO 10'!$B$2</f>
        <v>Aracoiaba Da Serra-Pontual Eletromoveis Epp</v>
      </c>
      <c r="B795" s="12" t="s">
        <v>463</v>
      </c>
      <c r="C795" s="1">
        <f>IFERROR(VLOOKUP(1233,'PEDIDO 10'!$C$2:$E$230,3,0),0)</f>
        <v>0</v>
      </c>
      <c r="D795" s="1">
        <f>IFERROR(VLOOKUP(1234,'PEDIDO 10'!$C$2:$E$230,3,0),0)</f>
        <v>0</v>
      </c>
      <c r="E795" s="1">
        <f>IFERROR(VLOOKUP(1235,'PEDIDO 10'!$C$2:$E$230,3,0),0)</f>
        <v>0</v>
      </c>
      <c r="F795" s="1">
        <f>IFERROR(VLOOKUP(1236,'PEDIDO 10'!$C$2:$E$230,3,0),0)</f>
        <v>0</v>
      </c>
      <c r="G795" s="18">
        <f t="shared" si="18"/>
        <v>0</v>
      </c>
    </row>
    <row r="796" spans="1:7" ht="15.75" x14ac:dyDescent="0.25">
      <c r="A796" s="15" t="str">
        <f>'PEDIDO 10'!$B$2</f>
        <v>Aracoiaba Da Serra-Pontual Eletromoveis Epp</v>
      </c>
      <c r="B796" s="12" t="s">
        <v>464</v>
      </c>
      <c r="C796" s="1">
        <f>IFERROR(VLOOKUP(1237,'PEDIDO 10'!$C$2:$E$230,3,0),0)</f>
        <v>0</v>
      </c>
      <c r="D796" s="1">
        <f>IFERROR(VLOOKUP(1238,'PEDIDO 10'!$C$2:$E$230,3,0),0)</f>
        <v>0</v>
      </c>
      <c r="E796" s="1">
        <f>IFERROR(VLOOKUP(1239,'PEDIDO 10'!$C$2:$E$230,3,0),0)</f>
        <v>0</v>
      </c>
      <c r="F796" s="1">
        <f>IFERROR(VLOOKUP(1240,'PEDIDO 10'!$C$2:$E$230,3,0),0)</f>
        <v>0</v>
      </c>
      <c r="G796" s="18">
        <f t="shared" ref="G796:G808" si="19">SUM(C796+D796+E796+F796)</f>
        <v>0</v>
      </c>
    </row>
    <row r="797" spans="1:7" ht="15.75" x14ac:dyDescent="0.25">
      <c r="A797" s="15" t="str">
        <f>'PEDIDO 10'!$B$2</f>
        <v>Aracoiaba Da Serra-Pontual Eletromoveis Epp</v>
      </c>
      <c r="B797" s="12" t="s">
        <v>465</v>
      </c>
      <c r="C797" s="1">
        <f>IFERROR(VLOOKUP(1241,'PEDIDO 10'!$C$2:$E$230,3,0),0)</f>
        <v>0</v>
      </c>
      <c r="D797" s="1">
        <f>IFERROR(VLOOKUP(1242,'PEDIDO 10'!$C$2:$E$230,3,0),0)</f>
        <v>0</v>
      </c>
      <c r="E797" s="1">
        <f>IFERROR(VLOOKUP(1243,'PEDIDO 10'!$C$2:$E$230,3,0),0)</f>
        <v>0</v>
      </c>
      <c r="F797" s="1">
        <f>IFERROR(VLOOKUP(1244,'PEDIDO 10'!$C$2:$E$230,3,0),0)</f>
        <v>0</v>
      </c>
      <c r="G797" s="18">
        <f t="shared" si="19"/>
        <v>0</v>
      </c>
    </row>
    <row r="798" spans="1:7" ht="15.75" x14ac:dyDescent="0.25">
      <c r="A798" s="15" t="str">
        <f>'PEDIDO 10'!$B$2</f>
        <v>Aracoiaba Da Serra-Pontual Eletromoveis Epp</v>
      </c>
      <c r="B798" s="12" t="s">
        <v>466</v>
      </c>
      <c r="C798" s="1">
        <f>IFERROR(VLOOKUP(1245,'PEDIDO 10'!$C$2:$E$230,3,0),0)</f>
        <v>0</v>
      </c>
      <c r="D798" s="1">
        <f>IFERROR(VLOOKUP(1246,'PEDIDO 10'!$C$2:$E$230,3,0),0)</f>
        <v>0</v>
      </c>
      <c r="E798" s="1">
        <f>IFERROR(VLOOKUP(1247,'PEDIDO 10'!$C$2:$E$230,3,0),0)</f>
        <v>0</v>
      </c>
      <c r="F798" s="1">
        <f>IFERROR(VLOOKUP(1248,'PEDIDO 10'!$C$2:$E$230,3,0),0)</f>
        <v>0</v>
      </c>
      <c r="G798" s="18">
        <f t="shared" si="19"/>
        <v>0</v>
      </c>
    </row>
    <row r="799" spans="1:7" ht="15.75" x14ac:dyDescent="0.25">
      <c r="A799" s="15" t="str">
        <f>'PEDIDO 10'!$B$2</f>
        <v>Aracoiaba Da Serra-Pontual Eletromoveis Epp</v>
      </c>
      <c r="B799" s="12" t="s">
        <v>467</v>
      </c>
      <c r="C799" s="1">
        <f>IFERROR(VLOOKUP(25714,'PEDIDO 10'!$C$2:$E$230,3,0),0)</f>
        <v>0</v>
      </c>
      <c r="D799" s="1"/>
      <c r="E799" s="1"/>
      <c r="F799" s="1"/>
      <c r="G799" s="18">
        <f t="shared" si="19"/>
        <v>0</v>
      </c>
    </row>
    <row r="800" spans="1:7" ht="15.75" x14ac:dyDescent="0.25">
      <c r="A800" s="15" t="str">
        <f>'PEDIDO 10'!$B$2</f>
        <v>Aracoiaba Da Serra-Pontual Eletromoveis Epp</v>
      </c>
      <c r="B800" s="12" t="s">
        <v>468</v>
      </c>
      <c r="C800" s="1">
        <f>IFERROR(VLOOKUP(25712,'PEDIDO 10'!$C$2:$E$230,3,0),0)</f>
        <v>0</v>
      </c>
      <c r="D800" s="1"/>
      <c r="E800" s="1"/>
      <c r="F800" s="1"/>
      <c r="G800" s="18">
        <f t="shared" si="19"/>
        <v>0</v>
      </c>
    </row>
    <row r="801" spans="1:7" ht="15.75" x14ac:dyDescent="0.25">
      <c r="A801" s="15" t="str">
        <f>'PEDIDO 10'!$B$2</f>
        <v>Aracoiaba Da Serra-Pontual Eletromoveis Epp</v>
      </c>
      <c r="B801" s="12" t="s">
        <v>469</v>
      </c>
      <c r="C801" s="1">
        <f>IFERROR(VLOOKUP(25713,'PEDIDO 10'!$C$2:$E$230,3,0),0)</f>
        <v>0</v>
      </c>
      <c r="D801" s="1"/>
      <c r="E801" s="1"/>
      <c r="F801" s="1"/>
      <c r="G801" s="18">
        <f t="shared" si="19"/>
        <v>0</v>
      </c>
    </row>
    <row r="802" spans="1:7" ht="15.75" x14ac:dyDescent="0.25">
      <c r="A802" s="15" t="str">
        <f>'PEDIDO 10'!$B$2</f>
        <v>Aracoiaba Da Serra-Pontual Eletromoveis Epp</v>
      </c>
      <c r="B802" s="12" t="s">
        <v>470</v>
      </c>
      <c r="C802" s="1">
        <f>IFERROR(VLOOKUP(1260,'PEDIDO 10'!$C$2:$E$230,3,0),0)</f>
        <v>0</v>
      </c>
      <c r="D802" s="1"/>
      <c r="E802" s="1"/>
      <c r="F802" s="1"/>
      <c r="G802" s="18">
        <f t="shared" si="19"/>
        <v>0</v>
      </c>
    </row>
    <row r="803" spans="1:7" ht="15.75" x14ac:dyDescent="0.25">
      <c r="A803" s="15" t="str">
        <f>'PEDIDO 10'!$B$2</f>
        <v>Aracoiaba Da Serra-Pontual Eletromoveis Epp</v>
      </c>
      <c r="B803" s="12" t="s">
        <v>471</v>
      </c>
      <c r="C803" s="1">
        <f>IFERROR(VLOOKUP(1261,'PEDIDO 10'!$C$2:$E$230,3,0),0)</f>
        <v>0</v>
      </c>
      <c r="D803" s="1"/>
      <c r="E803" s="1"/>
      <c r="F803" s="1"/>
      <c r="G803" s="18">
        <f t="shared" si="19"/>
        <v>0</v>
      </c>
    </row>
    <row r="804" spans="1:7" ht="15.75" x14ac:dyDescent="0.25">
      <c r="A804" s="15" t="str">
        <f>'PEDIDO 10'!$B$2</f>
        <v>Aracoiaba Da Serra-Pontual Eletromoveis Epp</v>
      </c>
      <c r="B804" s="12" t="s">
        <v>472</v>
      </c>
      <c r="C804" s="1">
        <f>IFERROR(VLOOKUP(1262,'PEDIDO 10'!$C$2:$E$230,3,0),0)</f>
        <v>0</v>
      </c>
      <c r="D804" s="1"/>
      <c r="E804" s="1"/>
      <c r="F804" s="1"/>
      <c r="G804" s="18">
        <f t="shared" si="19"/>
        <v>0</v>
      </c>
    </row>
    <row r="805" spans="1:7" ht="15.75" x14ac:dyDescent="0.25">
      <c r="A805" s="15" t="str">
        <f>'PEDIDO 10'!$B$2</f>
        <v>Aracoiaba Da Serra-Pontual Eletromoveis Epp</v>
      </c>
      <c r="B805" s="12" t="s">
        <v>473</v>
      </c>
      <c r="C805" s="1">
        <f>IFERROR(VLOOKUP(1263,'PEDIDO 10'!$C$2:$E$230,3,0),0)</f>
        <v>0</v>
      </c>
      <c r="D805" s="1"/>
      <c r="E805" s="1"/>
      <c r="F805" s="1"/>
      <c r="G805" s="18">
        <f t="shared" si="19"/>
        <v>0</v>
      </c>
    </row>
    <row r="806" spans="1:7" ht="15.75" x14ac:dyDescent="0.25">
      <c r="A806" s="15" t="str">
        <f>'PEDIDO 10'!$B$2</f>
        <v>Aracoiaba Da Serra-Pontual Eletromoveis Epp</v>
      </c>
      <c r="B806" s="12" t="s">
        <v>474</v>
      </c>
      <c r="C806" s="1">
        <f>IFERROR(VLOOKUP(1264,'PEDIDO 10'!$C$2:$E$230,3,0),0)</f>
        <v>0</v>
      </c>
      <c r="D806" s="1"/>
      <c r="E806" s="1"/>
      <c r="F806" s="1"/>
      <c r="G806" s="18">
        <f t="shared" si="19"/>
        <v>0</v>
      </c>
    </row>
    <row r="807" spans="1:7" ht="15.75" x14ac:dyDescent="0.25">
      <c r="A807" s="15" t="str">
        <f>'PEDIDO 10'!$B$2</f>
        <v>Aracoiaba Da Serra-Pontual Eletromoveis Epp</v>
      </c>
      <c r="B807" s="12" t="s">
        <v>475</v>
      </c>
      <c r="C807" s="1">
        <f>IFERROR(VLOOKUP(1265,'PEDIDO 10'!$C$2:$E$230,3,0),0)</f>
        <v>0</v>
      </c>
      <c r="D807" s="1"/>
      <c r="E807" s="1"/>
      <c r="F807" s="1"/>
      <c r="G807" s="18">
        <f t="shared" si="19"/>
        <v>0</v>
      </c>
    </row>
    <row r="808" spans="1:7" ht="15.75" x14ac:dyDescent="0.25">
      <c r="A808" s="15" t="str">
        <f>'PEDIDO 10'!$B$2</f>
        <v>Aracoiaba Da Serra-Pontual Eletromoveis Epp</v>
      </c>
      <c r="B808" s="12" t="s">
        <v>476</v>
      </c>
      <c r="C808" s="1">
        <f>IFERROR(VLOOKUP(1266,'PEDIDO 10'!$C$2:$E$230,3,0),0)</f>
        <v>0</v>
      </c>
      <c r="D808" s="1"/>
      <c r="E808" s="1"/>
      <c r="F808" s="1"/>
      <c r="G808" s="18">
        <f t="shared" si="19"/>
        <v>0</v>
      </c>
    </row>
    <row r="809" spans="1:7" ht="15.75" x14ac:dyDescent="0.25">
      <c r="A809" s="15" t="str">
        <f>'PEDIDO 10'!$B$2</f>
        <v>Aracoiaba Da Serra-Pontual Eletromoveis Epp</v>
      </c>
      <c r="B809" s="12" t="s">
        <v>477</v>
      </c>
      <c r="C809" s="1">
        <f>IFERROR(VLOOKUP(1268,'PEDIDO 10'!$C$2:$E$230,3,0),0)</f>
        <v>0</v>
      </c>
      <c r="D809" s="1">
        <f>IFERROR(VLOOKUP(1269,'PEDIDO 10'!$C$2:$E$230,3,0),0)</f>
        <v>0</v>
      </c>
      <c r="E809" s="1">
        <f>IFERROR(VLOOKUP(1270,'PEDIDO 10'!$C$2:$E$230,3,0),0)</f>
        <v>0</v>
      </c>
      <c r="F809" s="1">
        <f>IFERROR(VLOOKUP(1271,'PEDIDO 10'!$C$2:$E$230,3,0),0)</f>
        <v>0</v>
      </c>
      <c r="G809" s="18">
        <f>SUM(C809+D809+E809+F809)</f>
        <v>0</v>
      </c>
    </row>
    <row r="810" spans="1:7" ht="15.75" x14ac:dyDescent="0.25">
      <c r="A810" s="17"/>
      <c r="B810" s="13"/>
      <c r="C810" s="13"/>
      <c r="D810" s="13"/>
      <c r="E810" s="13"/>
      <c r="F810" s="13"/>
      <c r="G810" s="19"/>
    </row>
    <row r="811" spans="1:7" ht="15.75" x14ac:dyDescent="0.25">
      <c r="A811" s="17"/>
      <c r="B811" s="13"/>
      <c r="C811" s="13"/>
      <c r="D811" s="13"/>
      <c r="E811" s="13"/>
      <c r="F811" s="13"/>
      <c r="G811" s="19"/>
    </row>
    <row r="812" spans="1:7" ht="15.75" x14ac:dyDescent="0.25">
      <c r="A812" s="15" t="str">
        <f>'PEDIDO 11'!$B$2</f>
        <v>Tatui-Casa Dos Colchoes De Tatui Ltda</v>
      </c>
      <c r="B812" s="12" t="s">
        <v>399</v>
      </c>
      <c r="C812" s="1">
        <f>IFERROR(VLOOKUP(1,'PEDIDO 11'!$C$2:$E$230,3,0),0)</f>
        <v>0</v>
      </c>
      <c r="D812" s="1">
        <f>IFERROR(VLOOKUP(2,'PEDIDO 11'!$C$2:$E$230,3,0),0)</f>
        <v>0</v>
      </c>
      <c r="E812" s="1">
        <f>IFERROR(VLOOKUP(3,'PEDIDO 11'!$C$2:$E$230,3,0),0)</f>
        <v>0</v>
      </c>
      <c r="F812" s="1">
        <f>IFERROR(VLOOKUP(282,'PEDIDO 11'!$C$2:$E$230,3,0),0)</f>
        <v>40</v>
      </c>
      <c r="G812" s="18">
        <f>SUM(C812+D812+E812+F812)</f>
        <v>40</v>
      </c>
    </row>
    <row r="813" spans="1:7" ht="15.75" x14ac:dyDescent="0.25">
      <c r="A813" s="15" t="str">
        <f>'PEDIDO 11'!$B$2</f>
        <v>Tatui-Casa Dos Colchoes De Tatui Ltda</v>
      </c>
      <c r="B813" s="12" t="s">
        <v>400</v>
      </c>
      <c r="C813" s="1">
        <f>IFERROR(VLOOKUP(5,'PEDIDO 11'!$C$2:$E$230,3,0),0)</f>
        <v>0</v>
      </c>
      <c r="D813" s="1">
        <f>IFERROR(VLOOKUP(6,'PEDIDO 11'!$C$2:$E$230,3,0),0)</f>
        <v>0</v>
      </c>
      <c r="E813" s="1">
        <f>IFERROR(VLOOKUP(7,'PEDIDO 11'!$C$2:$E$230,3,0),0)</f>
        <v>0</v>
      </c>
      <c r="F813" s="1">
        <f>IFERROR(VLOOKUP(258,'PEDIDO 11'!$C$2:$E$230,3,0),0)</f>
        <v>0</v>
      </c>
      <c r="G813" s="18">
        <f t="shared" ref="G813:G876" si="20">SUM(C813+D813+E813+F813)</f>
        <v>0</v>
      </c>
    </row>
    <row r="814" spans="1:7" ht="15.75" x14ac:dyDescent="0.25">
      <c r="A814" s="15" t="str">
        <f>'PEDIDO 11'!$B$2</f>
        <v>Tatui-Casa Dos Colchoes De Tatui Ltda</v>
      </c>
      <c r="B814" s="12" t="s">
        <v>401</v>
      </c>
      <c r="C814" s="1">
        <f>IFERROR(VLOOKUP(13,'PEDIDO 11'!$C$2:$E$230,3,0),0)</f>
        <v>0</v>
      </c>
      <c r="D814" s="1">
        <f>IFERROR(VLOOKUP(14,'PEDIDO 11'!$C$2:$E$230,3,0),0)</f>
        <v>0</v>
      </c>
      <c r="E814" s="1">
        <f>IFERROR(VLOOKUP(15,'PEDIDO 11'!$C$2:$E$230,3,0),0)</f>
        <v>0</v>
      </c>
      <c r="F814" s="1">
        <f>IFERROR(VLOOKUP(289,'PEDIDO 11'!$C$2:$E$230,3,0),0)</f>
        <v>0</v>
      </c>
      <c r="G814" s="18">
        <f t="shared" si="20"/>
        <v>0</v>
      </c>
    </row>
    <row r="815" spans="1:7" ht="15.75" x14ac:dyDescent="0.25">
      <c r="A815" s="15" t="str">
        <f>'PEDIDO 11'!$B$2</f>
        <v>Tatui-Casa Dos Colchoes De Tatui Ltda</v>
      </c>
      <c r="B815" s="12" t="s">
        <v>402</v>
      </c>
      <c r="C815" s="1">
        <f>IFERROR(VLOOKUP(267,'PEDIDO 11'!$C$2:$E$230,3,0),0)</f>
        <v>0</v>
      </c>
      <c r="D815" s="1">
        <f>IFERROR(VLOOKUP(268,'PEDIDO 11'!$C$2:$E$230,3,0),0)</f>
        <v>0</v>
      </c>
      <c r="E815" s="1">
        <f>IFERROR(VLOOKUP(270,'PEDIDO 11'!$C$2:$E$230,3,0),0)</f>
        <v>0</v>
      </c>
      <c r="F815" s="1">
        <f>IFERROR(VLOOKUP(269,'PEDIDO 11'!$C$2:$E$230,3,0),0)</f>
        <v>0</v>
      </c>
      <c r="G815" s="18">
        <f t="shared" si="20"/>
        <v>0</v>
      </c>
    </row>
    <row r="816" spans="1:7" ht="15.75" x14ac:dyDescent="0.25">
      <c r="A816" s="15" t="str">
        <f>'PEDIDO 11'!$B$2</f>
        <v>Tatui-Casa Dos Colchoes De Tatui Ltda</v>
      </c>
      <c r="B816" s="12" t="s">
        <v>403</v>
      </c>
      <c r="C816" s="1">
        <f>IFERROR(VLOOKUP(17,'PEDIDO 11'!$C$2:$E$230,3,0),0)</f>
        <v>0</v>
      </c>
      <c r="D816" s="1">
        <f>IFERROR(VLOOKUP(18,'PEDIDO 11'!$C$2:$E$230,3,0),0)</f>
        <v>0</v>
      </c>
      <c r="E816" s="1">
        <f>IFERROR(VLOOKUP(19,'PEDIDO 11'!$C$2:$E$230,3,0),0)</f>
        <v>0</v>
      </c>
      <c r="F816" s="1">
        <f>IFERROR(VLOOKUP(290,'PEDIDO 11'!$C$2:$E$230,3,0),0)</f>
        <v>0</v>
      </c>
      <c r="G816" s="18">
        <f t="shared" si="20"/>
        <v>0</v>
      </c>
    </row>
    <row r="817" spans="1:7" ht="15.75" x14ac:dyDescent="0.25">
      <c r="A817" s="15" t="str">
        <f>'PEDIDO 11'!$B$2</f>
        <v>Tatui-Casa Dos Colchoes De Tatui Ltda</v>
      </c>
      <c r="B817" s="12" t="s">
        <v>404</v>
      </c>
      <c r="C817" s="1">
        <f>IFERROR(VLOOKUP(23,'PEDIDO 11'!$C$2:$E$230,3,0),0)</f>
        <v>0</v>
      </c>
      <c r="D817" s="1">
        <f>IFERROR(VLOOKUP(24,'PEDIDO 11'!$C$2:$E$230,3,0),0)</f>
        <v>0</v>
      </c>
      <c r="E817" s="1">
        <f>IFERROR(VLOOKUP(25,'PEDIDO 11'!$C$2:$E$230,3,0),0)</f>
        <v>0</v>
      </c>
      <c r="F817" s="1">
        <f>IFERROR(VLOOKUP(291,'PEDIDO 11'!$C$2:$E$230,3,0),0)</f>
        <v>0</v>
      </c>
      <c r="G817" s="18">
        <f t="shared" si="20"/>
        <v>0</v>
      </c>
    </row>
    <row r="818" spans="1:7" ht="15.75" x14ac:dyDescent="0.25">
      <c r="A818" s="15" t="str">
        <f>'PEDIDO 11'!$B$2</f>
        <v>Tatui-Casa Dos Colchoes De Tatui Ltda</v>
      </c>
      <c r="B818" s="12" t="s">
        <v>405</v>
      </c>
      <c r="C818" s="1">
        <f>IFERROR(VLOOKUP(27,'PEDIDO 11'!$C$2:$E$230,3,0),0)</f>
        <v>0</v>
      </c>
      <c r="D818" s="1">
        <f>IFERROR(VLOOKUP(28,'PEDIDO 11'!$C$2:$E$230,3,0),0)</f>
        <v>0</v>
      </c>
      <c r="E818" s="1">
        <f>IFERROR(VLOOKUP(29,'PEDIDO 11'!$C$2:$E$230,3,0),0)</f>
        <v>0</v>
      </c>
      <c r="F818" s="1">
        <f>IFERROR(VLOOKUP(292,'PEDIDO 11'!$C$2:$E$230,3,0),0)</f>
        <v>0</v>
      </c>
      <c r="G818" s="18">
        <f t="shared" si="20"/>
        <v>0</v>
      </c>
    </row>
    <row r="819" spans="1:7" ht="15.75" x14ac:dyDescent="0.25">
      <c r="A819" s="15" t="str">
        <f>'PEDIDO 11'!$B$2</f>
        <v>Tatui-Casa Dos Colchoes De Tatui Ltda</v>
      </c>
      <c r="B819" s="12" t="s">
        <v>406</v>
      </c>
      <c r="C819" s="1">
        <f>IFERROR(VLOOKUP(227,'PEDIDO 11'!$C$2:$E$230,3,0),0)</f>
        <v>0</v>
      </c>
      <c r="D819" s="1">
        <f>IFERROR(VLOOKUP(228,'PEDIDO 11'!$C$2:$E$230,3,0),0)</f>
        <v>0</v>
      </c>
      <c r="E819" s="1">
        <f>IFERROR(VLOOKUP(229,'PEDIDO 11'!$C$2:$E$230,3,0),0)</f>
        <v>0</v>
      </c>
      <c r="F819" s="1">
        <f>IFERROR(VLOOKUP(230,'PEDIDO 11'!$C$2:$E$230,3,0),0)</f>
        <v>1</v>
      </c>
      <c r="G819" s="18">
        <f t="shared" si="20"/>
        <v>1</v>
      </c>
    </row>
    <row r="820" spans="1:7" ht="15.75" x14ac:dyDescent="0.25">
      <c r="A820" s="15" t="str">
        <f>'PEDIDO 11'!$B$2</f>
        <v>Tatui-Casa Dos Colchoes De Tatui Ltda</v>
      </c>
      <c r="B820" s="12" t="s">
        <v>407</v>
      </c>
      <c r="C820" s="1">
        <f>IFERROR(VLOOKUP(231,'PEDIDO 11'!$C$2:$E$230,3,0),0)</f>
        <v>0</v>
      </c>
      <c r="D820" s="1">
        <f>IFERROR(VLOOKUP(232,'PEDIDO 11'!$C$2:$E$230,3,0),0)</f>
        <v>0</v>
      </c>
      <c r="E820" s="1">
        <f>IFERROR(VLOOKUP(234,'PEDIDO 11'!$C$2:$E$230,3,0),0)</f>
        <v>0</v>
      </c>
      <c r="F820" s="1">
        <f>IFERROR(VLOOKUP(233,'PEDIDO 11'!$C$2:$E$230,3,0),0)</f>
        <v>0</v>
      </c>
      <c r="G820" s="18">
        <f t="shared" si="20"/>
        <v>0</v>
      </c>
    </row>
    <row r="821" spans="1:7" ht="15.75" x14ac:dyDescent="0.25">
      <c r="A821" s="15" t="str">
        <f>'PEDIDO 11'!$B$2</f>
        <v>Tatui-Casa Dos Colchoes De Tatui Ltda</v>
      </c>
      <c r="B821" s="12" t="s">
        <v>408</v>
      </c>
      <c r="C821" s="1">
        <f>IFERROR(VLOOKUP(237,'PEDIDO 11'!$C$2:$E$230,3,0),0)</f>
        <v>0</v>
      </c>
      <c r="D821" s="1">
        <f>IFERROR(VLOOKUP(238,'PEDIDO 11'!$C$2:$E$230,3,0),0)</f>
        <v>0</v>
      </c>
      <c r="E821" s="1">
        <f>IFERROR(VLOOKUP(240,'PEDIDO 11'!$C$2:$E$230,3,0),0)</f>
        <v>0</v>
      </c>
      <c r="F821" s="1">
        <f>IFERROR(VLOOKUP(239,'PEDIDO 11'!$C$2:$E$230,3,0),0)</f>
        <v>0</v>
      </c>
      <c r="G821" s="18">
        <f t="shared" si="20"/>
        <v>0</v>
      </c>
    </row>
    <row r="822" spans="1:7" ht="15.75" x14ac:dyDescent="0.25">
      <c r="A822" s="15" t="str">
        <f>'PEDIDO 11'!$B$2</f>
        <v>Tatui-Casa Dos Colchoes De Tatui Ltda</v>
      </c>
      <c r="B822" s="12" t="s">
        <v>409</v>
      </c>
      <c r="C822" s="1">
        <f>IFERROR(VLOOKUP(25707,'PEDIDO 11'!$C$2:$E$230,3,0),0)</f>
        <v>0</v>
      </c>
      <c r="D822" s="1">
        <f>IFERROR(VLOOKUP(25708,'PEDIDO 11'!$C$2:$E$230,3,0),0)</f>
        <v>0</v>
      </c>
      <c r="E822" s="1">
        <f>IFERROR(VLOOKUP(25710,'PEDIDO 11'!$C$2:$E$230,3,0),0)</f>
        <v>0</v>
      </c>
      <c r="F822" s="1">
        <f>IFERROR(VLOOKUP(25709,'PEDIDO 11'!$C$2:$E$230,3,0),0)</f>
        <v>0</v>
      </c>
      <c r="G822" s="18">
        <f t="shared" si="20"/>
        <v>0</v>
      </c>
    </row>
    <row r="823" spans="1:7" ht="15.75" x14ac:dyDescent="0.25">
      <c r="A823" s="15" t="str">
        <f>'PEDIDO 11'!$B$2</f>
        <v>Tatui-Casa Dos Colchoes De Tatui Ltda</v>
      </c>
      <c r="B823" s="12" t="s">
        <v>410</v>
      </c>
      <c r="C823" s="1">
        <f>IFERROR(VLOOKUP(25711,'PEDIDO 11'!$C$2:$E$230,3,0),0)</f>
        <v>0</v>
      </c>
      <c r="D823" s="1"/>
      <c r="E823" s="1"/>
      <c r="F823" s="1"/>
      <c r="G823" s="18">
        <f t="shared" si="20"/>
        <v>0</v>
      </c>
    </row>
    <row r="824" spans="1:7" ht="15.75" x14ac:dyDescent="0.25">
      <c r="A824" s="15" t="str">
        <f>'PEDIDO 11'!$B$2</f>
        <v>Tatui-Casa Dos Colchoes De Tatui Ltda</v>
      </c>
      <c r="B824" s="12" t="s">
        <v>411</v>
      </c>
      <c r="C824" s="1">
        <f>IFERROR(VLOOKUP(35,'PEDIDO 11'!$C$2:$E$230,3,0),0)</f>
        <v>0</v>
      </c>
      <c r="D824" s="1">
        <f>IFERROR(VLOOKUP(36,'PEDIDO 11'!$C$2:$E$230,3,0),0)</f>
        <v>0</v>
      </c>
      <c r="E824" s="1">
        <f>IFERROR(VLOOKUP(37,'PEDIDO 11'!$C$2:$E$230,3,0),0)</f>
        <v>0</v>
      </c>
      <c r="F824" s="1">
        <f>IFERROR(VLOOKUP(294,'PEDIDO 11'!$C$2:$E$230,3,0),0)</f>
        <v>1</v>
      </c>
      <c r="G824" s="18">
        <f t="shared" si="20"/>
        <v>1</v>
      </c>
    </row>
    <row r="825" spans="1:7" ht="15.75" x14ac:dyDescent="0.25">
      <c r="A825" s="15" t="str">
        <f>'PEDIDO 11'!$B$2</f>
        <v>Tatui-Casa Dos Colchoes De Tatui Ltda</v>
      </c>
      <c r="B825" s="12" t="s">
        <v>412</v>
      </c>
      <c r="C825" s="1">
        <f>IFERROR(VLOOKUP(39,'PEDIDO 11'!$C$2:$E$230,3,0),0)</f>
        <v>0</v>
      </c>
      <c r="D825" s="1">
        <f>IFERROR(VLOOKUP(40,'PEDIDO 11'!$C$2:$E$230,3,0),0)</f>
        <v>0</v>
      </c>
      <c r="E825" s="1">
        <f>IFERROR(VLOOKUP(42,'PEDIDO 11'!$C$2:$E$230,3,0),0)</f>
        <v>0</v>
      </c>
      <c r="F825" s="1">
        <f>IFERROR(VLOOKUP(295,'PEDIDO 11'!$C$2:$E$230,3,0),0)</f>
        <v>3</v>
      </c>
      <c r="G825" s="18">
        <f t="shared" si="20"/>
        <v>3</v>
      </c>
    </row>
    <row r="826" spans="1:7" ht="15.75" x14ac:dyDescent="0.25">
      <c r="A826" s="15" t="str">
        <f>'PEDIDO 11'!$B$2</f>
        <v>Tatui-Casa Dos Colchoes De Tatui Ltda</v>
      </c>
      <c r="B826" s="12" t="s">
        <v>413</v>
      </c>
      <c r="C826" s="1">
        <f>IFERROR(VLOOKUP(44,'PEDIDO 11'!$C$2:$E$230,3,0),0)</f>
        <v>0</v>
      </c>
      <c r="D826" s="1">
        <f>IFERROR(VLOOKUP(45,'PEDIDO 11'!$C$2:$E$230,3,0),0)</f>
        <v>0</v>
      </c>
      <c r="E826" s="1">
        <f>IFERROR(VLOOKUP(46,'PEDIDO 11'!$C$2:$E$230,3,0),0)</f>
        <v>0</v>
      </c>
      <c r="F826" s="1">
        <f>IFERROR(VLOOKUP(283,'PEDIDO 11'!$C$2:$E$230,3,0),0)</f>
        <v>5</v>
      </c>
      <c r="G826" s="18">
        <f t="shared" si="20"/>
        <v>5</v>
      </c>
    </row>
    <row r="827" spans="1:7" ht="15.75" x14ac:dyDescent="0.25">
      <c r="A827" s="15" t="str">
        <f>'PEDIDO 11'!$B$2</f>
        <v>Tatui-Casa Dos Colchoes De Tatui Ltda</v>
      </c>
      <c r="B827" s="12" t="s">
        <v>414</v>
      </c>
      <c r="C827" s="1">
        <f>IFERROR(VLOOKUP(48,'PEDIDO 11'!$C$2:$E$230,3,0),0)</f>
        <v>0</v>
      </c>
      <c r="D827" s="1">
        <f>IFERROR(VLOOKUP(49,'PEDIDO 11'!$C$2:$E$230,3,0),0)</f>
        <v>0</v>
      </c>
      <c r="E827" s="1">
        <f>IFERROR(VLOOKUP(50,'PEDIDO 11'!$C$2:$E$230,3,0),0)</f>
        <v>0</v>
      </c>
      <c r="F827" s="1">
        <f>IFERROR(VLOOKUP(298,'PEDIDO 11'!$C$2:$E$230,3,0),0)</f>
        <v>2</v>
      </c>
      <c r="G827" s="18">
        <f t="shared" si="20"/>
        <v>2</v>
      </c>
    </row>
    <row r="828" spans="1:7" ht="15.75" x14ac:dyDescent="0.25">
      <c r="A828" s="15" t="str">
        <f>'PEDIDO 11'!$B$2</f>
        <v>Tatui-Casa Dos Colchoes De Tatui Ltda</v>
      </c>
      <c r="B828" s="12" t="s">
        <v>415</v>
      </c>
      <c r="C828" s="1">
        <f>IFERROR(VLOOKUP(52,'PEDIDO 11'!$C$2:$E$230,3,0),0)</f>
        <v>0</v>
      </c>
      <c r="D828" s="1">
        <f>IFERROR(VLOOKUP(53,'PEDIDO 11'!$C$2:$E$230,3,0),0)</f>
        <v>0</v>
      </c>
      <c r="E828" s="1">
        <f>IFERROR(VLOOKUP(54,'PEDIDO 11'!$C$2:$E$230,3,0),0)</f>
        <v>0</v>
      </c>
      <c r="F828" s="1">
        <f>IFERROR(VLOOKUP(299,'PEDIDO 11'!$C$2:$E$230,3,0),0)</f>
        <v>0</v>
      </c>
      <c r="G828" s="18">
        <f t="shared" si="20"/>
        <v>0</v>
      </c>
    </row>
    <row r="829" spans="1:7" ht="15.75" x14ac:dyDescent="0.25">
      <c r="A829" s="15" t="str">
        <f>'PEDIDO 11'!$B$2</f>
        <v>Tatui-Casa Dos Colchoes De Tatui Ltda</v>
      </c>
      <c r="B829" s="12" t="s">
        <v>416</v>
      </c>
      <c r="C829" s="1">
        <f>IFERROR(VLOOKUP(56,'PEDIDO 11'!$C$2:$E$230,3,0),0)</f>
        <v>0</v>
      </c>
      <c r="D829" s="1">
        <f>IFERROR(VLOOKUP(61,'PEDIDO 11'!$C$2:$E$230,3,0),0)</f>
        <v>0</v>
      </c>
      <c r="E829" s="1">
        <f>IFERROR(VLOOKUP(58,'PEDIDO 11'!$C$2:$E$230,3,0),0)</f>
        <v>0</v>
      </c>
      <c r="F829" s="1">
        <f>IFERROR(VLOOKUP(300,'PEDIDO 11'!$C$2:$E$230,3,0),0)</f>
        <v>0</v>
      </c>
      <c r="G829" s="18">
        <f t="shared" si="20"/>
        <v>0</v>
      </c>
    </row>
    <row r="830" spans="1:7" ht="15.75" x14ac:dyDescent="0.25">
      <c r="A830" s="15" t="str">
        <f>'PEDIDO 11'!$B$2</f>
        <v>Tatui-Casa Dos Colchoes De Tatui Ltda</v>
      </c>
      <c r="B830" s="12" t="s">
        <v>417</v>
      </c>
      <c r="C830" s="1">
        <f>IFERROR(VLOOKUP(60,'PEDIDO 11'!$C$2:$E$230,3,0),0)</f>
        <v>0</v>
      </c>
      <c r="D830" s="1">
        <f>IFERROR(VLOOKUP(120,'PEDIDO 11'!$C$2:$E$230,3,0),0)</f>
        <v>0</v>
      </c>
      <c r="E830" s="1">
        <f>IFERROR(VLOOKUP(62,'PEDIDO 11'!$C$2:$E$230,3,0),0)</f>
        <v>0</v>
      </c>
      <c r="F830" s="1">
        <f>IFERROR(VLOOKUP(301,'PEDIDO 11'!$C$2:$E$230,3,0),0)</f>
        <v>0</v>
      </c>
      <c r="G830" s="18">
        <f t="shared" si="20"/>
        <v>0</v>
      </c>
    </row>
    <row r="831" spans="1:7" ht="15.75" x14ac:dyDescent="0.25">
      <c r="A831" s="15" t="str">
        <f>'PEDIDO 11'!$B$2</f>
        <v>Tatui-Casa Dos Colchoes De Tatui Ltda</v>
      </c>
      <c r="B831" s="12" t="s">
        <v>426</v>
      </c>
      <c r="C831" s="1">
        <f>IFERROR(VLOOKUP(112,'PEDIDO 11'!$C$2:$E$230,3,0),0)</f>
        <v>0</v>
      </c>
      <c r="D831" s="1">
        <f>IFERROR(VLOOKUP(113,'PEDIDO 11'!$C$2:$E$230,3,0),0)</f>
        <v>0</v>
      </c>
      <c r="E831" s="1">
        <f>IFERROR(VLOOKUP(114,'PEDIDO 11'!$C$2:$E$230,3,0),0)</f>
        <v>0</v>
      </c>
      <c r="F831" s="1">
        <f>IFERROR(VLOOKUP(296,'PEDIDO 11'!$C$2:$E$230,3,0),0)</f>
        <v>0</v>
      </c>
      <c r="G831" s="18">
        <f t="shared" si="20"/>
        <v>0</v>
      </c>
    </row>
    <row r="832" spans="1:7" ht="15.75" x14ac:dyDescent="0.25">
      <c r="A832" s="15" t="str">
        <f>'PEDIDO 11'!$B$2</f>
        <v>Tatui-Casa Dos Colchoes De Tatui Ltda</v>
      </c>
      <c r="B832" s="12" t="s">
        <v>427</v>
      </c>
      <c r="C832" s="1">
        <f>IFERROR(VLOOKUP(116,'PEDIDO 11'!$C$2:$E$230,3,0),0)</f>
        <v>0</v>
      </c>
      <c r="D832" s="1">
        <f>IFERROR(VLOOKUP(117,'PEDIDO 11'!$C$2:$E$230,3,0),0)</f>
        <v>0</v>
      </c>
      <c r="E832" s="1">
        <f>IFERROR(VLOOKUP(118,'PEDIDO 11'!$C$2:$E$230,3,0),0)</f>
        <v>0</v>
      </c>
      <c r="F832" s="1">
        <f>IFERROR(VLOOKUP(293,'PEDIDO 11'!$C$2:$E$230,3,0),0)</f>
        <v>0</v>
      </c>
      <c r="G832" s="18">
        <f t="shared" si="20"/>
        <v>0</v>
      </c>
    </row>
    <row r="833" spans="1:7" ht="15.75" x14ac:dyDescent="0.25">
      <c r="A833" s="15" t="str">
        <f>'PEDIDO 11'!$B$2</f>
        <v>Tatui-Casa Dos Colchoes De Tatui Ltda</v>
      </c>
      <c r="B833" s="12" t="s">
        <v>418</v>
      </c>
      <c r="C833" s="1">
        <f>IFERROR(VLOOKUP(963,'PEDIDO 11'!$C$2:$E$230,3,0),0)</f>
        <v>0</v>
      </c>
      <c r="D833" s="1">
        <f>IFERROR(VLOOKUP(965,'PEDIDO 11'!$C$2:$E$230,3,0),0)</f>
        <v>0</v>
      </c>
      <c r="E833" s="1">
        <f>IFERROR(VLOOKUP(966,'PEDIDO 11'!$C$2:$E$230,3,0),0)</f>
        <v>0</v>
      </c>
      <c r="F833" s="1">
        <f>IFERROR(VLOOKUP(964,'PEDIDO 11'!$C$2:$E$230,3,0),0)</f>
        <v>0</v>
      </c>
      <c r="G833" s="18">
        <f t="shared" si="20"/>
        <v>0</v>
      </c>
    </row>
    <row r="834" spans="1:7" ht="15.75" x14ac:dyDescent="0.25">
      <c r="A834" s="15" t="str">
        <f>'PEDIDO 11'!$B$2</f>
        <v>Tatui-Casa Dos Colchoes De Tatui Ltda</v>
      </c>
      <c r="B834" s="12" t="s">
        <v>419</v>
      </c>
      <c r="C834" s="1">
        <f>IFERROR(VLOOKUP(2042,'PEDIDO 11'!$C$2:$E$230,3,0),0)</f>
        <v>0</v>
      </c>
      <c r="D834" s="1">
        <f>IFERROR(VLOOKUP(2041,'PEDIDO 11'!$C$2:$E$230,3,0),0)</f>
        <v>0</v>
      </c>
      <c r="E834" s="1">
        <f>IFERROR(VLOOKUP(2043,'PEDIDO 11'!$C$2:$E$230,3,0),0)</f>
        <v>0</v>
      </c>
      <c r="F834" s="1">
        <f>IFERROR(VLOOKUP(2040,'PEDIDO 11'!$C$2:$E$230,3,0),0)</f>
        <v>0</v>
      </c>
      <c r="G834" s="18">
        <f t="shared" si="20"/>
        <v>0</v>
      </c>
    </row>
    <row r="835" spans="1:7" ht="15.75" x14ac:dyDescent="0.25">
      <c r="A835" s="15" t="str">
        <f>'PEDIDO 11'!$B$2</f>
        <v>Tatui-Casa Dos Colchoes De Tatui Ltda</v>
      </c>
      <c r="B835" s="12" t="s">
        <v>420</v>
      </c>
      <c r="C835" s="1">
        <f>IFERROR(VLOOKUP(2045,'PEDIDO 11'!$C$2:$E$230,3,0),0)</f>
        <v>0</v>
      </c>
      <c r="D835" s="1">
        <f>IFERROR(VLOOKUP(2046,'PEDIDO 11'!$C$2:$E$230,3,0),0)</f>
        <v>0</v>
      </c>
      <c r="E835" s="1">
        <f>IFERROR(VLOOKUP(2047,'PEDIDO 11'!$C$2:$E$230,3,0),0)</f>
        <v>0</v>
      </c>
      <c r="F835" s="1">
        <f>IFERROR(VLOOKUP(2048,'PEDIDO 11'!$C$2:$E$230,3,0),0)</f>
        <v>0</v>
      </c>
      <c r="G835" s="18">
        <f t="shared" si="20"/>
        <v>0</v>
      </c>
    </row>
    <row r="836" spans="1:7" ht="15.75" x14ac:dyDescent="0.25">
      <c r="A836" s="15" t="str">
        <f>'PEDIDO 11'!$B$2</f>
        <v>Tatui-Casa Dos Colchoes De Tatui Ltda</v>
      </c>
      <c r="B836" s="12" t="s">
        <v>421</v>
      </c>
      <c r="C836" s="1">
        <f>IFERROR(VLOOKUP(2050,'PEDIDO 11'!$C$2:$E$230,3,0),0)</f>
        <v>0</v>
      </c>
      <c r="D836" s="1">
        <f>IFERROR(VLOOKUP(2051,'PEDIDO 11'!$C$2:$E$230,3,0),0)</f>
        <v>0</v>
      </c>
      <c r="E836" s="1">
        <f>IFERROR(VLOOKUP(2052,'PEDIDO 11'!$C$2:$E$230,3,0),0)</f>
        <v>0</v>
      </c>
      <c r="F836" s="1">
        <f>IFERROR(VLOOKUP(2053,'PEDIDO 11'!$C$2:$E$230,3,0),0)</f>
        <v>0</v>
      </c>
      <c r="G836" s="18">
        <f t="shared" si="20"/>
        <v>0</v>
      </c>
    </row>
    <row r="837" spans="1:7" ht="15.75" x14ac:dyDescent="0.25">
      <c r="A837" s="15" t="str">
        <f>'PEDIDO 11'!$B$2</f>
        <v>Tatui-Casa Dos Colchoes De Tatui Ltda</v>
      </c>
      <c r="B837" s="12" t="s">
        <v>422</v>
      </c>
      <c r="C837" s="1">
        <f>IFERROR(VLOOKUP(216,'PEDIDO 11'!$C$2:$E$230,3,0),0)</f>
        <v>0</v>
      </c>
      <c r="D837" s="1">
        <f>IFERROR(VLOOKUP(217,'PEDIDO 11'!$C$2:$E$230,3,0),0)</f>
        <v>0</v>
      </c>
      <c r="E837" s="1">
        <f>IFERROR(VLOOKUP(218,'PEDIDO 11'!$C$2:$E$230,3,0),0)</f>
        <v>0</v>
      </c>
      <c r="F837" s="1">
        <f>IFERROR(VLOOKUP(305,'PEDIDO 11'!$C$2:$E$230,3,0),0)</f>
        <v>0</v>
      </c>
      <c r="G837" s="18">
        <f t="shared" si="20"/>
        <v>0</v>
      </c>
    </row>
    <row r="838" spans="1:7" ht="15.75" x14ac:dyDescent="0.25">
      <c r="A838" s="15" t="str">
        <f>'PEDIDO 11'!$B$2</f>
        <v>Tatui-Casa Dos Colchoes De Tatui Ltda</v>
      </c>
      <c r="B838" s="12" t="s">
        <v>423</v>
      </c>
      <c r="C838" s="1">
        <f>IFERROR(VLOOKUP(100,'PEDIDO 11'!$C$2:$E$230,3,0),0)</f>
        <v>0</v>
      </c>
      <c r="D838" s="1">
        <f>IFERROR(VLOOKUP(101,'PEDIDO 11'!$C$2:$E$230,3,0),0)</f>
        <v>0</v>
      </c>
      <c r="E838" s="1">
        <f>IFERROR(VLOOKUP(102,'PEDIDO 11'!$C$2:$E$230,3,0),0)</f>
        <v>0</v>
      </c>
      <c r="F838" s="1">
        <f>IFERROR(VLOOKUP(306,'PEDIDO 11'!$C$2:$E$230,3,0),0)</f>
        <v>0</v>
      </c>
      <c r="G838" s="18">
        <f t="shared" si="20"/>
        <v>0</v>
      </c>
    </row>
    <row r="839" spans="1:7" ht="15.75" x14ac:dyDescent="0.25">
      <c r="A839" s="15" t="str">
        <f>'PEDIDO 11'!$B$2</f>
        <v>Tatui-Casa Dos Colchoes De Tatui Ltda</v>
      </c>
      <c r="B839" s="12" t="s">
        <v>424</v>
      </c>
      <c r="C839" s="1">
        <f>IFERROR(VLOOKUP(104,'PEDIDO 11'!$C$2:$E$230,3,0),0)</f>
        <v>0</v>
      </c>
      <c r="D839" s="1">
        <f>IFERROR(VLOOKUP(105,'PEDIDO 11'!$C$2:$E$230,3,0),0)</f>
        <v>0</v>
      </c>
      <c r="E839" s="1">
        <f>IFERROR(VLOOKUP(106,'PEDIDO 11'!$C$2:$E$230,3,0),0)</f>
        <v>0</v>
      </c>
      <c r="F839" s="1">
        <f>IFERROR(VLOOKUP(307,'PEDIDO 11'!$C$2:$E$230,3,0),0)</f>
        <v>0</v>
      </c>
      <c r="G839" s="18">
        <f t="shared" si="20"/>
        <v>0</v>
      </c>
    </row>
    <row r="840" spans="1:7" ht="15.75" x14ac:dyDescent="0.25">
      <c r="A840" s="15" t="str">
        <f>'PEDIDO 11'!$B$2</f>
        <v>Tatui-Casa Dos Colchoes De Tatui Ltda</v>
      </c>
      <c r="B840" s="12" t="s">
        <v>425</v>
      </c>
      <c r="C840" s="1">
        <f>IFERROR(VLOOKUP(400,'PEDIDO 11'!$C$2:$E$230,3,0),0)</f>
        <v>0</v>
      </c>
      <c r="D840" s="1">
        <f>IFERROR(VLOOKUP(401,'PEDIDO 11'!$C$2:$E$230,3,0),0)</f>
        <v>0</v>
      </c>
      <c r="E840" s="1">
        <f>IFERROR(VLOOKUP(402,'PEDIDO 11'!$C$2:$E$230,3,0),0)</f>
        <v>0</v>
      </c>
      <c r="F840" s="1">
        <f>IFERROR(VLOOKUP(403,'PEDIDO 11'!$C$2:$E$230,3,0),0)</f>
        <v>0</v>
      </c>
      <c r="G840" s="18">
        <f t="shared" si="20"/>
        <v>0</v>
      </c>
    </row>
    <row r="841" spans="1:7" ht="15.75" x14ac:dyDescent="0.25">
      <c r="A841" s="15" t="str">
        <f>'PEDIDO 11'!$B$2</f>
        <v>Tatui-Casa Dos Colchoes De Tatui Ltda</v>
      </c>
      <c r="B841" s="12" t="s">
        <v>428</v>
      </c>
      <c r="C841" s="1">
        <f>IFERROR(VLOOKUP(22,'PEDIDO 11'!$C$2:$E$230,3,0),0)</f>
        <v>0</v>
      </c>
      <c r="D841" s="1"/>
      <c r="E841" s="1"/>
      <c r="F841" s="1"/>
      <c r="G841" s="18">
        <f t="shared" si="20"/>
        <v>0</v>
      </c>
    </row>
    <row r="842" spans="1:7" ht="15.75" x14ac:dyDescent="0.25">
      <c r="A842" s="15" t="str">
        <f>'PEDIDO 11'!$B$2</f>
        <v>Tatui-Casa Dos Colchoes De Tatui Ltda</v>
      </c>
      <c r="B842" s="12" t="s">
        <v>429</v>
      </c>
      <c r="C842" s="1">
        <f>IFERROR(VLOOKUP(21,'PEDIDO 11'!$C$2:$E$230,3,0),0)</f>
        <v>0</v>
      </c>
      <c r="D842" s="1"/>
      <c r="E842" s="1"/>
      <c r="F842" s="1"/>
      <c r="G842" s="18">
        <f t="shared" si="20"/>
        <v>0</v>
      </c>
    </row>
    <row r="843" spans="1:7" ht="15.75" x14ac:dyDescent="0.25">
      <c r="A843" s="15" t="str">
        <f>'PEDIDO 11'!$B$2</f>
        <v>Tatui-Casa Dos Colchoes De Tatui Ltda</v>
      </c>
      <c r="B843" s="12" t="s">
        <v>430</v>
      </c>
      <c r="C843" s="1">
        <f>IFERROR(VLOOKUP(1125,'PEDIDO 11'!$C$2:$E$230,3,0),0)</f>
        <v>0</v>
      </c>
      <c r="D843" s="1">
        <f>IFERROR(VLOOKUP(1126,'PEDIDO 11'!$C$2:$E$230,3,0),0)</f>
        <v>0</v>
      </c>
      <c r="E843" s="1">
        <f>IFERROR(VLOOKUP(1127,'PEDIDO 11'!$C$2:$E$230,3,0),0)</f>
        <v>0</v>
      </c>
      <c r="F843" s="1">
        <f>IFERROR(VLOOKUP(1128,'PEDIDO 11'!$C$2:$E$230,3,0),0)</f>
        <v>0</v>
      </c>
      <c r="G843" s="18">
        <f t="shared" si="20"/>
        <v>0</v>
      </c>
    </row>
    <row r="844" spans="1:7" ht="15.75" x14ac:dyDescent="0.25">
      <c r="A844" s="15" t="str">
        <f>'PEDIDO 11'!$B$2</f>
        <v>Tatui-Casa Dos Colchoes De Tatui Ltda</v>
      </c>
      <c r="B844" s="12" t="s">
        <v>431</v>
      </c>
      <c r="C844" s="1">
        <f>IFERROR(VLOOKUP(1133,'PEDIDO 11'!$C$2:$E$230,3,0),0)</f>
        <v>0</v>
      </c>
      <c r="D844" s="1">
        <f>IFERROR(VLOOKUP(1134,'PEDIDO 11'!$C$2:$E$230,3,0),0)</f>
        <v>0</v>
      </c>
      <c r="E844" s="1">
        <f>IFERROR(VLOOKUP(1135,'PEDIDO 11'!$C$2:$E$230,3,0),0)</f>
        <v>0</v>
      </c>
      <c r="F844" s="1">
        <f>IFERROR(VLOOKUP(1136,'PEDIDO 11'!$C$2:$E$230,3,0),0)</f>
        <v>0</v>
      </c>
      <c r="G844" s="18">
        <f t="shared" si="20"/>
        <v>0</v>
      </c>
    </row>
    <row r="845" spans="1:7" ht="15.75" x14ac:dyDescent="0.25">
      <c r="A845" s="15" t="str">
        <f>'PEDIDO 11'!$B$2</f>
        <v>Tatui-Casa Dos Colchoes De Tatui Ltda</v>
      </c>
      <c r="B845" s="12" t="s">
        <v>432</v>
      </c>
      <c r="C845" s="1">
        <f>IFERROR(VLOOKUP(1105,'PEDIDO 11'!$C$2:$E$230,3,0),0)</f>
        <v>0</v>
      </c>
      <c r="D845" s="1">
        <f>IFERROR(VLOOKUP(1106,'PEDIDO 11'!$C$2:$E$230,3,0),0)</f>
        <v>0</v>
      </c>
      <c r="E845" s="1">
        <f>IFERROR(VLOOKUP(1107,'PEDIDO 11'!$C$2:$E$230,3,0),0)</f>
        <v>0</v>
      </c>
      <c r="F845" s="1">
        <f>IFERROR(VLOOKUP(1108,'PEDIDO 11'!$C$2:$E$230,3,0),0)</f>
        <v>0</v>
      </c>
      <c r="G845" s="18">
        <f t="shared" si="20"/>
        <v>0</v>
      </c>
    </row>
    <row r="846" spans="1:7" ht="15.75" x14ac:dyDescent="0.25">
      <c r="A846" s="15" t="str">
        <f>'PEDIDO 11'!$B$2</f>
        <v>Tatui-Casa Dos Colchoes De Tatui Ltda</v>
      </c>
      <c r="B846" s="12" t="s">
        <v>433</v>
      </c>
      <c r="C846" s="1">
        <f>IFERROR(VLOOKUP(1109,'PEDIDO 11'!$C$2:$E$230,3,0),0)</f>
        <v>0</v>
      </c>
      <c r="D846" s="1">
        <f>IFERROR(VLOOKUP(1110,'PEDIDO 11'!$C$2:$E$230,3,0),0)</f>
        <v>0</v>
      </c>
      <c r="E846" s="1">
        <f>IFERROR(VLOOKUP(1111,'PEDIDO 11'!$C$2:$E$230,3,0),0)</f>
        <v>0</v>
      </c>
      <c r="F846" s="1">
        <f>IFERROR(VLOOKUP(1112,'PEDIDO 11'!$C$2:$E$230,3,0),0)</f>
        <v>0</v>
      </c>
      <c r="G846" s="18">
        <f t="shared" si="20"/>
        <v>0</v>
      </c>
    </row>
    <row r="847" spans="1:7" ht="15.75" x14ac:dyDescent="0.25">
      <c r="A847" s="15" t="str">
        <f>'PEDIDO 11'!$B$2</f>
        <v>Tatui-Casa Dos Colchoes De Tatui Ltda</v>
      </c>
      <c r="B847" s="12" t="s">
        <v>434</v>
      </c>
      <c r="C847" s="1">
        <f>IFERROR(VLOOKUP(1113,'PEDIDO 11'!$C$2:$E$230,3,0),0)</f>
        <v>0</v>
      </c>
      <c r="D847" s="1">
        <f>IFERROR(VLOOKUP(1114,'PEDIDO 11'!$C$2:$E$230,3,0),0)</f>
        <v>0</v>
      </c>
      <c r="E847" s="1">
        <f>IFERROR(VLOOKUP(1115,'PEDIDO 11'!$C$2:$E$230,3,0),0)</f>
        <v>0</v>
      </c>
      <c r="F847" s="1">
        <f>IFERROR(VLOOKUP(1116,'PEDIDO 11'!$C$2:$E$230,3,0),0)</f>
        <v>0</v>
      </c>
      <c r="G847" s="18">
        <f t="shared" si="20"/>
        <v>0</v>
      </c>
    </row>
    <row r="848" spans="1:7" ht="15.75" x14ac:dyDescent="0.25">
      <c r="A848" s="15" t="str">
        <f>'PEDIDO 11'!$B$2</f>
        <v>Tatui-Casa Dos Colchoes De Tatui Ltda</v>
      </c>
      <c r="B848" s="12" t="s">
        <v>435</v>
      </c>
      <c r="C848" s="1">
        <f>IFERROR(VLOOKUP(1117,'PEDIDO 11'!$C$2:$E$230,3,0),0)</f>
        <v>0</v>
      </c>
      <c r="D848" s="1">
        <f>IFERROR(VLOOKUP(1118,'PEDIDO 11'!$C$2:$E$230,3,0),0)</f>
        <v>0</v>
      </c>
      <c r="E848" s="1">
        <f>IFERROR(VLOOKUP(1119,'PEDIDO 11'!$C$2:$E$230,3,0),0)</f>
        <v>0</v>
      </c>
      <c r="F848" s="1">
        <f>IFERROR(VLOOKUP(1120,'PEDIDO 11'!$C$2:$E$230,3,0),0)</f>
        <v>0</v>
      </c>
      <c r="G848" s="18">
        <f t="shared" si="20"/>
        <v>0</v>
      </c>
    </row>
    <row r="849" spans="1:7" ht="15.75" x14ac:dyDescent="0.25">
      <c r="A849" s="15" t="str">
        <f>'PEDIDO 11'!$B$2</f>
        <v>Tatui-Casa Dos Colchoes De Tatui Ltda</v>
      </c>
      <c r="B849" s="12" t="s">
        <v>436</v>
      </c>
      <c r="C849" s="1">
        <f>IFERROR(VLOOKUP(1121,'PEDIDO 11'!$C$2:$E$230,3,0),0)</f>
        <v>0</v>
      </c>
      <c r="D849" s="1">
        <f>IFERROR(VLOOKUP(1122,'PEDIDO 11'!$C$2:$E$230,3,0),0)</f>
        <v>0</v>
      </c>
      <c r="E849" s="1">
        <f>IFERROR(VLOOKUP(1123,'PEDIDO 11'!$C$2:$E$230,3,0),0)</f>
        <v>0</v>
      </c>
      <c r="F849" s="1">
        <f>IFERROR(VLOOKUP(1124,'PEDIDO 11'!$C$2:$E$230,3,0),0)</f>
        <v>0</v>
      </c>
      <c r="G849" s="18">
        <f t="shared" si="20"/>
        <v>0</v>
      </c>
    </row>
    <row r="850" spans="1:7" ht="15.75" x14ac:dyDescent="0.25">
      <c r="A850" s="15" t="str">
        <f>'PEDIDO 11'!$B$2</f>
        <v>Tatui-Casa Dos Colchoes De Tatui Ltda</v>
      </c>
      <c r="B850" s="12" t="s">
        <v>437</v>
      </c>
      <c r="C850" s="1">
        <f>IFERROR(VLOOKUP(1129,'PEDIDO 11'!$C$2:$E$230,3,0),0)</f>
        <v>0</v>
      </c>
      <c r="D850" s="1">
        <f>IFERROR(VLOOKUP(1130,'PEDIDO 11'!$C$2:$E$230,3,0),0)</f>
        <v>0</v>
      </c>
      <c r="E850" s="1">
        <f>IFERROR(VLOOKUP(1131,'PEDIDO 11'!$C$2:$E$230,3,0),0)</f>
        <v>0</v>
      </c>
      <c r="F850" s="1">
        <f>IFERROR(VLOOKUP(1132,'PEDIDO 11'!$C$2:$E$230,3,0),0)</f>
        <v>0</v>
      </c>
      <c r="G850" s="18">
        <f t="shared" si="20"/>
        <v>0</v>
      </c>
    </row>
    <row r="851" spans="1:7" ht="15.75" x14ac:dyDescent="0.25">
      <c r="A851" s="15" t="str">
        <f>'PEDIDO 11'!$B$2</f>
        <v>Tatui-Casa Dos Colchoes De Tatui Ltda</v>
      </c>
      <c r="B851" s="12" t="s">
        <v>438</v>
      </c>
      <c r="C851" s="1">
        <f>IFERROR(VLOOKUP(1137,'PEDIDO 11'!$C$2:$E$230,3,0),0)</f>
        <v>0</v>
      </c>
      <c r="D851" s="1">
        <f>IFERROR(VLOOKUP(1138,'PEDIDO 11'!$C$2:$E$230,3,0),0)</f>
        <v>0</v>
      </c>
      <c r="E851" s="1">
        <f>IFERROR(VLOOKUP(1139,'PEDIDO 11'!$C$2:$E$230,3,0),0)</f>
        <v>0</v>
      </c>
      <c r="F851" s="1">
        <f>IFERROR(VLOOKUP(1140,'PEDIDO 11'!$C$2:$E$230,3,0),0)</f>
        <v>0</v>
      </c>
      <c r="G851" s="18">
        <f t="shared" si="20"/>
        <v>0</v>
      </c>
    </row>
    <row r="852" spans="1:7" ht="15.75" x14ac:dyDescent="0.25">
      <c r="A852" s="15" t="str">
        <f>'PEDIDO 11'!$B$2</f>
        <v>Tatui-Casa Dos Colchoes De Tatui Ltda</v>
      </c>
      <c r="B852" s="12" t="s">
        <v>439</v>
      </c>
      <c r="C852" s="1">
        <f>IFERROR(VLOOKUP(1141,'PEDIDO 11'!$C$2:$E$230,3,0),0)</f>
        <v>0</v>
      </c>
      <c r="D852" s="1">
        <f>IFERROR(VLOOKUP(1142,'PEDIDO 11'!$C$2:$E$230,3,0),0)</f>
        <v>0</v>
      </c>
      <c r="E852" s="1">
        <f>IFERROR(VLOOKUP(1143,'PEDIDO 11'!$C$2:$E$230,3,0),0)</f>
        <v>0</v>
      </c>
      <c r="F852" s="1">
        <f>IFERROR(VLOOKUP(1144,'PEDIDO 11'!$C$2:$E$230,3,0),0)</f>
        <v>0</v>
      </c>
      <c r="G852" s="18">
        <f t="shared" si="20"/>
        <v>0</v>
      </c>
    </row>
    <row r="853" spans="1:7" ht="15.75" x14ac:dyDescent="0.25">
      <c r="A853" s="15" t="str">
        <f>'PEDIDO 11'!$B$2</f>
        <v>Tatui-Casa Dos Colchoes De Tatui Ltda</v>
      </c>
      <c r="B853" s="12" t="s">
        <v>440</v>
      </c>
      <c r="C853" s="1">
        <f>IFERROR(VLOOKUP(1145,'PEDIDO 11'!$C$2:$E$230,3,0),0)</f>
        <v>0</v>
      </c>
      <c r="D853" s="1">
        <f>IFERROR(VLOOKUP(1146,'PEDIDO 11'!$C$2:$E$230,3,0),0)</f>
        <v>0</v>
      </c>
      <c r="E853" s="1">
        <f>IFERROR(VLOOKUP(1147,'PEDIDO 11'!$C$2:$E$230,3,0),0)</f>
        <v>0</v>
      </c>
      <c r="F853" s="1">
        <f>IFERROR(VLOOKUP(1148,'PEDIDO 11'!$C$2:$E$230,3,0),0)</f>
        <v>0</v>
      </c>
      <c r="G853" s="18">
        <f t="shared" si="20"/>
        <v>0</v>
      </c>
    </row>
    <row r="854" spans="1:7" ht="15.75" x14ac:dyDescent="0.25">
      <c r="A854" s="15" t="str">
        <f>'PEDIDO 11'!$B$2</f>
        <v>Tatui-Casa Dos Colchoes De Tatui Ltda</v>
      </c>
      <c r="B854" s="12" t="s">
        <v>441</v>
      </c>
      <c r="C854" s="1">
        <f>IFERROR(VLOOKUP(1149,'PEDIDO 11'!$C$2:$E$230,3,0),0)</f>
        <v>0</v>
      </c>
      <c r="D854" s="1">
        <f>IFERROR(VLOOKUP(1150,'PEDIDO 11'!$C$2:$E$230,3,0),0)</f>
        <v>0</v>
      </c>
      <c r="E854" s="1">
        <f>IFERROR(VLOOKUP(1151,'PEDIDO 11'!$C$2:$E$230,3,0),0)</f>
        <v>0</v>
      </c>
      <c r="F854" s="1">
        <f>IFERROR(VLOOKUP(1152,'PEDIDO 11'!$C$2:$E$230,3,0),0)</f>
        <v>0</v>
      </c>
      <c r="G854" s="18">
        <f t="shared" si="20"/>
        <v>0</v>
      </c>
    </row>
    <row r="855" spans="1:7" ht="15.75" x14ac:dyDescent="0.25">
      <c r="A855" s="15" t="str">
        <f>'PEDIDO 11'!$B$2</f>
        <v>Tatui-Casa Dos Colchoes De Tatui Ltda</v>
      </c>
      <c r="B855" s="12" t="s">
        <v>442</v>
      </c>
      <c r="C855" s="1">
        <f>IFERROR(VLOOKUP(1153,'PEDIDO 11'!$C$2:$E$230,3,0),0)</f>
        <v>0</v>
      </c>
      <c r="D855" s="1">
        <f>IFERROR(VLOOKUP(1154,'PEDIDO 11'!$C$2:$E$230,3,0),0)</f>
        <v>0</v>
      </c>
      <c r="E855" s="1">
        <f>IFERROR(VLOOKUP(1155,'PEDIDO 11'!$C$2:$E$230,3,0),0)</f>
        <v>0</v>
      </c>
      <c r="F855" s="1">
        <f>IFERROR(VLOOKUP(1156,'PEDIDO 11'!$C$2:$E$230,3,0),0)</f>
        <v>0</v>
      </c>
      <c r="G855" s="18">
        <f t="shared" si="20"/>
        <v>0</v>
      </c>
    </row>
    <row r="856" spans="1:7" ht="15.75" x14ac:dyDescent="0.25">
      <c r="A856" s="15" t="str">
        <f>'PEDIDO 11'!$B$2</f>
        <v>Tatui-Casa Dos Colchoes De Tatui Ltda</v>
      </c>
      <c r="B856" s="12" t="s">
        <v>443</v>
      </c>
      <c r="C856" s="1">
        <f>IFERROR(VLOOKUP(1157,'PEDIDO 11'!$C$2:$E$230,3,0),0)</f>
        <v>0</v>
      </c>
      <c r="D856" s="1">
        <f>IFERROR(VLOOKUP(1158,'PEDIDO 11'!$C$2:$E$230,3,0),0)</f>
        <v>0</v>
      </c>
      <c r="E856" s="1">
        <f>IFERROR(VLOOKUP(1159,'PEDIDO 11'!$C$2:$E$230,3,0),0)</f>
        <v>0</v>
      </c>
      <c r="F856" s="1">
        <f>IFERROR(VLOOKUP(1160,'PEDIDO 11'!$C$2:$E$230,3,0),0)</f>
        <v>0</v>
      </c>
      <c r="G856" s="18">
        <f t="shared" si="20"/>
        <v>0</v>
      </c>
    </row>
    <row r="857" spans="1:7" ht="15.75" x14ac:dyDescent="0.25">
      <c r="A857" s="15" t="str">
        <f>'PEDIDO 11'!$B$2</f>
        <v>Tatui-Casa Dos Colchoes De Tatui Ltda</v>
      </c>
      <c r="B857" s="12" t="s">
        <v>444</v>
      </c>
      <c r="C857" s="1">
        <f>IFERROR(VLOOKUP(1161,'PEDIDO 11'!$C$2:$E$230,3,0),0)</f>
        <v>0</v>
      </c>
      <c r="D857" s="1">
        <f>IFERROR(VLOOKUP(1162,'PEDIDO 11'!$C$2:$E$230,3,0),0)</f>
        <v>0</v>
      </c>
      <c r="E857" s="1">
        <f>IFERROR(VLOOKUP(1163,'PEDIDO 11'!$C$2:$E$230,3,0),0)</f>
        <v>0</v>
      </c>
      <c r="F857" s="1">
        <f>IFERROR(VLOOKUP(1164,'PEDIDO 11'!$C$2:$E$230,3,0),0)</f>
        <v>0</v>
      </c>
      <c r="G857" s="18">
        <f t="shared" si="20"/>
        <v>0</v>
      </c>
    </row>
    <row r="858" spans="1:7" ht="15.75" x14ac:dyDescent="0.25">
      <c r="A858" s="15" t="str">
        <f>'PEDIDO 11'!$B$2</f>
        <v>Tatui-Casa Dos Colchoes De Tatui Ltda</v>
      </c>
      <c r="B858" s="12" t="s">
        <v>445</v>
      </c>
      <c r="C858" s="1">
        <f>IFERROR(VLOOKUP(1165,'PEDIDO 11'!$C$2:$E$230,3,0),0)</f>
        <v>0</v>
      </c>
      <c r="D858" s="1">
        <f>IFERROR(VLOOKUP(1166,'PEDIDO 11'!$C$2:$E$230,3,0),0)</f>
        <v>0</v>
      </c>
      <c r="E858" s="1">
        <f>IFERROR(VLOOKUP(1167,'PEDIDO 11'!$C$2:$E$230,3,0),0)</f>
        <v>0</v>
      </c>
      <c r="F858" s="1">
        <f>IFERROR(VLOOKUP(1168,'PEDIDO 11'!$C$2:$E$230,3,0),0)</f>
        <v>0</v>
      </c>
      <c r="G858" s="18">
        <f t="shared" si="20"/>
        <v>0</v>
      </c>
    </row>
    <row r="859" spans="1:7" ht="15.75" x14ac:dyDescent="0.25">
      <c r="A859" s="15" t="str">
        <f>'PEDIDO 11'!$B$2</f>
        <v>Tatui-Casa Dos Colchoes De Tatui Ltda</v>
      </c>
      <c r="B859" s="12" t="s">
        <v>446</v>
      </c>
      <c r="C859" s="1">
        <f>IFERROR(VLOOKUP(1169,'PEDIDO 11'!$C$2:$E$230,3,0),0)</f>
        <v>0</v>
      </c>
      <c r="D859" s="1">
        <f>IFERROR(VLOOKUP(1170,'PEDIDO 11'!$C$2:$E$230,3,0),0)</f>
        <v>0</v>
      </c>
      <c r="E859" s="1">
        <f>IFERROR(VLOOKUP(1171,'PEDIDO 11'!$C$2:$E$230,3,0),0)</f>
        <v>0</v>
      </c>
      <c r="F859" s="1">
        <f>IFERROR(VLOOKUP(1172,'PEDIDO 11'!$C$2:$E$230,3,0),0)</f>
        <v>0</v>
      </c>
      <c r="G859" s="18">
        <f t="shared" si="20"/>
        <v>0</v>
      </c>
    </row>
    <row r="860" spans="1:7" ht="15.75" x14ac:dyDescent="0.25">
      <c r="A860" s="15" t="str">
        <f>'PEDIDO 11'!$B$2</f>
        <v>Tatui-Casa Dos Colchoes De Tatui Ltda</v>
      </c>
      <c r="B860" s="12" t="s">
        <v>447</v>
      </c>
      <c r="C860" s="1">
        <f>IFERROR(VLOOKUP(1173,'PEDIDO 11'!$C$2:$E$230,3,0),0)</f>
        <v>0</v>
      </c>
      <c r="D860" s="1">
        <f>IFERROR(VLOOKUP(1174,'PEDIDO 11'!$C$2:$E$230,3,0),0)</f>
        <v>0</v>
      </c>
      <c r="E860" s="1">
        <f>IFERROR(VLOOKUP(1175,'PEDIDO 11'!$C$2:$E$230,3,0),0)</f>
        <v>0</v>
      </c>
      <c r="F860" s="1">
        <f>IFERROR(VLOOKUP(1176,'PEDIDO 11'!$C$2:$E$230,3,0),0)</f>
        <v>0</v>
      </c>
      <c r="G860" s="18">
        <f t="shared" si="20"/>
        <v>0</v>
      </c>
    </row>
    <row r="861" spans="1:7" ht="15.75" x14ac:dyDescent="0.25">
      <c r="A861" s="15" t="str">
        <f>'PEDIDO 11'!$B$2</f>
        <v>Tatui-Casa Dos Colchoes De Tatui Ltda</v>
      </c>
      <c r="B861" s="12" t="s">
        <v>448</v>
      </c>
      <c r="C861" s="1">
        <f>IFERROR(VLOOKUP(1249,'PEDIDO 11'!$C$2:$E$230,3,0),0)</f>
        <v>0</v>
      </c>
      <c r="D861" s="1">
        <f>IFERROR(VLOOKUP(1250,'PEDIDO 11'!$C$2:$E$230,3,0),0)</f>
        <v>0</v>
      </c>
      <c r="E861" s="1">
        <f>IFERROR(VLOOKUP(1251,'PEDIDO 11'!$C$2:$E$230,3,0),0)</f>
        <v>0</v>
      </c>
      <c r="F861" s="1">
        <f>IFERROR(VLOOKUP(1252,'PEDIDO 11'!$C$2:$E$230,3,0),0)</f>
        <v>0</v>
      </c>
      <c r="G861" s="18">
        <f t="shared" si="20"/>
        <v>0</v>
      </c>
    </row>
    <row r="862" spans="1:7" ht="15.75" x14ac:dyDescent="0.25">
      <c r="A862" s="15" t="str">
        <f>'PEDIDO 11'!$B$2</f>
        <v>Tatui-Casa Dos Colchoes De Tatui Ltda</v>
      </c>
      <c r="B862" s="12" t="s">
        <v>449</v>
      </c>
      <c r="C862" s="1">
        <f>IFERROR(VLOOKUP(1177,'PEDIDO 11'!$C$2:$E$230,3,0),0)</f>
        <v>0</v>
      </c>
      <c r="D862" s="1">
        <f>IFERROR(VLOOKUP(1178,'PEDIDO 11'!$C$2:$E$230,3,0),0)</f>
        <v>0</v>
      </c>
      <c r="E862" s="1">
        <f>IFERROR(VLOOKUP(1179,'PEDIDO 11'!$C$2:$E$230,3,0),0)</f>
        <v>0</v>
      </c>
      <c r="F862" s="1">
        <f>IFERROR(VLOOKUP(1180,'PEDIDO 11'!$C$2:$E$230,3,0),0)</f>
        <v>0</v>
      </c>
      <c r="G862" s="18">
        <f t="shared" si="20"/>
        <v>0</v>
      </c>
    </row>
    <row r="863" spans="1:7" ht="15.75" x14ac:dyDescent="0.25">
      <c r="A863" s="15" t="str">
        <f>'PEDIDO 11'!$B$2</f>
        <v>Tatui-Casa Dos Colchoes De Tatui Ltda</v>
      </c>
      <c r="B863" s="12" t="s">
        <v>450</v>
      </c>
      <c r="C863" s="1">
        <f>IFERROR(VLOOKUP(1181,'PEDIDO 11'!$C$2:$E$230,3,0),0)</f>
        <v>0</v>
      </c>
      <c r="D863" s="1">
        <f>IFERROR(VLOOKUP(1182,'PEDIDO 11'!$C$2:$E$230,3,0),0)</f>
        <v>0</v>
      </c>
      <c r="E863" s="1">
        <f>IFERROR(VLOOKUP(1183,'PEDIDO 11'!$C$2:$E$230,3,0),0)</f>
        <v>0</v>
      </c>
      <c r="F863" s="1">
        <f>IFERROR(VLOOKUP(1184,'PEDIDO 11'!$C$2:$E$230,3,0),0)</f>
        <v>0</v>
      </c>
      <c r="G863" s="18">
        <f t="shared" si="20"/>
        <v>0</v>
      </c>
    </row>
    <row r="864" spans="1:7" ht="15.75" x14ac:dyDescent="0.25">
      <c r="A864" s="15" t="str">
        <f>'PEDIDO 11'!$B$2</f>
        <v>Tatui-Casa Dos Colchoes De Tatui Ltda</v>
      </c>
      <c r="B864" s="12" t="s">
        <v>451</v>
      </c>
      <c r="C864" s="1">
        <f>IFERROR(VLOOKUP(1185,'PEDIDO 11'!$C$2:$E$230,3,0),0)</f>
        <v>0</v>
      </c>
      <c r="D864" s="1">
        <f>IFERROR(VLOOKUP(1186,'PEDIDO 11'!$C$2:$E$230,3,0),0)</f>
        <v>0</v>
      </c>
      <c r="E864" s="1">
        <f>IFERROR(VLOOKUP(1187,'PEDIDO 11'!$C$2:$E$230,3,0),0)</f>
        <v>0</v>
      </c>
      <c r="F864" s="1">
        <f>IFERROR(VLOOKUP(1188,'PEDIDO 11'!$C$2:$E$230,3,0),0)</f>
        <v>0</v>
      </c>
      <c r="G864" s="18">
        <f t="shared" si="20"/>
        <v>0</v>
      </c>
    </row>
    <row r="865" spans="1:7" ht="15.75" x14ac:dyDescent="0.25">
      <c r="A865" s="15" t="str">
        <f>'PEDIDO 11'!$B$2</f>
        <v>Tatui-Casa Dos Colchoes De Tatui Ltda</v>
      </c>
      <c r="B865" s="12" t="s">
        <v>452</v>
      </c>
      <c r="C865" s="1">
        <f>IFERROR(VLOOKUP(1189,'PEDIDO 11'!$C$2:$E$230,3,0),0)</f>
        <v>0</v>
      </c>
      <c r="D865" s="1">
        <f>IFERROR(VLOOKUP(1190,'PEDIDO 11'!$C$2:$E$230,3,0),0)</f>
        <v>0</v>
      </c>
      <c r="E865" s="1">
        <f>IFERROR(VLOOKUP(1191,'PEDIDO 11'!$C$2:$E$230,3,0),0)</f>
        <v>0</v>
      </c>
      <c r="F865" s="1">
        <f>IFERROR(VLOOKUP(1192,'PEDIDO 11'!$C$2:$E$230,3,0),0)</f>
        <v>0</v>
      </c>
      <c r="G865" s="18">
        <f t="shared" si="20"/>
        <v>0</v>
      </c>
    </row>
    <row r="866" spans="1:7" ht="15.75" x14ac:dyDescent="0.25">
      <c r="A866" s="15" t="str">
        <f>'PEDIDO 11'!$B$2</f>
        <v>Tatui-Casa Dos Colchoes De Tatui Ltda</v>
      </c>
      <c r="B866" s="12" t="s">
        <v>453</v>
      </c>
      <c r="C866" s="1">
        <f>IFERROR(VLOOKUP(1193,'PEDIDO 11'!$C$2:$E$230,3,0),0)</f>
        <v>0</v>
      </c>
      <c r="D866" s="1">
        <f>IFERROR(VLOOKUP(1194,'PEDIDO 11'!$C$2:$E$230,3,0),0)</f>
        <v>0</v>
      </c>
      <c r="E866" s="1">
        <f>IFERROR(VLOOKUP(1195,'PEDIDO 11'!$C$2:$E$230,3,0),0)</f>
        <v>0</v>
      </c>
      <c r="F866" s="1">
        <f>IFERROR(VLOOKUP(1196,'PEDIDO 11'!$C$2:$E$230,3,0),0)</f>
        <v>0</v>
      </c>
      <c r="G866" s="18">
        <f t="shared" si="20"/>
        <v>0</v>
      </c>
    </row>
    <row r="867" spans="1:7" ht="15.75" x14ac:dyDescent="0.25">
      <c r="A867" s="15" t="str">
        <f>'PEDIDO 11'!$B$2</f>
        <v>Tatui-Casa Dos Colchoes De Tatui Ltda</v>
      </c>
      <c r="B867" s="12" t="s">
        <v>454</v>
      </c>
      <c r="C867" s="1">
        <f>IFERROR(VLOOKUP(1197,'PEDIDO 11'!$C$2:$E$230,3,0),0)</f>
        <v>0</v>
      </c>
      <c r="D867" s="1">
        <f>IFERROR(VLOOKUP(1198,'PEDIDO 11'!$C$2:$E$230,3,0),0)</f>
        <v>0</v>
      </c>
      <c r="E867" s="1">
        <f>IFERROR(VLOOKUP(1199,'PEDIDO 11'!$C$2:$E$230,3,0),0)</f>
        <v>0</v>
      </c>
      <c r="F867" s="1">
        <f>IFERROR(VLOOKUP(1200,'PEDIDO 11'!$C$2:$E$230,3,0),0)</f>
        <v>0</v>
      </c>
      <c r="G867" s="18">
        <f t="shared" si="20"/>
        <v>0</v>
      </c>
    </row>
    <row r="868" spans="1:7" ht="15.75" x14ac:dyDescent="0.25">
      <c r="A868" s="15" t="str">
        <f>'PEDIDO 11'!$B$2</f>
        <v>Tatui-Casa Dos Colchoes De Tatui Ltda</v>
      </c>
      <c r="B868" s="12" t="s">
        <v>455</v>
      </c>
      <c r="C868" s="1">
        <f>IFERROR(VLOOKUP(1201,'PEDIDO 11'!$C$2:$E$230,3,0),0)</f>
        <v>0</v>
      </c>
      <c r="D868" s="1">
        <f>IFERROR(VLOOKUP(1202,'PEDIDO 11'!$C$2:$E$230,3,0),0)</f>
        <v>0</v>
      </c>
      <c r="E868" s="1">
        <f>IFERROR(VLOOKUP(1203,'PEDIDO 11'!$C$2:$E$230,3,0),0)</f>
        <v>0</v>
      </c>
      <c r="F868" s="1">
        <f>IFERROR(VLOOKUP(1204,'PEDIDO 11'!$C$2:$E$230,3,0),0)</f>
        <v>0</v>
      </c>
      <c r="G868" s="18">
        <f t="shared" si="20"/>
        <v>0</v>
      </c>
    </row>
    <row r="869" spans="1:7" ht="15.75" x14ac:dyDescent="0.25">
      <c r="A869" s="15" t="str">
        <f>'PEDIDO 11'!$B$2</f>
        <v>Tatui-Casa Dos Colchoes De Tatui Ltda</v>
      </c>
      <c r="B869" s="12" t="s">
        <v>456</v>
      </c>
      <c r="C869" s="1">
        <f>IFERROR(VLOOKUP(1205,'PEDIDO 11'!$C$2:$E$230,3,0),0)</f>
        <v>0</v>
      </c>
      <c r="D869" s="1">
        <f>IFERROR(VLOOKUP(1206,'PEDIDO 11'!$C$2:$E$230,3,0),0)</f>
        <v>0</v>
      </c>
      <c r="E869" s="1">
        <f>IFERROR(VLOOKUP(1207,'PEDIDO 11'!$C$2:$E$230,3,0),0)</f>
        <v>0</v>
      </c>
      <c r="F869" s="1">
        <f>IFERROR(VLOOKUP(1208,'PEDIDO 11'!$C$2:$E$230,3,0),0)</f>
        <v>0</v>
      </c>
      <c r="G869" s="18">
        <f t="shared" si="20"/>
        <v>0</v>
      </c>
    </row>
    <row r="870" spans="1:7" ht="15.75" x14ac:dyDescent="0.25">
      <c r="A870" s="15" t="str">
        <f>'PEDIDO 11'!$B$2</f>
        <v>Tatui-Casa Dos Colchoes De Tatui Ltda</v>
      </c>
      <c r="B870" s="12" t="s">
        <v>457</v>
      </c>
      <c r="C870" s="1">
        <f>IFERROR(VLOOKUP(1213,'PEDIDO 11'!$C$2:$E$230,3,0),0)</f>
        <v>0</v>
      </c>
      <c r="D870" s="1">
        <f>IFERROR(VLOOKUP(1214,'PEDIDO 11'!$C$2:$E$230,3,0),0)</f>
        <v>0</v>
      </c>
      <c r="E870" s="1">
        <f>IFERROR(VLOOKUP(1215,'PEDIDO 11'!$C$2:$E$230,3,0),0)</f>
        <v>0</v>
      </c>
      <c r="F870" s="10">
        <f>IFERROR(VLOOKUP(1216,'PEDIDO 11'!$C$2:$E$230,3,0),0)</f>
        <v>0</v>
      </c>
      <c r="G870" s="18">
        <f t="shared" si="20"/>
        <v>0</v>
      </c>
    </row>
    <row r="871" spans="1:7" ht="15.75" x14ac:dyDescent="0.25">
      <c r="A871" s="15" t="str">
        <f>'PEDIDO 11'!$B$2</f>
        <v>Tatui-Casa Dos Colchoes De Tatui Ltda</v>
      </c>
      <c r="B871" s="12" t="s">
        <v>458</v>
      </c>
      <c r="C871" s="1">
        <f>IFERROR(VLOOKUP(1209,'PEDIDO 11'!$C$2:$E$230,3,0),0)</f>
        <v>0</v>
      </c>
      <c r="D871" s="1">
        <f>IFERROR(VLOOKUP(1210,'PEDIDO 11'!$C$2:$E$230,3,0),0)</f>
        <v>0</v>
      </c>
      <c r="E871" s="1">
        <f>IFERROR(VLOOKUP(1211,'PEDIDO 11'!$C$2:$E$230,3,0),0)</f>
        <v>0</v>
      </c>
      <c r="F871" s="1">
        <f>IFERROR(VLOOKUP(1212,'PEDIDO 11'!$C$2:$E$230,3,0),0)</f>
        <v>0</v>
      </c>
      <c r="G871" s="18">
        <f t="shared" si="20"/>
        <v>0</v>
      </c>
    </row>
    <row r="872" spans="1:7" ht="15.75" x14ac:dyDescent="0.25">
      <c r="A872" s="15" t="str">
        <f>'PEDIDO 11'!$B$2</f>
        <v>Tatui-Casa Dos Colchoes De Tatui Ltda</v>
      </c>
      <c r="B872" s="12" t="s">
        <v>459</v>
      </c>
      <c r="C872" s="1">
        <f>IFERROR(VLOOKUP(1217,'PEDIDO 11'!$C$2:$E$230,3,0),0)</f>
        <v>0</v>
      </c>
      <c r="D872" s="1">
        <f>IFERROR(VLOOKUP(1218,'PEDIDO 11'!$C$2:$E$230,3,0),0)</f>
        <v>0</v>
      </c>
      <c r="E872" s="1">
        <f>IFERROR(VLOOKUP(1219,'PEDIDO 11'!$C$2:$E$230,3,0),0)</f>
        <v>0</v>
      </c>
      <c r="F872" s="1">
        <f>IFERROR(VLOOKUP(1220,'PEDIDO 11'!$C$2:$E$230,3,0),0)</f>
        <v>0</v>
      </c>
      <c r="G872" s="18">
        <f t="shared" si="20"/>
        <v>0</v>
      </c>
    </row>
    <row r="873" spans="1:7" ht="15.75" x14ac:dyDescent="0.25">
      <c r="A873" s="15" t="str">
        <f>'PEDIDO 11'!$B$2</f>
        <v>Tatui-Casa Dos Colchoes De Tatui Ltda</v>
      </c>
      <c r="B873" s="12" t="s">
        <v>461</v>
      </c>
      <c r="C873" s="1">
        <f>IFERROR(VLOOKUP(1225,'PEDIDO 11'!$C$2:$E$230,3,0),0)</f>
        <v>0</v>
      </c>
      <c r="D873" s="1">
        <f>IFERROR(VLOOKUP(1226,'PEDIDO 11'!$C$2:$E$230,3,0),0)</f>
        <v>0</v>
      </c>
      <c r="E873" s="1">
        <f>IFERROR(VLOOKUP(1227,'PEDIDO 11'!$C$2:$E$230,3,0),0)</f>
        <v>0</v>
      </c>
      <c r="F873" s="1">
        <f>IFERROR(VLOOKUP(1228,'PEDIDO 11'!$C$2:$E$230,3,0),0)</f>
        <v>0</v>
      </c>
      <c r="G873" s="18">
        <f t="shared" si="20"/>
        <v>0</v>
      </c>
    </row>
    <row r="874" spans="1:7" ht="15.75" x14ac:dyDescent="0.25">
      <c r="A874" s="15" t="str">
        <f>'PEDIDO 11'!$B$2</f>
        <v>Tatui-Casa Dos Colchoes De Tatui Ltda</v>
      </c>
      <c r="B874" s="12" t="s">
        <v>462</v>
      </c>
      <c r="C874" s="1">
        <f>IFERROR(VLOOKUP(1221,'PEDIDO 11'!$C$2:$E$230,3,0),0)</f>
        <v>0</v>
      </c>
      <c r="D874" s="1">
        <f>IFERROR(VLOOKUP(1222,'PEDIDO 11'!$C$2:$E$230,3,0),0)</f>
        <v>0</v>
      </c>
      <c r="E874" s="1">
        <f>IFERROR(VLOOKUP(1223,'PEDIDO 11'!$C$2:$E$230,3,0),0)</f>
        <v>0</v>
      </c>
      <c r="F874" s="1">
        <f>IFERROR(VLOOKUP(1224,'PEDIDO 11'!$C$2:$E$230,3,0),0)</f>
        <v>0</v>
      </c>
      <c r="G874" s="18">
        <f t="shared" si="20"/>
        <v>0</v>
      </c>
    </row>
    <row r="875" spans="1:7" ht="15.75" x14ac:dyDescent="0.25">
      <c r="A875" s="15" t="str">
        <f>'PEDIDO 11'!$B$2</f>
        <v>Tatui-Casa Dos Colchoes De Tatui Ltda</v>
      </c>
      <c r="B875" s="12" t="s">
        <v>460</v>
      </c>
      <c r="C875" s="1">
        <f>IFERROR(VLOOKUP(1229,'PEDIDO 11'!$C$2:$E$230,3,0),0)</f>
        <v>0</v>
      </c>
      <c r="D875" s="1">
        <f>IFERROR(VLOOKUP(1230,'PEDIDO 11'!$C$2:$E$230,3,0),0)</f>
        <v>0</v>
      </c>
      <c r="E875" s="1">
        <f>IFERROR(VLOOKUP(1231,'PEDIDO 11'!$C$2:$E$230,3,0),0)</f>
        <v>0</v>
      </c>
      <c r="F875" s="1">
        <f>IFERROR(VLOOKUP(1232,'PEDIDO 11'!$C$2:$E$230,3,0),0)</f>
        <v>0</v>
      </c>
      <c r="G875" s="18">
        <f t="shared" si="20"/>
        <v>0</v>
      </c>
    </row>
    <row r="876" spans="1:7" ht="15.75" x14ac:dyDescent="0.25">
      <c r="A876" s="15" t="str">
        <f>'PEDIDO 11'!$B$2</f>
        <v>Tatui-Casa Dos Colchoes De Tatui Ltda</v>
      </c>
      <c r="B876" s="12" t="s">
        <v>463</v>
      </c>
      <c r="C876" s="1">
        <f>IFERROR(VLOOKUP(1233,'PEDIDO 11'!$C$2:$E$230,3,0),0)</f>
        <v>0</v>
      </c>
      <c r="D876" s="1">
        <f>IFERROR(VLOOKUP(1234,'PEDIDO 11'!$C$2:$E$230,3,0),0)</f>
        <v>0</v>
      </c>
      <c r="E876" s="1">
        <f>IFERROR(VLOOKUP(1235,'PEDIDO 11'!$C$2:$E$230,3,0),0)</f>
        <v>0</v>
      </c>
      <c r="F876" s="1">
        <f>IFERROR(VLOOKUP(1236,'PEDIDO 11'!$C$2:$E$230,3,0),0)</f>
        <v>0</v>
      </c>
      <c r="G876" s="18">
        <f t="shared" si="20"/>
        <v>0</v>
      </c>
    </row>
    <row r="877" spans="1:7" ht="15.75" x14ac:dyDescent="0.25">
      <c r="A877" s="15" t="str">
        <f>'PEDIDO 11'!$B$2</f>
        <v>Tatui-Casa Dos Colchoes De Tatui Ltda</v>
      </c>
      <c r="B877" s="12" t="s">
        <v>464</v>
      </c>
      <c r="C877" s="1">
        <f>IFERROR(VLOOKUP(1237,'PEDIDO 11'!$C$2:$E$230,3,0),0)</f>
        <v>0</v>
      </c>
      <c r="D877" s="1">
        <f>IFERROR(VLOOKUP(1238,'PEDIDO 11'!$C$2:$E$230,3,0),0)</f>
        <v>0</v>
      </c>
      <c r="E877" s="1">
        <f>IFERROR(VLOOKUP(1239,'PEDIDO 11'!$C$2:$E$230,3,0),0)</f>
        <v>0</v>
      </c>
      <c r="F877" s="1">
        <f>IFERROR(VLOOKUP(1240,'PEDIDO 11'!$C$2:$E$230,3,0),0)</f>
        <v>0</v>
      </c>
      <c r="G877" s="18">
        <f t="shared" ref="G877:G889" si="21">SUM(C877+D877+E877+F877)</f>
        <v>0</v>
      </c>
    </row>
    <row r="878" spans="1:7" ht="15.75" x14ac:dyDescent="0.25">
      <c r="A878" s="15" t="str">
        <f>'PEDIDO 11'!$B$2</f>
        <v>Tatui-Casa Dos Colchoes De Tatui Ltda</v>
      </c>
      <c r="B878" s="12" t="s">
        <v>465</v>
      </c>
      <c r="C878" s="1">
        <f>IFERROR(VLOOKUP(1241,'PEDIDO 11'!$C$2:$E$230,3,0),0)</f>
        <v>0</v>
      </c>
      <c r="D878" s="1">
        <f>IFERROR(VLOOKUP(1242,'PEDIDO 11'!$C$2:$E$230,3,0),0)</f>
        <v>0</v>
      </c>
      <c r="E878" s="1">
        <f>IFERROR(VLOOKUP(1243,'PEDIDO 11'!$C$2:$E$230,3,0),0)</f>
        <v>0</v>
      </c>
      <c r="F878" s="1">
        <f>IFERROR(VLOOKUP(1244,'PEDIDO 11'!$C$2:$E$230,3,0),0)</f>
        <v>0</v>
      </c>
      <c r="G878" s="18">
        <f t="shared" si="21"/>
        <v>0</v>
      </c>
    </row>
    <row r="879" spans="1:7" ht="15.75" x14ac:dyDescent="0.25">
      <c r="A879" s="15" t="str">
        <f>'PEDIDO 11'!$B$2</f>
        <v>Tatui-Casa Dos Colchoes De Tatui Ltda</v>
      </c>
      <c r="B879" s="12" t="s">
        <v>466</v>
      </c>
      <c r="C879" s="1">
        <f>IFERROR(VLOOKUP(1245,'PEDIDO 11'!$C$2:$E$230,3,0),0)</f>
        <v>0</v>
      </c>
      <c r="D879" s="1">
        <f>IFERROR(VLOOKUP(1246,'PEDIDO 11'!$C$2:$E$230,3,0),0)</f>
        <v>0</v>
      </c>
      <c r="E879" s="1">
        <f>IFERROR(VLOOKUP(1247,'PEDIDO 11'!$C$2:$E$230,3,0),0)</f>
        <v>0</v>
      </c>
      <c r="F879" s="1">
        <f>IFERROR(VLOOKUP(1248,'PEDIDO 11'!$C$2:$E$230,3,0),0)</f>
        <v>0</v>
      </c>
      <c r="G879" s="18">
        <f t="shared" si="21"/>
        <v>0</v>
      </c>
    </row>
    <row r="880" spans="1:7" ht="15.75" x14ac:dyDescent="0.25">
      <c r="A880" s="15" t="str">
        <f>'PEDIDO 11'!$B$2</f>
        <v>Tatui-Casa Dos Colchoes De Tatui Ltda</v>
      </c>
      <c r="B880" s="12" t="s">
        <v>467</v>
      </c>
      <c r="C880" s="1">
        <f>IFERROR(VLOOKUP(25714,'PEDIDO 11'!$C$2:$E$230,3,0),0)</f>
        <v>0</v>
      </c>
      <c r="D880" s="1"/>
      <c r="E880" s="1"/>
      <c r="F880" s="1"/>
      <c r="G880" s="18">
        <f t="shared" si="21"/>
        <v>0</v>
      </c>
    </row>
    <row r="881" spans="1:7" ht="15.75" x14ac:dyDescent="0.25">
      <c r="A881" s="15" t="str">
        <f>'PEDIDO 11'!$B$2</f>
        <v>Tatui-Casa Dos Colchoes De Tatui Ltda</v>
      </c>
      <c r="B881" s="12" t="s">
        <v>468</v>
      </c>
      <c r="C881" s="1">
        <f>IFERROR(VLOOKUP(25712,'PEDIDO 11'!$C$2:$E$230,3,0),0)</f>
        <v>0</v>
      </c>
      <c r="D881" s="1"/>
      <c r="E881" s="1"/>
      <c r="F881" s="1"/>
      <c r="G881" s="18">
        <f t="shared" si="21"/>
        <v>0</v>
      </c>
    </row>
    <row r="882" spans="1:7" ht="15.75" x14ac:dyDescent="0.25">
      <c r="A882" s="15" t="str">
        <f>'PEDIDO 11'!$B$2</f>
        <v>Tatui-Casa Dos Colchoes De Tatui Ltda</v>
      </c>
      <c r="B882" s="12" t="s">
        <v>469</v>
      </c>
      <c r="C882" s="1">
        <f>IFERROR(VLOOKUP(25713,'PEDIDO 11'!$C$2:$E$230,3,0),0)</f>
        <v>0</v>
      </c>
      <c r="D882" s="1"/>
      <c r="E882" s="1"/>
      <c r="F882" s="1"/>
      <c r="G882" s="18">
        <f t="shared" si="21"/>
        <v>0</v>
      </c>
    </row>
    <row r="883" spans="1:7" ht="15.75" x14ac:dyDescent="0.25">
      <c r="A883" s="15" t="str">
        <f>'PEDIDO 11'!$B$2</f>
        <v>Tatui-Casa Dos Colchoes De Tatui Ltda</v>
      </c>
      <c r="B883" s="12" t="s">
        <v>470</v>
      </c>
      <c r="C883" s="1">
        <f>IFERROR(VLOOKUP(1260,'PEDIDO 11'!$C$2:$E$230,3,0),0)</f>
        <v>0</v>
      </c>
      <c r="D883" s="1"/>
      <c r="E883" s="1"/>
      <c r="F883" s="1"/>
      <c r="G883" s="18">
        <f t="shared" si="21"/>
        <v>0</v>
      </c>
    </row>
    <row r="884" spans="1:7" ht="15.75" x14ac:dyDescent="0.25">
      <c r="A884" s="15" t="str">
        <f>'PEDIDO 11'!$B$2</f>
        <v>Tatui-Casa Dos Colchoes De Tatui Ltda</v>
      </c>
      <c r="B884" s="12" t="s">
        <v>471</v>
      </c>
      <c r="C884" s="1">
        <f>IFERROR(VLOOKUP(1261,'PEDIDO 11'!$C$2:$E$230,3,0),0)</f>
        <v>0</v>
      </c>
      <c r="D884" s="1"/>
      <c r="E884" s="1"/>
      <c r="F884" s="1"/>
      <c r="G884" s="18">
        <f t="shared" si="21"/>
        <v>0</v>
      </c>
    </row>
    <row r="885" spans="1:7" ht="15.75" x14ac:dyDescent="0.25">
      <c r="A885" s="15" t="str">
        <f>'PEDIDO 11'!$B$2</f>
        <v>Tatui-Casa Dos Colchoes De Tatui Ltda</v>
      </c>
      <c r="B885" s="12" t="s">
        <v>472</v>
      </c>
      <c r="C885" s="1">
        <f>IFERROR(VLOOKUP(1262,'PEDIDO 11'!$C$2:$E$230,3,0),0)</f>
        <v>0</v>
      </c>
      <c r="D885" s="1"/>
      <c r="E885" s="1"/>
      <c r="F885" s="1"/>
      <c r="G885" s="18">
        <f t="shared" si="21"/>
        <v>0</v>
      </c>
    </row>
    <row r="886" spans="1:7" ht="15.75" x14ac:dyDescent="0.25">
      <c r="A886" s="15" t="str">
        <f>'PEDIDO 11'!$B$2</f>
        <v>Tatui-Casa Dos Colchoes De Tatui Ltda</v>
      </c>
      <c r="B886" s="12" t="s">
        <v>473</v>
      </c>
      <c r="C886" s="1">
        <f>IFERROR(VLOOKUP(1263,'PEDIDO 11'!$C$2:$E$230,3,0),0)</f>
        <v>0</v>
      </c>
      <c r="D886" s="1"/>
      <c r="E886" s="1"/>
      <c r="F886" s="1"/>
      <c r="G886" s="18">
        <f t="shared" si="21"/>
        <v>0</v>
      </c>
    </row>
    <row r="887" spans="1:7" ht="15.75" x14ac:dyDescent="0.25">
      <c r="A887" s="15" t="str">
        <f>'PEDIDO 11'!$B$2</f>
        <v>Tatui-Casa Dos Colchoes De Tatui Ltda</v>
      </c>
      <c r="B887" s="12" t="s">
        <v>474</v>
      </c>
      <c r="C887" s="1">
        <f>IFERROR(VLOOKUP(1264,'PEDIDO 11'!$C$2:$E$230,3,0),0)</f>
        <v>0</v>
      </c>
      <c r="D887" s="1"/>
      <c r="E887" s="1"/>
      <c r="F887" s="1"/>
      <c r="G887" s="18">
        <f t="shared" si="21"/>
        <v>0</v>
      </c>
    </row>
    <row r="888" spans="1:7" ht="15.75" x14ac:dyDescent="0.25">
      <c r="A888" s="15" t="str">
        <f>'PEDIDO 11'!$B$2</f>
        <v>Tatui-Casa Dos Colchoes De Tatui Ltda</v>
      </c>
      <c r="B888" s="12" t="s">
        <v>475</v>
      </c>
      <c r="C888" s="1">
        <f>IFERROR(VLOOKUP(1265,'PEDIDO 11'!$C$2:$E$230,3,0),0)</f>
        <v>0</v>
      </c>
      <c r="D888" s="1"/>
      <c r="E888" s="1"/>
      <c r="F888" s="1"/>
      <c r="G888" s="18">
        <f t="shared" si="21"/>
        <v>0</v>
      </c>
    </row>
    <row r="889" spans="1:7" ht="15.75" x14ac:dyDescent="0.25">
      <c r="A889" s="15" t="str">
        <f>'PEDIDO 11'!$B$2</f>
        <v>Tatui-Casa Dos Colchoes De Tatui Ltda</v>
      </c>
      <c r="B889" s="12" t="s">
        <v>476</v>
      </c>
      <c r="C889" s="1">
        <f>IFERROR(VLOOKUP(1266,'PEDIDO 11'!$C$2:$E$230,3,0),0)</f>
        <v>0</v>
      </c>
      <c r="D889" s="1"/>
      <c r="E889" s="1"/>
      <c r="F889" s="1"/>
      <c r="G889" s="18">
        <f t="shared" si="21"/>
        <v>0</v>
      </c>
    </row>
    <row r="890" spans="1:7" ht="15.75" x14ac:dyDescent="0.25">
      <c r="A890" s="15" t="str">
        <f>'PEDIDO 11'!$B$2</f>
        <v>Tatui-Casa Dos Colchoes De Tatui Ltda</v>
      </c>
      <c r="B890" s="12" t="s">
        <v>477</v>
      </c>
      <c r="C890" s="1">
        <f>IFERROR(VLOOKUP(1268,'PEDIDO 11'!$C$2:$E$230,3,0),0)</f>
        <v>0</v>
      </c>
      <c r="D890" s="1">
        <f>IFERROR(VLOOKUP(1269,'PEDIDO 11'!$C$2:$E$230,3,0),0)</f>
        <v>0</v>
      </c>
      <c r="E890" s="1">
        <f>IFERROR(VLOOKUP(1270,'PEDIDO 11'!$C$2:$E$230,3,0),0)</f>
        <v>0</v>
      </c>
      <c r="F890" s="1">
        <f>IFERROR(VLOOKUP(1271,'PEDIDO 11'!$C$2:$E$230,3,0),0)</f>
        <v>0</v>
      </c>
      <c r="G890" s="18">
        <f>SUM(C890+D890+E890+F890)</f>
        <v>0</v>
      </c>
    </row>
    <row r="891" spans="1:7" ht="15.75" x14ac:dyDescent="0.25">
      <c r="A891" s="17"/>
      <c r="B891" s="13"/>
      <c r="C891" s="13"/>
      <c r="D891" s="13"/>
      <c r="E891" s="13"/>
      <c r="F891" s="13"/>
      <c r="G891" s="19"/>
    </row>
    <row r="892" spans="1:7" ht="15.75" x14ac:dyDescent="0.25">
      <c r="A892" s="17"/>
      <c r="B892" s="13"/>
      <c r="C892" s="13"/>
      <c r="D892" s="13"/>
      <c r="E892" s="13"/>
      <c r="F892" s="13"/>
      <c r="G892" s="19"/>
    </row>
    <row r="893" spans="1:7" ht="15.75" x14ac:dyDescent="0.25">
      <c r="A893" s="15" t="str">
        <f>'PEDIDO 12'!$B$2</f>
        <v>Avare-Elson Marcio Siqueira Jamal</v>
      </c>
      <c r="B893" s="12" t="s">
        <v>399</v>
      </c>
      <c r="C893" s="1">
        <f>IFERROR(VLOOKUP(1,'PEDIDO 12'!$C$2:$E$230,3,0),0)</f>
        <v>0</v>
      </c>
      <c r="D893" s="1">
        <f>IFERROR(VLOOKUP(2,'PEDIDO 12'!$C$2:$E$230,3,0),0)</f>
        <v>0</v>
      </c>
      <c r="E893" s="1">
        <f>IFERROR(VLOOKUP(3,'PEDIDO 12'!$C$2:$E$230,3,0),0)</f>
        <v>0</v>
      </c>
      <c r="F893" s="1">
        <f>IFERROR(VLOOKUP(282,'PEDIDO 12'!$C$2:$E$230,3,0),0)</f>
        <v>16</v>
      </c>
      <c r="G893" s="18">
        <f>SUM(C893+D893+E893+F893)</f>
        <v>16</v>
      </c>
    </row>
    <row r="894" spans="1:7" ht="15.75" x14ac:dyDescent="0.25">
      <c r="A894" s="15" t="str">
        <f>'PEDIDO 12'!$B$2</f>
        <v>Avare-Elson Marcio Siqueira Jamal</v>
      </c>
      <c r="B894" s="12" t="s">
        <v>400</v>
      </c>
      <c r="C894" s="1">
        <f>IFERROR(VLOOKUP(5,'PEDIDO 12'!$C$2:$E$230,3,0),0)</f>
        <v>0</v>
      </c>
      <c r="D894" s="1">
        <f>IFERROR(VLOOKUP(6,'PEDIDO 12'!$C$2:$E$230,3,0),0)</f>
        <v>0</v>
      </c>
      <c r="E894" s="1">
        <f>IFERROR(VLOOKUP(7,'PEDIDO 12'!$C$2:$E$230,3,0),0)</f>
        <v>0</v>
      </c>
      <c r="F894" s="1">
        <f>IFERROR(VLOOKUP(258,'PEDIDO 12'!$C$2:$E$230,3,0),0)</f>
        <v>0</v>
      </c>
      <c r="G894" s="18">
        <f t="shared" ref="G894:G957" si="22">SUM(C894+D894+E894+F894)</f>
        <v>0</v>
      </c>
    </row>
    <row r="895" spans="1:7" ht="15.75" x14ac:dyDescent="0.25">
      <c r="A895" s="15" t="str">
        <f>'PEDIDO 12'!$B$2</f>
        <v>Avare-Elson Marcio Siqueira Jamal</v>
      </c>
      <c r="B895" s="12" t="s">
        <v>401</v>
      </c>
      <c r="C895" s="1">
        <f>IFERROR(VLOOKUP(13,'PEDIDO 12'!$C$2:$E$230,3,0),0)</f>
        <v>0</v>
      </c>
      <c r="D895" s="1">
        <f>IFERROR(VLOOKUP(14,'PEDIDO 12'!$C$2:$E$230,3,0),0)</f>
        <v>0</v>
      </c>
      <c r="E895" s="1">
        <f>IFERROR(VLOOKUP(15,'PEDIDO 12'!$C$2:$E$230,3,0),0)</f>
        <v>0</v>
      </c>
      <c r="F895" s="1">
        <f>IFERROR(VLOOKUP(289,'PEDIDO 12'!$C$2:$E$230,3,0),0)</f>
        <v>0</v>
      </c>
      <c r="G895" s="18">
        <f t="shared" si="22"/>
        <v>0</v>
      </c>
    </row>
    <row r="896" spans="1:7" ht="15.75" x14ac:dyDescent="0.25">
      <c r="A896" s="15" t="str">
        <f>'PEDIDO 12'!$B$2</f>
        <v>Avare-Elson Marcio Siqueira Jamal</v>
      </c>
      <c r="B896" s="12" t="s">
        <v>402</v>
      </c>
      <c r="C896" s="1">
        <f>IFERROR(VLOOKUP(267,'PEDIDO 12'!$C$2:$E$230,3,0),0)</f>
        <v>0</v>
      </c>
      <c r="D896" s="1">
        <f>IFERROR(VLOOKUP(268,'PEDIDO 12'!$C$2:$E$230,3,0),0)</f>
        <v>0</v>
      </c>
      <c r="E896" s="1">
        <f>IFERROR(VLOOKUP(270,'PEDIDO 12'!$C$2:$E$230,3,0),0)</f>
        <v>0</v>
      </c>
      <c r="F896" s="1">
        <f>IFERROR(VLOOKUP(269,'PEDIDO 12'!$C$2:$E$230,3,0),0)</f>
        <v>0</v>
      </c>
      <c r="G896" s="18">
        <f t="shared" si="22"/>
        <v>0</v>
      </c>
    </row>
    <row r="897" spans="1:7" ht="15.75" x14ac:dyDescent="0.25">
      <c r="A897" s="15" t="str">
        <f>'PEDIDO 12'!$B$2</f>
        <v>Avare-Elson Marcio Siqueira Jamal</v>
      </c>
      <c r="B897" s="12" t="s">
        <v>403</v>
      </c>
      <c r="C897" s="1">
        <f>IFERROR(VLOOKUP(17,'PEDIDO 12'!$C$2:$E$230,3,0),0)</f>
        <v>0</v>
      </c>
      <c r="D897" s="1">
        <f>IFERROR(VLOOKUP(18,'PEDIDO 12'!$C$2:$E$230,3,0),0)</f>
        <v>0</v>
      </c>
      <c r="E897" s="1">
        <f>IFERROR(VLOOKUP(19,'PEDIDO 12'!$C$2:$E$230,3,0),0)</f>
        <v>0</v>
      </c>
      <c r="F897" s="1">
        <f>IFERROR(VLOOKUP(290,'PEDIDO 12'!$C$2:$E$230,3,0),0)</f>
        <v>0</v>
      </c>
      <c r="G897" s="18">
        <f t="shared" si="22"/>
        <v>0</v>
      </c>
    </row>
    <row r="898" spans="1:7" ht="15.75" x14ac:dyDescent="0.25">
      <c r="A898" s="15" t="str">
        <f>'PEDIDO 12'!$B$2</f>
        <v>Avare-Elson Marcio Siqueira Jamal</v>
      </c>
      <c r="B898" s="12" t="s">
        <v>404</v>
      </c>
      <c r="C898" s="1">
        <f>IFERROR(VLOOKUP(23,'PEDIDO 12'!$C$2:$E$230,3,0),0)</f>
        <v>0</v>
      </c>
      <c r="D898" s="1">
        <f>IFERROR(VLOOKUP(24,'PEDIDO 12'!$C$2:$E$230,3,0),0)</f>
        <v>0</v>
      </c>
      <c r="E898" s="1">
        <f>IFERROR(VLOOKUP(25,'PEDIDO 12'!$C$2:$E$230,3,0),0)</f>
        <v>0</v>
      </c>
      <c r="F898" s="1">
        <f>IFERROR(VLOOKUP(291,'PEDIDO 12'!$C$2:$E$230,3,0),0)</f>
        <v>0</v>
      </c>
      <c r="G898" s="18">
        <f t="shared" si="22"/>
        <v>0</v>
      </c>
    </row>
    <row r="899" spans="1:7" ht="15.75" x14ac:dyDescent="0.25">
      <c r="A899" s="15" t="str">
        <f>'PEDIDO 12'!$B$2</f>
        <v>Avare-Elson Marcio Siqueira Jamal</v>
      </c>
      <c r="B899" s="12" t="s">
        <v>405</v>
      </c>
      <c r="C899" s="1">
        <f>IFERROR(VLOOKUP(27,'PEDIDO 12'!$C$2:$E$230,3,0),0)</f>
        <v>0</v>
      </c>
      <c r="D899" s="1">
        <f>IFERROR(VLOOKUP(28,'PEDIDO 12'!$C$2:$E$230,3,0),0)</f>
        <v>0</v>
      </c>
      <c r="E899" s="1">
        <f>IFERROR(VLOOKUP(29,'PEDIDO 12'!$C$2:$E$230,3,0),0)</f>
        <v>0</v>
      </c>
      <c r="F899" s="1">
        <f>IFERROR(VLOOKUP(292,'PEDIDO 12'!$C$2:$E$230,3,0),0)</f>
        <v>0</v>
      </c>
      <c r="G899" s="18">
        <f t="shared" si="22"/>
        <v>0</v>
      </c>
    </row>
    <row r="900" spans="1:7" ht="15.75" x14ac:dyDescent="0.25">
      <c r="A900" s="15" t="str">
        <f>'PEDIDO 12'!$B$2</f>
        <v>Avare-Elson Marcio Siqueira Jamal</v>
      </c>
      <c r="B900" s="12" t="s">
        <v>406</v>
      </c>
      <c r="C900" s="1">
        <f>IFERROR(VLOOKUP(227,'PEDIDO 12'!$C$2:$E$230,3,0),0)</f>
        <v>0</v>
      </c>
      <c r="D900" s="1">
        <f>IFERROR(VLOOKUP(228,'PEDIDO 12'!$C$2:$E$230,3,0),0)</f>
        <v>0</v>
      </c>
      <c r="E900" s="1">
        <f>IFERROR(VLOOKUP(229,'PEDIDO 12'!$C$2:$E$230,3,0),0)</f>
        <v>0</v>
      </c>
      <c r="F900" s="1">
        <f>IFERROR(VLOOKUP(230,'PEDIDO 12'!$C$2:$E$230,3,0),0)</f>
        <v>0</v>
      </c>
      <c r="G900" s="18">
        <f t="shared" si="22"/>
        <v>0</v>
      </c>
    </row>
    <row r="901" spans="1:7" ht="15.75" x14ac:dyDescent="0.25">
      <c r="A901" s="15" t="str">
        <f>'PEDIDO 12'!$B$2</f>
        <v>Avare-Elson Marcio Siqueira Jamal</v>
      </c>
      <c r="B901" s="12" t="s">
        <v>407</v>
      </c>
      <c r="C901" s="1">
        <f>IFERROR(VLOOKUP(231,'PEDIDO 12'!$C$2:$E$230,3,0),0)</f>
        <v>0</v>
      </c>
      <c r="D901" s="1">
        <f>IFERROR(VLOOKUP(232,'PEDIDO 12'!$C$2:$E$230,3,0),0)</f>
        <v>0</v>
      </c>
      <c r="E901" s="1">
        <f>IFERROR(VLOOKUP(234,'PEDIDO 12'!$C$2:$E$230,3,0),0)</f>
        <v>0</v>
      </c>
      <c r="F901" s="1">
        <f>IFERROR(VLOOKUP(233,'PEDIDO 12'!$C$2:$E$230,3,0),0)</f>
        <v>0</v>
      </c>
      <c r="G901" s="18">
        <f t="shared" si="22"/>
        <v>0</v>
      </c>
    </row>
    <row r="902" spans="1:7" ht="15.75" x14ac:dyDescent="0.25">
      <c r="A902" s="15" t="str">
        <f>'PEDIDO 12'!$B$2</f>
        <v>Avare-Elson Marcio Siqueira Jamal</v>
      </c>
      <c r="B902" s="12" t="s">
        <v>408</v>
      </c>
      <c r="C902" s="1">
        <f>IFERROR(VLOOKUP(237,'PEDIDO 12'!$C$2:$E$230,3,0),0)</f>
        <v>0</v>
      </c>
      <c r="D902" s="1">
        <f>IFERROR(VLOOKUP(238,'PEDIDO 12'!$C$2:$E$230,3,0),0)</f>
        <v>0</v>
      </c>
      <c r="E902" s="1">
        <f>IFERROR(VLOOKUP(240,'PEDIDO 12'!$C$2:$E$230,3,0),0)</f>
        <v>0</v>
      </c>
      <c r="F902" s="1">
        <f>IFERROR(VLOOKUP(239,'PEDIDO 12'!$C$2:$E$230,3,0),0)</f>
        <v>0</v>
      </c>
      <c r="G902" s="18">
        <f t="shared" si="22"/>
        <v>0</v>
      </c>
    </row>
    <row r="903" spans="1:7" ht="15.75" x14ac:dyDescent="0.25">
      <c r="A903" s="15" t="str">
        <f>'PEDIDO 12'!$B$2</f>
        <v>Avare-Elson Marcio Siqueira Jamal</v>
      </c>
      <c r="B903" s="12" t="s">
        <v>409</v>
      </c>
      <c r="C903" s="1">
        <f>IFERROR(VLOOKUP(25707,'PEDIDO 12'!$C$2:$E$230,3,0),0)</f>
        <v>0</v>
      </c>
      <c r="D903" s="1">
        <f>IFERROR(VLOOKUP(25708,'PEDIDO 12'!$C$2:$E$230,3,0),0)</f>
        <v>0</v>
      </c>
      <c r="E903" s="1">
        <f>IFERROR(VLOOKUP(25710,'PEDIDO 12'!$C$2:$E$230,3,0),0)</f>
        <v>0</v>
      </c>
      <c r="F903" s="1">
        <f>IFERROR(VLOOKUP(25709,'PEDIDO 12'!$C$2:$E$230,3,0),0)</f>
        <v>0</v>
      </c>
      <c r="G903" s="18">
        <f t="shared" si="22"/>
        <v>0</v>
      </c>
    </row>
    <row r="904" spans="1:7" ht="15.75" x14ac:dyDescent="0.25">
      <c r="A904" s="15" t="str">
        <f>'PEDIDO 12'!$B$2</f>
        <v>Avare-Elson Marcio Siqueira Jamal</v>
      </c>
      <c r="B904" s="12" t="s">
        <v>410</v>
      </c>
      <c r="C904" s="1">
        <f>IFERROR(VLOOKUP(25711,'PEDIDO 12'!$C$2:$E$230,3,0),0)</f>
        <v>0</v>
      </c>
      <c r="D904" s="1"/>
      <c r="E904" s="1"/>
      <c r="F904" s="1"/>
      <c r="G904" s="18">
        <f t="shared" si="22"/>
        <v>0</v>
      </c>
    </row>
    <row r="905" spans="1:7" ht="15.75" x14ac:dyDescent="0.25">
      <c r="A905" s="15" t="str">
        <f>'PEDIDO 12'!$B$2</f>
        <v>Avare-Elson Marcio Siqueira Jamal</v>
      </c>
      <c r="B905" s="12" t="s">
        <v>411</v>
      </c>
      <c r="C905" s="1">
        <f>IFERROR(VLOOKUP(35,'PEDIDO 12'!$C$2:$E$230,3,0),0)</f>
        <v>0</v>
      </c>
      <c r="D905" s="1">
        <f>IFERROR(VLOOKUP(36,'PEDIDO 12'!$C$2:$E$230,3,0),0)</f>
        <v>0</v>
      </c>
      <c r="E905" s="1">
        <f>IFERROR(VLOOKUP(37,'PEDIDO 12'!$C$2:$E$230,3,0),0)</f>
        <v>0</v>
      </c>
      <c r="F905" s="1">
        <f>IFERROR(VLOOKUP(294,'PEDIDO 12'!$C$2:$E$230,3,0),0)</f>
        <v>0</v>
      </c>
      <c r="G905" s="18">
        <f t="shared" si="22"/>
        <v>0</v>
      </c>
    </row>
    <row r="906" spans="1:7" ht="15.75" x14ac:dyDescent="0.25">
      <c r="A906" s="15" t="str">
        <f>'PEDIDO 12'!$B$2</f>
        <v>Avare-Elson Marcio Siqueira Jamal</v>
      </c>
      <c r="B906" s="12" t="s">
        <v>412</v>
      </c>
      <c r="C906" s="1">
        <f>IFERROR(VLOOKUP(39,'PEDIDO 12'!$C$2:$E$230,3,0),0)</f>
        <v>0</v>
      </c>
      <c r="D906" s="1">
        <f>IFERROR(VLOOKUP(40,'PEDIDO 12'!$C$2:$E$230,3,0),0)</f>
        <v>0</v>
      </c>
      <c r="E906" s="1">
        <f>IFERROR(VLOOKUP(42,'PEDIDO 12'!$C$2:$E$230,3,0),0)</f>
        <v>0</v>
      </c>
      <c r="F906" s="1">
        <f>IFERROR(VLOOKUP(295,'PEDIDO 12'!$C$2:$E$230,3,0),0)</f>
        <v>0</v>
      </c>
      <c r="G906" s="18">
        <f t="shared" si="22"/>
        <v>0</v>
      </c>
    </row>
    <row r="907" spans="1:7" ht="15.75" x14ac:dyDescent="0.25">
      <c r="A907" s="15" t="str">
        <f>'PEDIDO 12'!$B$2</f>
        <v>Avare-Elson Marcio Siqueira Jamal</v>
      </c>
      <c r="B907" s="12" t="s">
        <v>413</v>
      </c>
      <c r="C907" s="1">
        <f>IFERROR(VLOOKUP(44,'PEDIDO 12'!$C$2:$E$230,3,0),0)</f>
        <v>0</v>
      </c>
      <c r="D907" s="1">
        <f>IFERROR(VLOOKUP(45,'PEDIDO 12'!$C$2:$E$230,3,0),0)</f>
        <v>0</v>
      </c>
      <c r="E907" s="1">
        <f>IFERROR(VLOOKUP(46,'PEDIDO 12'!$C$2:$E$230,3,0),0)</f>
        <v>0</v>
      </c>
      <c r="F907" s="1">
        <f>IFERROR(VLOOKUP(283,'PEDIDO 12'!$C$2:$E$230,3,0),0)</f>
        <v>4</v>
      </c>
      <c r="G907" s="18">
        <f t="shared" si="22"/>
        <v>4</v>
      </c>
    </row>
    <row r="908" spans="1:7" ht="15.75" x14ac:dyDescent="0.25">
      <c r="A908" s="15" t="str">
        <f>'PEDIDO 12'!$B$2</f>
        <v>Avare-Elson Marcio Siqueira Jamal</v>
      </c>
      <c r="B908" s="12" t="s">
        <v>414</v>
      </c>
      <c r="C908" s="1">
        <f>IFERROR(VLOOKUP(48,'PEDIDO 12'!$C$2:$E$230,3,0),0)</f>
        <v>0</v>
      </c>
      <c r="D908" s="1">
        <f>IFERROR(VLOOKUP(49,'PEDIDO 12'!$C$2:$E$230,3,0),0)</f>
        <v>0</v>
      </c>
      <c r="E908" s="1">
        <f>IFERROR(VLOOKUP(50,'PEDIDO 12'!$C$2:$E$230,3,0),0)</f>
        <v>0</v>
      </c>
      <c r="F908" s="1">
        <f>IFERROR(VLOOKUP(298,'PEDIDO 12'!$C$2:$E$230,3,0),0)</f>
        <v>0</v>
      </c>
      <c r="G908" s="18">
        <f t="shared" si="22"/>
        <v>0</v>
      </c>
    </row>
    <row r="909" spans="1:7" ht="15.75" x14ac:dyDescent="0.25">
      <c r="A909" s="15" t="str">
        <f>'PEDIDO 12'!$B$2</f>
        <v>Avare-Elson Marcio Siqueira Jamal</v>
      </c>
      <c r="B909" s="12" t="s">
        <v>415</v>
      </c>
      <c r="C909" s="1">
        <f>IFERROR(VLOOKUP(52,'PEDIDO 12'!$C$2:$E$230,3,0),0)</f>
        <v>0</v>
      </c>
      <c r="D909" s="1">
        <f>IFERROR(VLOOKUP(53,'PEDIDO 12'!$C$2:$E$230,3,0),0)</f>
        <v>0</v>
      </c>
      <c r="E909" s="1">
        <f>IFERROR(VLOOKUP(54,'PEDIDO 12'!$C$2:$E$230,3,0),0)</f>
        <v>0</v>
      </c>
      <c r="F909" s="1">
        <f>IFERROR(VLOOKUP(299,'PEDIDO 12'!$C$2:$E$230,3,0),0)</f>
        <v>0</v>
      </c>
      <c r="G909" s="18">
        <f t="shared" si="22"/>
        <v>0</v>
      </c>
    </row>
    <row r="910" spans="1:7" ht="15.75" x14ac:dyDescent="0.25">
      <c r="A910" s="15" t="str">
        <f>'PEDIDO 12'!$B$2</f>
        <v>Avare-Elson Marcio Siqueira Jamal</v>
      </c>
      <c r="B910" s="12" t="s">
        <v>416</v>
      </c>
      <c r="C910" s="1">
        <f>IFERROR(VLOOKUP(56,'PEDIDO 12'!$C$2:$E$230,3,0),0)</f>
        <v>0</v>
      </c>
      <c r="D910" s="1">
        <f>IFERROR(VLOOKUP(61,'PEDIDO 12'!$C$2:$E$230,3,0),0)</f>
        <v>0</v>
      </c>
      <c r="E910" s="1">
        <f>IFERROR(VLOOKUP(58,'PEDIDO 12'!$C$2:$E$230,3,0),0)</f>
        <v>0</v>
      </c>
      <c r="F910" s="1">
        <f>IFERROR(VLOOKUP(300,'PEDIDO 12'!$C$2:$E$230,3,0),0)</f>
        <v>0</v>
      </c>
      <c r="G910" s="18">
        <f t="shared" si="22"/>
        <v>0</v>
      </c>
    </row>
    <row r="911" spans="1:7" ht="15.75" x14ac:dyDescent="0.25">
      <c r="A911" s="15" t="str">
        <f>'PEDIDO 12'!$B$2</f>
        <v>Avare-Elson Marcio Siqueira Jamal</v>
      </c>
      <c r="B911" s="12" t="s">
        <v>417</v>
      </c>
      <c r="C911" s="1">
        <f>IFERROR(VLOOKUP(60,'PEDIDO 12'!$C$2:$E$230,3,0),0)</f>
        <v>0</v>
      </c>
      <c r="D911" s="1">
        <f>IFERROR(VLOOKUP(120,'PEDIDO 12'!$C$2:$E$230,3,0),0)</f>
        <v>0</v>
      </c>
      <c r="E911" s="1">
        <f>IFERROR(VLOOKUP(62,'PEDIDO 12'!$C$2:$E$230,3,0),0)</f>
        <v>0</v>
      </c>
      <c r="F911" s="1">
        <f>IFERROR(VLOOKUP(301,'PEDIDO 12'!$C$2:$E$230,3,0),0)</f>
        <v>0</v>
      </c>
      <c r="G911" s="18">
        <f t="shared" si="22"/>
        <v>0</v>
      </c>
    </row>
    <row r="912" spans="1:7" ht="15.75" x14ac:dyDescent="0.25">
      <c r="A912" s="15" t="str">
        <f>'PEDIDO 12'!$B$2</f>
        <v>Avare-Elson Marcio Siqueira Jamal</v>
      </c>
      <c r="B912" s="12" t="s">
        <v>426</v>
      </c>
      <c r="C912" s="1">
        <f>IFERROR(VLOOKUP(112,'PEDIDO 12'!$C$2:$E$230,3,0),0)</f>
        <v>0</v>
      </c>
      <c r="D912" s="1">
        <f>IFERROR(VLOOKUP(113,'PEDIDO 12'!$C$2:$E$230,3,0),0)</f>
        <v>0</v>
      </c>
      <c r="E912" s="1">
        <f>IFERROR(VLOOKUP(114,'PEDIDO 12'!$C$2:$E$230,3,0),0)</f>
        <v>0</v>
      </c>
      <c r="F912" s="1">
        <f>IFERROR(VLOOKUP(296,'PEDIDO 12'!$C$2:$E$230,3,0),0)</f>
        <v>0</v>
      </c>
      <c r="G912" s="18">
        <f t="shared" si="22"/>
        <v>0</v>
      </c>
    </row>
    <row r="913" spans="1:7" ht="15.75" x14ac:dyDescent="0.25">
      <c r="A913" s="15" t="str">
        <f>'PEDIDO 12'!$B$2</f>
        <v>Avare-Elson Marcio Siqueira Jamal</v>
      </c>
      <c r="B913" s="12" t="s">
        <v>427</v>
      </c>
      <c r="C913" s="1">
        <f>IFERROR(VLOOKUP(116,'PEDIDO 12'!$C$2:$E$230,3,0),0)</f>
        <v>0</v>
      </c>
      <c r="D913" s="1">
        <f>IFERROR(VLOOKUP(117,'PEDIDO 12'!$C$2:$E$230,3,0),0)</f>
        <v>0</v>
      </c>
      <c r="E913" s="1">
        <f>IFERROR(VLOOKUP(118,'PEDIDO 12'!$C$2:$E$230,3,0),0)</f>
        <v>0</v>
      </c>
      <c r="F913" s="1">
        <f>IFERROR(VLOOKUP(293,'PEDIDO 12'!$C$2:$E$230,3,0),0)</f>
        <v>0</v>
      </c>
      <c r="G913" s="18">
        <f t="shared" si="22"/>
        <v>0</v>
      </c>
    </row>
    <row r="914" spans="1:7" ht="15.75" x14ac:dyDescent="0.25">
      <c r="A914" s="15" t="str">
        <f>'PEDIDO 12'!$B$2</f>
        <v>Avare-Elson Marcio Siqueira Jamal</v>
      </c>
      <c r="B914" s="12" t="s">
        <v>418</v>
      </c>
      <c r="C914" s="1">
        <f>IFERROR(VLOOKUP(963,'PEDIDO 12'!$C$2:$E$230,3,0),0)</f>
        <v>0</v>
      </c>
      <c r="D914" s="1">
        <f>IFERROR(VLOOKUP(965,'PEDIDO 12'!$C$2:$E$230,3,0),0)</f>
        <v>0</v>
      </c>
      <c r="E914" s="1">
        <f>IFERROR(VLOOKUP(966,'PEDIDO 12'!$C$2:$E$230,3,0),0)</f>
        <v>0</v>
      </c>
      <c r="F914" s="1">
        <f>IFERROR(VLOOKUP(964,'PEDIDO 12'!$C$2:$E$230,3,0),0)</f>
        <v>0</v>
      </c>
      <c r="G914" s="18">
        <f t="shared" si="22"/>
        <v>0</v>
      </c>
    </row>
    <row r="915" spans="1:7" ht="15.75" x14ac:dyDescent="0.25">
      <c r="A915" s="15" t="str">
        <f>'PEDIDO 12'!$B$2</f>
        <v>Avare-Elson Marcio Siqueira Jamal</v>
      </c>
      <c r="B915" s="12" t="s">
        <v>419</v>
      </c>
      <c r="C915" s="1">
        <f>IFERROR(VLOOKUP(2042,'PEDIDO 12'!$C$2:$E$230,3,0),0)</f>
        <v>0</v>
      </c>
      <c r="D915" s="1">
        <f>IFERROR(VLOOKUP(2041,'PEDIDO 12'!$C$2:$E$230,3,0),0)</f>
        <v>0</v>
      </c>
      <c r="E915" s="1">
        <f>IFERROR(VLOOKUP(2043,'PEDIDO 12'!$C$2:$E$230,3,0),0)</f>
        <v>0</v>
      </c>
      <c r="F915" s="1">
        <f>IFERROR(VLOOKUP(2040,'PEDIDO 12'!$C$2:$E$230,3,0),0)</f>
        <v>0</v>
      </c>
      <c r="G915" s="18">
        <f t="shared" si="22"/>
        <v>0</v>
      </c>
    </row>
    <row r="916" spans="1:7" ht="15.75" x14ac:dyDescent="0.25">
      <c r="A916" s="15" t="str">
        <f>'PEDIDO 12'!$B$2</f>
        <v>Avare-Elson Marcio Siqueira Jamal</v>
      </c>
      <c r="B916" s="12" t="s">
        <v>420</v>
      </c>
      <c r="C916" s="1">
        <f>IFERROR(VLOOKUP(2045,'PEDIDO 12'!$C$2:$E$230,3,0),0)</f>
        <v>0</v>
      </c>
      <c r="D916" s="1">
        <f>IFERROR(VLOOKUP(2046,'PEDIDO 12'!$C$2:$E$230,3,0),0)</f>
        <v>0</v>
      </c>
      <c r="E916" s="1">
        <f>IFERROR(VLOOKUP(2047,'PEDIDO 12'!$C$2:$E$230,3,0),0)</f>
        <v>0</v>
      </c>
      <c r="F916" s="1">
        <f>IFERROR(VLOOKUP(2048,'PEDIDO 12'!$C$2:$E$230,3,0),0)</f>
        <v>0</v>
      </c>
      <c r="G916" s="18">
        <f t="shared" si="22"/>
        <v>0</v>
      </c>
    </row>
    <row r="917" spans="1:7" ht="15.75" x14ac:dyDescent="0.25">
      <c r="A917" s="15" t="str">
        <f>'PEDIDO 12'!$B$2</f>
        <v>Avare-Elson Marcio Siqueira Jamal</v>
      </c>
      <c r="B917" s="12" t="s">
        <v>421</v>
      </c>
      <c r="C917" s="1">
        <f>IFERROR(VLOOKUP(2050,'PEDIDO 12'!$C$2:$E$230,3,0),0)</f>
        <v>0</v>
      </c>
      <c r="D917" s="1">
        <f>IFERROR(VLOOKUP(2051,'PEDIDO 12'!$C$2:$E$230,3,0),0)</f>
        <v>0</v>
      </c>
      <c r="E917" s="1">
        <f>IFERROR(VLOOKUP(2052,'PEDIDO 12'!$C$2:$E$230,3,0),0)</f>
        <v>0</v>
      </c>
      <c r="F917" s="1">
        <f>IFERROR(VLOOKUP(2053,'PEDIDO 12'!$C$2:$E$230,3,0),0)</f>
        <v>0</v>
      </c>
      <c r="G917" s="18">
        <f t="shared" si="22"/>
        <v>0</v>
      </c>
    </row>
    <row r="918" spans="1:7" ht="15.75" x14ac:dyDescent="0.25">
      <c r="A918" s="15" t="str">
        <f>'PEDIDO 12'!$B$2</f>
        <v>Avare-Elson Marcio Siqueira Jamal</v>
      </c>
      <c r="B918" s="12" t="s">
        <v>422</v>
      </c>
      <c r="C918" s="1">
        <f>IFERROR(VLOOKUP(216,'PEDIDO 12'!$C$2:$E$230,3,0),0)</f>
        <v>0</v>
      </c>
      <c r="D918" s="1">
        <f>IFERROR(VLOOKUP(217,'PEDIDO 12'!$C$2:$E$230,3,0),0)</f>
        <v>0</v>
      </c>
      <c r="E918" s="1">
        <f>IFERROR(VLOOKUP(218,'PEDIDO 12'!$C$2:$E$230,3,0),0)</f>
        <v>0</v>
      </c>
      <c r="F918" s="1">
        <f>IFERROR(VLOOKUP(305,'PEDIDO 12'!$C$2:$E$230,3,0),0)</f>
        <v>0</v>
      </c>
      <c r="G918" s="18">
        <f t="shared" si="22"/>
        <v>0</v>
      </c>
    </row>
    <row r="919" spans="1:7" ht="15.75" x14ac:dyDescent="0.25">
      <c r="A919" s="15" t="str">
        <f>'PEDIDO 12'!$B$2</f>
        <v>Avare-Elson Marcio Siqueira Jamal</v>
      </c>
      <c r="B919" s="12" t="s">
        <v>423</v>
      </c>
      <c r="C919" s="1">
        <f>IFERROR(VLOOKUP(100,'PEDIDO 12'!$C$2:$E$230,3,0),0)</f>
        <v>0</v>
      </c>
      <c r="D919" s="1">
        <f>IFERROR(VLOOKUP(101,'PEDIDO 12'!$C$2:$E$230,3,0),0)</f>
        <v>0</v>
      </c>
      <c r="E919" s="1">
        <f>IFERROR(VLOOKUP(102,'PEDIDO 12'!$C$2:$E$230,3,0),0)</f>
        <v>0</v>
      </c>
      <c r="F919" s="1">
        <f>IFERROR(VLOOKUP(306,'PEDIDO 12'!$C$2:$E$230,3,0),0)</f>
        <v>0</v>
      </c>
      <c r="G919" s="18">
        <f t="shared" si="22"/>
        <v>0</v>
      </c>
    </row>
    <row r="920" spans="1:7" ht="15.75" x14ac:dyDescent="0.25">
      <c r="A920" s="15" t="str">
        <f>'PEDIDO 12'!$B$2</f>
        <v>Avare-Elson Marcio Siqueira Jamal</v>
      </c>
      <c r="B920" s="12" t="s">
        <v>424</v>
      </c>
      <c r="C920" s="1">
        <f>IFERROR(VLOOKUP(104,'PEDIDO 12'!$C$2:$E$230,3,0),0)</f>
        <v>0</v>
      </c>
      <c r="D920" s="1">
        <f>IFERROR(VLOOKUP(105,'PEDIDO 12'!$C$2:$E$230,3,0),0)</f>
        <v>0</v>
      </c>
      <c r="E920" s="1">
        <f>IFERROR(VLOOKUP(106,'PEDIDO 12'!$C$2:$E$230,3,0),0)</f>
        <v>0</v>
      </c>
      <c r="F920" s="1">
        <f>IFERROR(VLOOKUP(307,'PEDIDO 12'!$C$2:$E$230,3,0),0)</f>
        <v>0</v>
      </c>
      <c r="G920" s="18">
        <f t="shared" si="22"/>
        <v>0</v>
      </c>
    </row>
    <row r="921" spans="1:7" ht="15.75" x14ac:dyDescent="0.25">
      <c r="A921" s="15" t="str">
        <f>'PEDIDO 12'!$B$2</f>
        <v>Avare-Elson Marcio Siqueira Jamal</v>
      </c>
      <c r="B921" s="12" t="s">
        <v>425</v>
      </c>
      <c r="C921" s="1">
        <f>IFERROR(VLOOKUP(400,'PEDIDO 12'!$C$2:$E$230,3,0),0)</f>
        <v>0</v>
      </c>
      <c r="D921" s="1">
        <f>IFERROR(VLOOKUP(401,'PEDIDO 12'!$C$2:$E$230,3,0),0)</f>
        <v>0</v>
      </c>
      <c r="E921" s="1">
        <f>IFERROR(VLOOKUP(402,'PEDIDO 12'!$C$2:$E$230,3,0),0)</f>
        <v>0</v>
      </c>
      <c r="F921" s="1">
        <f>IFERROR(VLOOKUP(403,'PEDIDO 12'!$C$2:$E$230,3,0),0)</f>
        <v>0</v>
      </c>
      <c r="G921" s="18">
        <f t="shared" si="22"/>
        <v>0</v>
      </c>
    </row>
    <row r="922" spans="1:7" ht="15.75" x14ac:dyDescent="0.25">
      <c r="A922" s="15" t="str">
        <f>'PEDIDO 12'!$B$2</f>
        <v>Avare-Elson Marcio Siqueira Jamal</v>
      </c>
      <c r="B922" s="12" t="s">
        <v>428</v>
      </c>
      <c r="C922" s="1">
        <f>IFERROR(VLOOKUP(22,'PEDIDO 12'!$C$2:$E$230,3,0),0)</f>
        <v>0</v>
      </c>
      <c r="D922" s="1"/>
      <c r="E922" s="1"/>
      <c r="F922" s="1"/>
      <c r="G922" s="18">
        <f t="shared" si="22"/>
        <v>0</v>
      </c>
    </row>
    <row r="923" spans="1:7" ht="15.75" x14ac:dyDescent="0.25">
      <c r="A923" s="15" t="str">
        <f>'PEDIDO 12'!$B$2</f>
        <v>Avare-Elson Marcio Siqueira Jamal</v>
      </c>
      <c r="B923" s="12" t="s">
        <v>429</v>
      </c>
      <c r="C923" s="1">
        <f>IFERROR(VLOOKUP(21,'PEDIDO 12'!$C$2:$E$230,3,0),0)</f>
        <v>0</v>
      </c>
      <c r="D923" s="1"/>
      <c r="E923" s="1"/>
      <c r="F923" s="1"/>
      <c r="G923" s="18">
        <f t="shared" si="22"/>
        <v>0</v>
      </c>
    </row>
    <row r="924" spans="1:7" ht="15.75" x14ac:dyDescent="0.25">
      <c r="A924" s="15" t="str">
        <f>'PEDIDO 12'!$B$2</f>
        <v>Avare-Elson Marcio Siqueira Jamal</v>
      </c>
      <c r="B924" s="12" t="s">
        <v>430</v>
      </c>
      <c r="C924" s="1">
        <f>IFERROR(VLOOKUP(1125,'PEDIDO 12'!$C$2:$E$230,3,0),0)</f>
        <v>0</v>
      </c>
      <c r="D924" s="1">
        <f>IFERROR(VLOOKUP(1126,'PEDIDO 12'!$C$2:$E$230,3,0),0)</f>
        <v>0</v>
      </c>
      <c r="E924" s="1">
        <f>IFERROR(VLOOKUP(1127,'PEDIDO 12'!$C$2:$E$230,3,0),0)</f>
        <v>0</v>
      </c>
      <c r="F924" s="1">
        <f>IFERROR(VLOOKUP(1128,'PEDIDO 12'!$C$2:$E$230,3,0),0)</f>
        <v>0</v>
      </c>
      <c r="G924" s="18">
        <f t="shared" si="22"/>
        <v>0</v>
      </c>
    </row>
    <row r="925" spans="1:7" ht="15.75" x14ac:dyDescent="0.25">
      <c r="A925" s="15" t="str">
        <f>'PEDIDO 12'!$B$2</f>
        <v>Avare-Elson Marcio Siqueira Jamal</v>
      </c>
      <c r="B925" s="12" t="s">
        <v>431</v>
      </c>
      <c r="C925" s="1">
        <f>IFERROR(VLOOKUP(1133,'PEDIDO 12'!$C$2:$E$230,3,0),0)</f>
        <v>0</v>
      </c>
      <c r="D925" s="1">
        <f>IFERROR(VLOOKUP(1134,'PEDIDO 12'!$C$2:$E$230,3,0),0)</f>
        <v>0</v>
      </c>
      <c r="E925" s="1">
        <f>IFERROR(VLOOKUP(1135,'PEDIDO 12'!$C$2:$E$230,3,0),0)</f>
        <v>0</v>
      </c>
      <c r="F925" s="1">
        <f>IFERROR(VLOOKUP(1136,'PEDIDO 12'!$C$2:$E$230,3,0),0)</f>
        <v>0</v>
      </c>
      <c r="G925" s="18">
        <f t="shared" si="22"/>
        <v>0</v>
      </c>
    </row>
    <row r="926" spans="1:7" ht="15.75" x14ac:dyDescent="0.25">
      <c r="A926" s="15" t="str">
        <f>'PEDIDO 12'!$B$2</f>
        <v>Avare-Elson Marcio Siqueira Jamal</v>
      </c>
      <c r="B926" s="12" t="s">
        <v>432</v>
      </c>
      <c r="C926" s="1">
        <f>IFERROR(VLOOKUP(1105,'PEDIDO 12'!$C$2:$E$230,3,0),0)</f>
        <v>0</v>
      </c>
      <c r="D926" s="1">
        <f>IFERROR(VLOOKUP(1106,'PEDIDO 12'!$C$2:$E$230,3,0),0)</f>
        <v>0</v>
      </c>
      <c r="E926" s="1">
        <f>IFERROR(VLOOKUP(1107,'PEDIDO 12'!$C$2:$E$230,3,0),0)</f>
        <v>0</v>
      </c>
      <c r="F926" s="1">
        <f>IFERROR(VLOOKUP(1108,'PEDIDO 12'!$C$2:$E$230,3,0),0)</f>
        <v>0</v>
      </c>
      <c r="G926" s="18">
        <f t="shared" si="22"/>
        <v>0</v>
      </c>
    </row>
    <row r="927" spans="1:7" ht="15.75" x14ac:dyDescent="0.25">
      <c r="A927" s="15" t="str">
        <f>'PEDIDO 12'!$B$2</f>
        <v>Avare-Elson Marcio Siqueira Jamal</v>
      </c>
      <c r="B927" s="12" t="s">
        <v>433</v>
      </c>
      <c r="C927" s="1">
        <f>IFERROR(VLOOKUP(1109,'PEDIDO 12'!$C$2:$E$230,3,0),0)</f>
        <v>0</v>
      </c>
      <c r="D927" s="1">
        <f>IFERROR(VLOOKUP(1110,'PEDIDO 12'!$C$2:$E$230,3,0),0)</f>
        <v>0</v>
      </c>
      <c r="E927" s="1">
        <f>IFERROR(VLOOKUP(1111,'PEDIDO 12'!$C$2:$E$230,3,0),0)</f>
        <v>0</v>
      </c>
      <c r="F927" s="1">
        <f>IFERROR(VLOOKUP(1112,'PEDIDO 12'!$C$2:$E$230,3,0),0)</f>
        <v>0</v>
      </c>
      <c r="G927" s="18">
        <f t="shared" si="22"/>
        <v>0</v>
      </c>
    </row>
    <row r="928" spans="1:7" ht="15.75" x14ac:dyDescent="0.25">
      <c r="A928" s="15" t="str">
        <f>'PEDIDO 12'!$B$2</f>
        <v>Avare-Elson Marcio Siqueira Jamal</v>
      </c>
      <c r="B928" s="12" t="s">
        <v>434</v>
      </c>
      <c r="C928" s="1">
        <f>IFERROR(VLOOKUP(1113,'PEDIDO 12'!$C$2:$E$230,3,0),0)</f>
        <v>0</v>
      </c>
      <c r="D928" s="1">
        <f>IFERROR(VLOOKUP(1114,'PEDIDO 12'!$C$2:$E$230,3,0),0)</f>
        <v>0</v>
      </c>
      <c r="E928" s="1">
        <f>IFERROR(VLOOKUP(1115,'PEDIDO 12'!$C$2:$E$230,3,0),0)</f>
        <v>0</v>
      </c>
      <c r="F928" s="1">
        <f>IFERROR(VLOOKUP(1116,'PEDIDO 12'!$C$2:$E$230,3,0),0)</f>
        <v>0</v>
      </c>
      <c r="G928" s="18">
        <f t="shared" si="22"/>
        <v>0</v>
      </c>
    </row>
    <row r="929" spans="1:7" ht="15.75" x14ac:dyDescent="0.25">
      <c r="A929" s="15" t="str">
        <f>'PEDIDO 12'!$B$2</f>
        <v>Avare-Elson Marcio Siqueira Jamal</v>
      </c>
      <c r="B929" s="12" t="s">
        <v>435</v>
      </c>
      <c r="C929" s="1">
        <f>IFERROR(VLOOKUP(1117,'PEDIDO 12'!$C$2:$E$230,3,0),0)</f>
        <v>0</v>
      </c>
      <c r="D929" s="1">
        <f>IFERROR(VLOOKUP(1118,'PEDIDO 12'!$C$2:$E$230,3,0),0)</f>
        <v>0</v>
      </c>
      <c r="E929" s="1">
        <f>IFERROR(VLOOKUP(1119,'PEDIDO 12'!$C$2:$E$230,3,0),0)</f>
        <v>0</v>
      </c>
      <c r="F929" s="1">
        <f>IFERROR(VLOOKUP(1120,'PEDIDO 12'!$C$2:$E$230,3,0),0)</f>
        <v>0</v>
      </c>
      <c r="G929" s="18">
        <f t="shared" si="22"/>
        <v>0</v>
      </c>
    </row>
    <row r="930" spans="1:7" ht="15.75" x14ac:dyDescent="0.25">
      <c r="A930" s="15" t="str">
        <f>'PEDIDO 12'!$B$2</f>
        <v>Avare-Elson Marcio Siqueira Jamal</v>
      </c>
      <c r="B930" s="12" t="s">
        <v>436</v>
      </c>
      <c r="C930" s="1">
        <f>IFERROR(VLOOKUP(1121,'PEDIDO 12'!$C$2:$E$230,3,0),0)</f>
        <v>0</v>
      </c>
      <c r="D930" s="1">
        <f>IFERROR(VLOOKUP(1122,'PEDIDO 12'!$C$2:$E$230,3,0),0)</f>
        <v>0</v>
      </c>
      <c r="E930" s="1">
        <f>IFERROR(VLOOKUP(1123,'PEDIDO 12'!$C$2:$E$230,3,0),0)</f>
        <v>0</v>
      </c>
      <c r="F930" s="1">
        <f>IFERROR(VLOOKUP(1124,'PEDIDO 12'!$C$2:$E$230,3,0),0)</f>
        <v>0</v>
      </c>
      <c r="G930" s="18">
        <f t="shared" si="22"/>
        <v>0</v>
      </c>
    </row>
    <row r="931" spans="1:7" ht="15.75" x14ac:dyDescent="0.25">
      <c r="A931" s="15" t="str">
        <f>'PEDIDO 12'!$B$2</f>
        <v>Avare-Elson Marcio Siqueira Jamal</v>
      </c>
      <c r="B931" s="12" t="s">
        <v>437</v>
      </c>
      <c r="C931" s="1">
        <f>IFERROR(VLOOKUP(1129,'PEDIDO 12'!$C$2:$E$230,3,0),0)</f>
        <v>0</v>
      </c>
      <c r="D931" s="1">
        <f>IFERROR(VLOOKUP(1130,'PEDIDO 12'!$C$2:$E$230,3,0),0)</f>
        <v>0</v>
      </c>
      <c r="E931" s="1">
        <f>IFERROR(VLOOKUP(1131,'PEDIDO 12'!$C$2:$E$230,3,0),0)</f>
        <v>0</v>
      </c>
      <c r="F931" s="1">
        <f>IFERROR(VLOOKUP(1132,'PEDIDO 12'!$C$2:$E$230,3,0),0)</f>
        <v>0</v>
      </c>
      <c r="G931" s="18">
        <f t="shared" si="22"/>
        <v>0</v>
      </c>
    </row>
    <row r="932" spans="1:7" ht="15.75" x14ac:dyDescent="0.25">
      <c r="A932" s="15" t="str">
        <f>'PEDIDO 12'!$B$2</f>
        <v>Avare-Elson Marcio Siqueira Jamal</v>
      </c>
      <c r="B932" s="12" t="s">
        <v>438</v>
      </c>
      <c r="C932" s="1">
        <f>IFERROR(VLOOKUP(1137,'PEDIDO 12'!$C$2:$E$230,3,0),0)</f>
        <v>0</v>
      </c>
      <c r="D932" s="1">
        <f>IFERROR(VLOOKUP(1138,'PEDIDO 12'!$C$2:$E$230,3,0),0)</f>
        <v>0</v>
      </c>
      <c r="E932" s="1">
        <f>IFERROR(VLOOKUP(1139,'PEDIDO 12'!$C$2:$E$230,3,0),0)</f>
        <v>0</v>
      </c>
      <c r="F932" s="1">
        <f>IFERROR(VLOOKUP(1140,'PEDIDO 12'!$C$2:$E$230,3,0),0)</f>
        <v>0</v>
      </c>
      <c r="G932" s="18">
        <f t="shared" si="22"/>
        <v>0</v>
      </c>
    </row>
    <row r="933" spans="1:7" ht="15.75" x14ac:dyDescent="0.25">
      <c r="A933" s="15" t="str">
        <f>'PEDIDO 12'!$B$2</f>
        <v>Avare-Elson Marcio Siqueira Jamal</v>
      </c>
      <c r="B933" s="12" t="s">
        <v>439</v>
      </c>
      <c r="C933" s="1">
        <f>IFERROR(VLOOKUP(1141,'PEDIDO 12'!$C$2:$E$230,3,0),0)</f>
        <v>0</v>
      </c>
      <c r="D933" s="1">
        <f>IFERROR(VLOOKUP(1142,'PEDIDO 12'!$C$2:$E$230,3,0),0)</f>
        <v>0</v>
      </c>
      <c r="E933" s="1">
        <f>IFERROR(VLOOKUP(1143,'PEDIDO 12'!$C$2:$E$230,3,0),0)</f>
        <v>0</v>
      </c>
      <c r="F933" s="1">
        <f>IFERROR(VLOOKUP(1144,'PEDIDO 12'!$C$2:$E$230,3,0),0)</f>
        <v>0</v>
      </c>
      <c r="G933" s="18">
        <f t="shared" si="22"/>
        <v>0</v>
      </c>
    </row>
    <row r="934" spans="1:7" ht="15.75" x14ac:dyDescent="0.25">
      <c r="A934" s="15" t="str">
        <f>'PEDIDO 12'!$B$2</f>
        <v>Avare-Elson Marcio Siqueira Jamal</v>
      </c>
      <c r="B934" s="12" t="s">
        <v>440</v>
      </c>
      <c r="C934" s="1">
        <f>IFERROR(VLOOKUP(1145,'PEDIDO 12'!$C$2:$E$230,3,0),0)</f>
        <v>0</v>
      </c>
      <c r="D934" s="1">
        <f>IFERROR(VLOOKUP(1146,'PEDIDO 12'!$C$2:$E$230,3,0),0)</f>
        <v>0</v>
      </c>
      <c r="E934" s="1">
        <f>IFERROR(VLOOKUP(1147,'PEDIDO 12'!$C$2:$E$230,3,0),0)</f>
        <v>0</v>
      </c>
      <c r="F934" s="1">
        <f>IFERROR(VLOOKUP(1148,'PEDIDO 12'!$C$2:$E$230,3,0),0)</f>
        <v>0</v>
      </c>
      <c r="G934" s="18">
        <f t="shared" si="22"/>
        <v>0</v>
      </c>
    </row>
    <row r="935" spans="1:7" ht="15.75" x14ac:dyDescent="0.25">
      <c r="A935" s="15" t="str">
        <f>'PEDIDO 12'!$B$2</f>
        <v>Avare-Elson Marcio Siqueira Jamal</v>
      </c>
      <c r="B935" s="12" t="s">
        <v>441</v>
      </c>
      <c r="C935" s="1">
        <f>IFERROR(VLOOKUP(1149,'PEDIDO 12'!$C$2:$E$230,3,0),0)</f>
        <v>0</v>
      </c>
      <c r="D935" s="1">
        <f>IFERROR(VLOOKUP(1150,'PEDIDO 12'!$C$2:$E$230,3,0),0)</f>
        <v>0</v>
      </c>
      <c r="E935" s="1">
        <f>IFERROR(VLOOKUP(1151,'PEDIDO 12'!$C$2:$E$230,3,0),0)</f>
        <v>0</v>
      </c>
      <c r="F935" s="1">
        <f>IFERROR(VLOOKUP(1152,'PEDIDO 12'!$C$2:$E$230,3,0),0)</f>
        <v>0</v>
      </c>
      <c r="G935" s="18">
        <f t="shared" si="22"/>
        <v>0</v>
      </c>
    </row>
    <row r="936" spans="1:7" ht="15.75" x14ac:dyDescent="0.25">
      <c r="A936" s="15" t="str">
        <f>'PEDIDO 12'!$B$2</f>
        <v>Avare-Elson Marcio Siqueira Jamal</v>
      </c>
      <c r="B936" s="12" t="s">
        <v>442</v>
      </c>
      <c r="C936" s="1">
        <f>IFERROR(VLOOKUP(1153,'PEDIDO 12'!$C$2:$E$230,3,0),0)</f>
        <v>0</v>
      </c>
      <c r="D936" s="1">
        <f>IFERROR(VLOOKUP(1154,'PEDIDO 12'!$C$2:$E$230,3,0),0)</f>
        <v>0</v>
      </c>
      <c r="E936" s="1">
        <f>IFERROR(VLOOKUP(1155,'PEDIDO 12'!$C$2:$E$230,3,0),0)</f>
        <v>0</v>
      </c>
      <c r="F936" s="1">
        <f>IFERROR(VLOOKUP(1156,'PEDIDO 12'!$C$2:$E$230,3,0),0)</f>
        <v>0</v>
      </c>
      <c r="G936" s="18">
        <f t="shared" si="22"/>
        <v>0</v>
      </c>
    </row>
    <row r="937" spans="1:7" ht="15.75" x14ac:dyDescent="0.25">
      <c r="A937" s="15" t="str">
        <f>'PEDIDO 12'!$B$2</f>
        <v>Avare-Elson Marcio Siqueira Jamal</v>
      </c>
      <c r="B937" s="12" t="s">
        <v>443</v>
      </c>
      <c r="C937" s="1">
        <f>IFERROR(VLOOKUP(1157,'PEDIDO 12'!$C$2:$E$230,3,0),0)</f>
        <v>0</v>
      </c>
      <c r="D937" s="1">
        <f>IFERROR(VLOOKUP(1158,'PEDIDO 12'!$C$2:$E$230,3,0),0)</f>
        <v>0</v>
      </c>
      <c r="E937" s="1">
        <f>IFERROR(VLOOKUP(1159,'PEDIDO 12'!$C$2:$E$230,3,0),0)</f>
        <v>0</v>
      </c>
      <c r="F937" s="1">
        <f>IFERROR(VLOOKUP(1160,'PEDIDO 12'!$C$2:$E$230,3,0),0)</f>
        <v>0</v>
      </c>
      <c r="G937" s="18">
        <f t="shared" si="22"/>
        <v>0</v>
      </c>
    </row>
    <row r="938" spans="1:7" ht="15.75" x14ac:dyDescent="0.25">
      <c r="A938" s="15" t="str">
        <f>'PEDIDO 12'!$B$2</f>
        <v>Avare-Elson Marcio Siqueira Jamal</v>
      </c>
      <c r="B938" s="12" t="s">
        <v>444</v>
      </c>
      <c r="C938" s="1">
        <f>IFERROR(VLOOKUP(1161,'PEDIDO 12'!$C$2:$E$230,3,0),0)</f>
        <v>0</v>
      </c>
      <c r="D938" s="1">
        <f>IFERROR(VLOOKUP(1162,'PEDIDO 12'!$C$2:$E$230,3,0),0)</f>
        <v>0</v>
      </c>
      <c r="E938" s="1">
        <f>IFERROR(VLOOKUP(1163,'PEDIDO 12'!$C$2:$E$230,3,0),0)</f>
        <v>0</v>
      </c>
      <c r="F938" s="1">
        <f>IFERROR(VLOOKUP(1164,'PEDIDO 12'!$C$2:$E$230,3,0),0)</f>
        <v>0</v>
      </c>
      <c r="G938" s="18">
        <f t="shared" si="22"/>
        <v>0</v>
      </c>
    </row>
    <row r="939" spans="1:7" ht="15.75" x14ac:dyDescent="0.25">
      <c r="A939" s="15" t="str">
        <f>'PEDIDO 12'!$B$2</f>
        <v>Avare-Elson Marcio Siqueira Jamal</v>
      </c>
      <c r="B939" s="12" t="s">
        <v>445</v>
      </c>
      <c r="C939" s="1">
        <f>IFERROR(VLOOKUP(1165,'PEDIDO 12'!$C$2:$E$230,3,0),0)</f>
        <v>0</v>
      </c>
      <c r="D939" s="1">
        <f>IFERROR(VLOOKUP(1166,'PEDIDO 12'!$C$2:$E$230,3,0),0)</f>
        <v>0</v>
      </c>
      <c r="E939" s="1">
        <f>IFERROR(VLOOKUP(1167,'PEDIDO 12'!$C$2:$E$230,3,0),0)</f>
        <v>0</v>
      </c>
      <c r="F939" s="1">
        <f>IFERROR(VLOOKUP(1168,'PEDIDO 12'!$C$2:$E$230,3,0),0)</f>
        <v>0</v>
      </c>
      <c r="G939" s="18">
        <f t="shared" si="22"/>
        <v>0</v>
      </c>
    </row>
    <row r="940" spans="1:7" ht="15.75" x14ac:dyDescent="0.25">
      <c r="A940" s="15" t="str">
        <f>'PEDIDO 12'!$B$2</f>
        <v>Avare-Elson Marcio Siqueira Jamal</v>
      </c>
      <c r="B940" s="12" t="s">
        <v>446</v>
      </c>
      <c r="C940" s="1">
        <f>IFERROR(VLOOKUP(1169,'PEDIDO 12'!$C$2:$E$230,3,0),0)</f>
        <v>0</v>
      </c>
      <c r="D940" s="1">
        <f>IFERROR(VLOOKUP(1170,'PEDIDO 12'!$C$2:$E$230,3,0),0)</f>
        <v>0</v>
      </c>
      <c r="E940" s="1">
        <f>IFERROR(VLOOKUP(1171,'PEDIDO 12'!$C$2:$E$230,3,0),0)</f>
        <v>0</v>
      </c>
      <c r="F940" s="1">
        <f>IFERROR(VLOOKUP(1172,'PEDIDO 12'!$C$2:$E$230,3,0),0)</f>
        <v>0</v>
      </c>
      <c r="G940" s="18">
        <f t="shared" si="22"/>
        <v>0</v>
      </c>
    </row>
    <row r="941" spans="1:7" ht="15.75" x14ac:dyDescent="0.25">
      <c r="A941" s="15" t="str">
        <f>'PEDIDO 12'!$B$2</f>
        <v>Avare-Elson Marcio Siqueira Jamal</v>
      </c>
      <c r="B941" s="12" t="s">
        <v>447</v>
      </c>
      <c r="C941" s="1">
        <f>IFERROR(VLOOKUP(1173,'PEDIDO 12'!$C$2:$E$230,3,0),0)</f>
        <v>0</v>
      </c>
      <c r="D941" s="1">
        <f>IFERROR(VLOOKUP(1174,'PEDIDO 12'!$C$2:$E$230,3,0),0)</f>
        <v>0</v>
      </c>
      <c r="E941" s="1">
        <f>IFERROR(VLOOKUP(1175,'PEDIDO 12'!$C$2:$E$230,3,0),0)</f>
        <v>0</v>
      </c>
      <c r="F941" s="1">
        <f>IFERROR(VLOOKUP(1176,'PEDIDO 12'!$C$2:$E$230,3,0),0)</f>
        <v>0</v>
      </c>
      <c r="G941" s="18">
        <f t="shared" si="22"/>
        <v>0</v>
      </c>
    </row>
    <row r="942" spans="1:7" ht="15.75" x14ac:dyDescent="0.25">
      <c r="A942" s="15" t="str">
        <f>'PEDIDO 12'!$B$2</f>
        <v>Avare-Elson Marcio Siqueira Jamal</v>
      </c>
      <c r="B942" s="12" t="s">
        <v>448</v>
      </c>
      <c r="C942" s="1">
        <f>IFERROR(VLOOKUP(1249,'PEDIDO 12'!$C$2:$E$230,3,0),0)</f>
        <v>0</v>
      </c>
      <c r="D942" s="1">
        <f>IFERROR(VLOOKUP(1250,'PEDIDO 12'!$C$2:$E$230,3,0),0)</f>
        <v>0</v>
      </c>
      <c r="E942" s="1">
        <f>IFERROR(VLOOKUP(1251,'PEDIDO 12'!$C$2:$E$230,3,0),0)</f>
        <v>0</v>
      </c>
      <c r="F942" s="1">
        <f>IFERROR(VLOOKUP(1252,'PEDIDO 12'!$C$2:$E$230,3,0),0)</f>
        <v>0</v>
      </c>
      <c r="G942" s="18">
        <f t="shared" si="22"/>
        <v>0</v>
      </c>
    </row>
    <row r="943" spans="1:7" ht="15.75" x14ac:dyDescent="0.25">
      <c r="A943" s="15" t="str">
        <f>'PEDIDO 12'!$B$2</f>
        <v>Avare-Elson Marcio Siqueira Jamal</v>
      </c>
      <c r="B943" s="12" t="s">
        <v>449</v>
      </c>
      <c r="C943" s="1">
        <f>IFERROR(VLOOKUP(1177,'PEDIDO 12'!$C$2:$E$230,3,0),0)</f>
        <v>0</v>
      </c>
      <c r="D943" s="1">
        <f>IFERROR(VLOOKUP(1178,'PEDIDO 12'!$C$2:$E$230,3,0),0)</f>
        <v>0</v>
      </c>
      <c r="E943" s="1">
        <f>IFERROR(VLOOKUP(1179,'PEDIDO 12'!$C$2:$E$230,3,0),0)</f>
        <v>0</v>
      </c>
      <c r="F943" s="1">
        <f>IFERROR(VLOOKUP(1180,'PEDIDO 12'!$C$2:$E$230,3,0),0)</f>
        <v>0</v>
      </c>
      <c r="G943" s="18">
        <f t="shared" si="22"/>
        <v>0</v>
      </c>
    </row>
    <row r="944" spans="1:7" ht="15.75" x14ac:dyDescent="0.25">
      <c r="A944" s="15" t="str">
        <f>'PEDIDO 12'!$B$2</f>
        <v>Avare-Elson Marcio Siqueira Jamal</v>
      </c>
      <c r="B944" s="12" t="s">
        <v>450</v>
      </c>
      <c r="C944" s="1">
        <f>IFERROR(VLOOKUP(1181,'PEDIDO 12'!$C$2:$E$230,3,0),0)</f>
        <v>0</v>
      </c>
      <c r="D944" s="1">
        <f>IFERROR(VLOOKUP(1182,'PEDIDO 12'!$C$2:$E$230,3,0),0)</f>
        <v>0</v>
      </c>
      <c r="E944" s="1">
        <f>IFERROR(VLOOKUP(1183,'PEDIDO 12'!$C$2:$E$230,3,0),0)</f>
        <v>0</v>
      </c>
      <c r="F944" s="1">
        <f>IFERROR(VLOOKUP(1184,'PEDIDO 12'!$C$2:$E$230,3,0),0)</f>
        <v>0</v>
      </c>
      <c r="G944" s="18">
        <f t="shared" si="22"/>
        <v>0</v>
      </c>
    </row>
    <row r="945" spans="1:7" ht="15.75" x14ac:dyDescent="0.25">
      <c r="A945" s="15" t="str">
        <f>'PEDIDO 12'!$B$2</f>
        <v>Avare-Elson Marcio Siqueira Jamal</v>
      </c>
      <c r="B945" s="12" t="s">
        <v>451</v>
      </c>
      <c r="C945" s="1">
        <f>IFERROR(VLOOKUP(1185,'PEDIDO 12'!$C$2:$E$230,3,0),0)</f>
        <v>0</v>
      </c>
      <c r="D945" s="1">
        <f>IFERROR(VLOOKUP(1186,'PEDIDO 12'!$C$2:$E$230,3,0),0)</f>
        <v>0</v>
      </c>
      <c r="E945" s="1">
        <f>IFERROR(VLOOKUP(1187,'PEDIDO 12'!$C$2:$E$230,3,0),0)</f>
        <v>0</v>
      </c>
      <c r="F945" s="1">
        <f>IFERROR(VLOOKUP(1188,'PEDIDO 12'!$C$2:$E$230,3,0),0)</f>
        <v>0</v>
      </c>
      <c r="G945" s="18">
        <f t="shared" si="22"/>
        <v>0</v>
      </c>
    </row>
    <row r="946" spans="1:7" ht="15.75" x14ac:dyDescent="0.25">
      <c r="A946" s="15" t="str">
        <f>'PEDIDO 12'!$B$2</f>
        <v>Avare-Elson Marcio Siqueira Jamal</v>
      </c>
      <c r="B946" s="12" t="s">
        <v>452</v>
      </c>
      <c r="C946" s="1">
        <f>IFERROR(VLOOKUP(1189,'PEDIDO 12'!$C$2:$E$230,3,0),0)</f>
        <v>0</v>
      </c>
      <c r="D946" s="1">
        <f>IFERROR(VLOOKUP(1190,'PEDIDO 12'!$C$2:$E$230,3,0),0)</f>
        <v>0</v>
      </c>
      <c r="E946" s="1">
        <f>IFERROR(VLOOKUP(1191,'PEDIDO 12'!$C$2:$E$230,3,0),0)</f>
        <v>0</v>
      </c>
      <c r="F946" s="1">
        <f>IFERROR(VLOOKUP(1192,'PEDIDO 12'!$C$2:$E$230,3,0),0)</f>
        <v>0</v>
      </c>
      <c r="G946" s="18">
        <f t="shared" si="22"/>
        <v>0</v>
      </c>
    </row>
    <row r="947" spans="1:7" ht="15.75" x14ac:dyDescent="0.25">
      <c r="A947" s="15" t="str">
        <f>'PEDIDO 12'!$B$2</f>
        <v>Avare-Elson Marcio Siqueira Jamal</v>
      </c>
      <c r="B947" s="12" t="s">
        <v>453</v>
      </c>
      <c r="C947" s="1">
        <f>IFERROR(VLOOKUP(1193,'PEDIDO 12'!$C$2:$E$230,3,0),0)</f>
        <v>0</v>
      </c>
      <c r="D947" s="1">
        <f>IFERROR(VLOOKUP(1194,'PEDIDO 12'!$C$2:$E$230,3,0),0)</f>
        <v>0</v>
      </c>
      <c r="E947" s="1">
        <f>IFERROR(VLOOKUP(1195,'PEDIDO 12'!$C$2:$E$230,3,0),0)</f>
        <v>0</v>
      </c>
      <c r="F947" s="1">
        <f>IFERROR(VLOOKUP(1196,'PEDIDO 12'!$C$2:$E$230,3,0),0)</f>
        <v>0</v>
      </c>
      <c r="G947" s="18">
        <f t="shared" si="22"/>
        <v>0</v>
      </c>
    </row>
    <row r="948" spans="1:7" ht="15.75" x14ac:dyDescent="0.25">
      <c r="A948" s="15" t="str">
        <f>'PEDIDO 12'!$B$2</f>
        <v>Avare-Elson Marcio Siqueira Jamal</v>
      </c>
      <c r="B948" s="12" t="s">
        <v>454</v>
      </c>
      <c r="C948" s="1">
        <f>IFERROR(VLOOKUP(1197,'PEDIDO 12'!$C$2:$E$230,3,0),0)</f>
        <v>0</v>
      </c>
      <c r="D948" s="1">
        <f>IFERROR(VLOOKUP(1198,'PEDIDO 12'!$C$2:$E$230,3,0),0)</f>
        <v>0</v>
      </c>
      <c r="E948" s="1">
        <f>IFERROR(VLOOKUP(1199,'PEDIDO 12'!$C$2:$E$230,3,0),0)</f>
        <v>0</v>
      </c>
      <c r="F948" s="1">
        <f>IFERROR(VLOOKUP(1200,'PEDIDO 12'!$C$2:$E$230,3,0),0)</f>
        <v>0</v>
      </c>
      <c r="G948" s="18">
        <f t="shared" si="22"/>
        <v>0</v>
      </c>
    </row>
    <row r="949" spans="1:7" ht="15.75" x14ac:dyDescent="0.25">
      <c r="A949" s="15" t="str">
        <f>'PEDIDO 12'!$B$2</f>
        <v>Avare-Elson Marcio Siqueira Jamal</v>
      </c>
      <c r="B949" s="12" t="s">
        <v>455</v>
      </c>
      <c r="C949" s="1">
        <f>IFERROR(VLOOKUP(1201,'PEDIDO 12'!$C$2:$E$230,3,0),0)</f>
        <v>0</v>
      </c>
      <c r="D949" s="1">
        <f>IFERROR(VLOOKUP(1202,'PEDIDO 12'!$C$2:$E$230,3,0),0)</f>
        <v>0</v>
      </c>
      <c r="E949" s="1">
        <f>IFERROR(VLOOKUP(1203,'PEDIDO 12'!$C$2:$E$230,3,0),0)</f>
        <v>0</v>
      </c>
      <c r="F949" s="1">
        <f>IFERROR(VLOOKUP(1204,'PEDIDO 12'!$C$2:$E$230,3,0),0)</f>
        <v>0</v>
      </c>
      <c r="G949" s="18">
        <f t="shared" si="22"/>
        <v>0</v>
      </c>
    </row>
    <row r="950" spans="1:7" ht="15.75" x14ac:dyDescent="0.25">
      <c r="A950" s="15" t="str">
        <f>'PEDIDO 12'!$B$2</f>
        <v>Avare-Elson Marcio Siqueira Jamal</v>
      </c>
      <c r="B950" s="12" t="s">
        <v>456</v>
      </c>
      <c r="C950" s="1">
        <f>IFERROR(VLOOKUP(1205,'PEDIDO 12'!$C$2:$E$230,3,0),0)</f>
        <v>0</v>
      </c>
      <c r="D950" s="1">
        <f>IFERROR(VLOOKUP(1206,'PEDIDO 12'!$C$2:$E$230,3,0),0)</f>
        <v>0</v>
      </c>
      <c r="E950" s="1">
        <f>IFERROR(VLOOKUP(1207,'PEDIDO 12'!$C$2:$E$230,3,0),0)</f>
        <v>0</v>
      </c>
      <c r="F950" s="1">
        <f>IFERROR(VLOOKUP(1208,'PEDIDO 12'!$C$2:$E$230,3,0),0)</f>
        <v>0</v>
      </c>
      <c r="G950" s="18">
        <f t="shared" si="22"/>
        <v>0</v>
      </c>
    </row>
    <row r="951" spans="1:7" ht="15.75" x14ac:dyDescent="0.25">
      <c r="A951" s="15" t="str">
        <f>'PEDIDO 12'!$B$2</f>
        <v>Avare-Elson Marcio Siqueira Jamal</v>
      </c>
      <c r="B951" s="12" t="s">
        <v>457</v>
      </c>
      <c r="C951" s="1">
        <f>IFERROR(VLOOKUP(1213,'PEDIDO 12'!$C$2:$E$230,3,0),0)</f>
        <v>0</v>
      </c>
      <c r="D951" s="1">
        <f>IFERROR(VLOOKUP(1214,'PEDIDO 12'!$C$2:$E$230,3,0),0)</f>
        <v>0</v>
      </c>
      <c r="E951" s="1">
        <f>IFERROR(VLOOKUP(1215,'PEDIDO 12'!$C$2:$E$230,3,0),0)</f>
        <v>0</v>
      </c>
      <c r="F951" s="10">
        <f>IFERROR(VLOOKUP(1216,'PEDIDO 12'!$C$2:$E$230,3,0),0)</f>
        <v>0</v>
      </c>
      <c r="G951" s="18">
        <f t="shared" si="22"/>
        <v>0</v>
      </c>
    </row>
    <row r="952" spans="1:7" ht="15.75" x14ac:dyDescent="0.25">
      <c r="A952" s="15" t="str">
        <f>'PEDIDO 12'!$B$2</f>
        <v>Avare-Elson Marcio Siqueira Jamal</v>
      </c>
      <c r="B952" s="12" t="s">
        <v>458</v>
      </c>
      <c r="C952" s="1">
        <f>IFERROR(VLOOKUP(1209,'PEDIDO 12'!$C$2:$E$230,3,0),0)</f>
        <v>0</v>
      </c>
      <c r="D952" s="1">
        <f>IFERROR(VLOOKUP(1210,'PEDIDO 12'!$C$2:$E$230,3,0),0)</f>
        <v>0</v>
      </c>
      <c r="E952" s="1">
        <f>IFERROR(VLOOKUP(1211,'PEDIDO 12'!$C$2:$E$230,3,0),0)</f>
        <v>0</v>
      </c>
      <c r="F952" s="1">
        <f>IFERROR(VLOOKUP(1212,'PEDIDO 12'!$C$2:$E$230,3,0),0)</f>
        <v>0</v>
      </c>
      <c r="G952" s="18">
        <f t="shared" si="22"/>
        <v>0</v>
      </c>
    </row>
    <row r="953" spans="1:7" ht="15.75" x14ac:dyDescent="0.25">
      <c r="A953" s="15" t="str">
        <f>'PEDIDO 12'!$B$2</f>
        <v>Avare-Elson Marcio Siqueira Jamal</v>
      </c>
      <c r="B953" s="12" t="s">
        <v>459</v>
      </c>
      <c r="C953" s="1">
        <f>IFERROR(VLOOKUP(1217,'PEDIDO 12'!$C$2:$E$230,3,0),0)</f>
        <v>0</v>
      </c>
      <c r="D953" s="1">
        <f>IFERROR(VLOOKUP(1218,'PEDIDO 12'!$C$2:$E$230,3,0),0)</f>
        <v>0</v>
      </c>
      <c r="E953" s="1">
        <f>IFERROR(VLOOKUP(1219,'PEDIDO 12'!$C$2:$E$230,3,0),0)</f>
        <v>0</v>
      </c>
      <c r="F953" s="1">
        <f>IFERROR(VLOOKUP(1220,'PEDIDO 12'!$C$2:$E$230,3,0),0)</f>
        <v>0</v>
      </c>
      <c r="G953" s="18">
        <f t="shared" si="22"/>
        <v>0</v>
      </c>
    </row>
    <row r="954" spans="1:7" ht="15.75" x14ac:dyDescent="0.25">
      <c r="A954" s="15" t="str">
        <f>'PEDIDO 12'!$B$2</f>
        <v>Avare-Elson Marcio Siqueira Jamal</v>
      </c>
      <c r="B954" s="12" t="s">
        <v>461</v>
      </c>
      <c r="C954" s="1">
        <f>IFERROR(VLOOKUP(1225,'PEDIDO 12'!$C$2:$E$230,3,0),0)</f>
        <v>0</v>
      </c>
      <c r="D954" s="1">
        <f>IFERROR(VLOOKUP(1226,'PEDIDO 12'!$C$2:$E$230,3,0),0)</f>
        <v>0</v>
      </c>
      <c r="E954" s="1">
        <f>IFERROR(VLOOKUP(1227,'PEDIDO 12'!$C$2:$E$230,3,0),0)</f>
        <v>0</v>
      </c>
      <c r="F954" s="1">
        <f>IFERROR(VLOOKUP(1228,'PEDIDO 12'!$C$2:$E$230,3,0),0)</f>
        <v>0</v>
      </c>
      <c r="G954" s="18">
        <f t="shared" si="22"/>
        <v>0</v>
      </c>
    </row>
    <row r="955" spans="1:7" ht="15.75" x14ac:dyDescent="0.25">
      <c r="A955" s="15" t="str">
        <f>'PEDIDO 12'!$B$2</f>
        <v>Avare-Elson Marcio Siqueira Jamal</v>
      </c>
      <c r="B955" s="12" t="s">
        <v>462</v>
      </c>
      <c r="C955" s="1">
        <f>IFERROR(VLOOKUP(1221,'PEDIDO 12'!$C$2:$E$230,3,0),0)</f>
        <v>0</v>
      </c>
      <c r="D955" s="1">
        <f>IFERROR(VLOOKUP(1222,'PEDIDO 12'!$C$2:$E$230,3,0),0)</f>
        <v>0</v>
      </c>
      <c r="E955" s="1">
        <f>IFERROR(VLOOKUP(1223,'PEDIDO 12'!$C$2:$E$230,3,0),0)</f>
        <v>0</v>
      </c>
      <c r="F955" s="1">
        <f>IFERROR(VLOOKUP(1224,'PEDIDO 12'!$C$2:$E$230,3,0),0)</f>
        <v>0</v>
      </c>
      <c r="G955" s="18">
        <f t="shared" si="22"/>
        <v>0</v>
      </c>
    </row>
    <row r="956" spans="1:7" ht="15.75" x14ac:dyDescent="0.25">
      <c r="A956" s="15" t="str">
        <f>'PEDIDO 12'!$B$2</f>
        <v>Avare-Elson Marcio Siqueira Jamal</v>
      </c>
      <c r="B956" s="12" t="s">
        <v>460</v>
      </c>
      <c r="C956" s="1">
        <f>IFERROR(VLOOKUP(1229,'PEDIDO 12'!$C$2:$E$230,3,0),0)</f>
        <v>0</v>
      </c>
      <c r="D956" s="1">
        <f>IFERROR(VLOOKUP(1230,'PEDIDO 12'!$C$2:$E$230,3,0),0)</f>
        <v>0</v>
      </c>
      <c r="E956" s="1">
        <f>IFERROR(VLOOKUP(1231,'PEDIDO 12'!$C$2:$E$230,3,0),0)</f>
        <v>0</v>
      </c>
      <c r="F956" s="1">
        <f>IFERROR(VLOOKUP(1232,'PEDIDO 12'!$C$2:$E$230,3,0),0)</f>
        <v>0</v>
      </c>
      <c r="G956" s="18">
        <f t="shared" si="22"/>
        <v>0</v>
      </c>
    </row>
    <row r="957" spans="1:7" ht="15.75" x14ac:dyDescent="0.25">
      <c r="A957" s="15" t="str">
        <f>'PEDIDO 12'!$B$2</f>
        <v>Avare-Elson Marcio Siqueira Jamal</v>
      </c>
      <c r="B957" s="12" t="s">
        <v>463</v>
      </c>
      <c r="C957" s="1">
        <f>IFERROR(VLOOKUP(1233,'PEDIDO 12'!$C$2:$E$230,3,0),0)</f>
        <v>0</v>
      </c>
      <c r="D957" s="1">
        <f>IFERROR(VLOOKUP(1234,'PEDIDO 12'!$C$2:$E$230,3,0),0)</f>
        <v>0</v>
      </c>
      <c r="E957" s="1">
        <f>IFERROR(VLOOKUP(1235,'PEDIDO 12'!$C$2:$E$230,3,0),0)</f>
        <v>0</v>
      </c>
      <c r="F957" s="1">
        <f>IFERROR(VLOOKUP(1236,'PEDIDO 12'!$C$2:$E$230,3,0),0)</f>
        <v>0</v>
      </c>
      <c r="G957" s="18">
        <f t="shared" si="22"/>
        <v>0</v>
      </c>
    </row>
    <row r="958" spans="1:7" ht="15.75" x14ac:dyDescent="0.25">
      <c r="A958" s="15" t="str">
        <f>'PEDIDO 12'!$B$2</f>
        <v>Avare-Elson Marcio Siqueira Jamal</v>
      </c>
      <c r="B958" s="12" t="s">
        <v>464</v>
      </c>
      <c r="C958" s="1">
        <f>IFERROR(VLOOKUP(1237,'PEDIDO 12'!$C$2:$E$230,3,0),0)</f>
        <v>0</v>
      </c>
      <c r="D958" s="1">
        <f>IFERROR(VLOOKUP(1238,'PEDIDO 12'!$C$2:$E$230,3,0),0)</f>
        <v>0</v>
      </c>
      <c r="E958" s="1">
        <f>IFERROR(VLOOKUP(1239,'PEDIDO 12'!$C$2:$E$230,3,0),0)</f>
        <v>0</v>
      </c>
      <c r="F958" s="1">
        <f>IFERROR(VLOOKUP(1240,'PEDIDO 12'!$C$2:$E$230,3,0),0)</f>
        <v>0</v>
      </c>
      <c r="G958" s="18">
        <f t="shared" ref="G958:G970" si="23">SUM(C958+D958+E958+F958)</f>
        <v>0</v>
      </c>
    </row>
    <row r="959" spans="1:7" ht="15.75" x14ac:dyDescent="0.25">
      <c r="A959" s="15" t="str">
        <f>'PEDIDO 12'!$B$2</f>
        <v>Avare-Elson Marcio Siqueira Jamal</v>
      </c>
      <c r="B959" s="12" t="s">
        <v>465</v>
      </c>
      <c r="C959" s="1">
        <f>IFERROR(VLOOKUP(1241,'PEDIDO 12'!$C$2:$E$230,3,0),0)</f>
        <v>0</v>
      </c>
      <c r="D959" s="1">
        <f>IFERROR(VLOOKUP(1242,'PEDIDO 12'!$C$2:$E$230,3,0),0)</f>
        <v>0</v>
      </c>
      <c r="E959" s="1">
        <f>IFERROR(VLOOKUP(1243,'PEDIDO 12'!$C$2:$E$230,3,0),0)</f>
        <v>0</v>
      </c>
      <c r="F959" s="1">
        <f>IFERROR(VLOOKUP(1244,'PEDIDO 12'!$C$2:$E$230,3,0),0)</f>
        <v>0</v>
      </c>
      <c r="G959" s="18">
        <f t="shared" si="23"/>
        <v>0</v>
      </c>
    </row>
    <row r="960" spans="1:7" ht="15.75" x14ac:dyDescent="0.25">
      <c r="A960" s="15" t="str">
        <f>'PEDIDO 12'!$B$2</f>
        <v>Avare-Elson Marcio Siqueira Jamal</v>
      </c>
      <c r="B960" s="12" t="s">
        <v>466</v>
      </c>
      <c r="C960" s="1">
        <f>IFERROR(VLOOKUP(1245,'PEDIDO 12'!$C$2:$E$230,3,0),0)</f>
        <v>0</v>
      </c>
      <c r="D960" s="1">
        <f>IFERROR(VLOOKUP(1246,'PEDIDO 12'!$C$2:$E$230,3,0),0)</f>
        <v>0</v>
      </c>
      <c r="E960" s="1">
        <f>IFERROR(VLOOKUP(1247,'PEDIDO 12'!$C$2:$E$230,3,0),0)</f>
        <v>0</v>
      </c>
      <c r="F960" s="1">
        <f>IFERROR(VLOOKUP(1248,'PEDIDO 12'!$C$2:$E$230,3,0),0)</f>
        <v>0</v>
      </c>
      <c r="G960" s="18">
        <f t="shared" si="23"/>
        <v>0</v>
      </c>
    </row>
    <row r="961" spans="1:7" ht="15.75" x14ac:dyDescent="0.25">
      <c r="A961" s="15" t="str">
        <f>'PEDIDO 12'!$B$2</f>
        <v>Avare-Elson Marcio Siqueira Jamal</v>
      </c>
      <c r="B961" s="12" t="s">
        <v>467</v>
      </c>
      <c r="C961" s="1">
        <f>IFERROR(VLOOKUP(25714,'PEDIDO 12'!$C$2:$E$230,3,0),0)</f>
        <v>0</v>
      </c>
      <c r="D961" s="1"/>
      <c r="E961" s="1"/>
      <c r="F961" s="1"/>
      <c r="G961" s="18">
        <f t="shared" si="23"/>
        <v>0</v>
      </c>
    </row>
    <row r="962" spans="1:7" ht="15.75" x14ac:dyDescent="0.25">
      <c r="A962" s="15" t="str">
        <f>'PEDIDO 12'!$B$2</f>
        <v>Avare-Elson Marcio Siqueira Jamal</v>
      </c>
      <c r="B962" s="12" t="s">
        <v>468</v>
      </c>
      <c r="C962" s="1">
        <f>IFERROR(VLOOKUP(25712,'PEDIDO 12'!$C$2:$E$230,3,0),0)</f>
        <v>0</v>
      </c>
      <c r="D962" s="1"/>
      <c r="E962" s="1"/>
      <c r="F962" s="1"/>
      <c r="G962" s="18">
        <f t="shared" si="23"/>
        <v>0</v>
      </c>
    </row>
    <row r="963" spans="1:7" ht="15.75" x14ac:dyDescent="0.25">
      <c r="A963" s="15" t="str">
        <f>'PEDIDO 12'!$B$2</f>
        <v>Avare-Elson Marcio Siqueira Jamal</v>
      </c>
      <c r="B963" s="12" t="s">
        <v>469</v>
      </c>
      <c r="C963" s="1">
        <f>IFERROR(VLOOKUP(25713,'PEDIDO 12'!$C$2:$E$230,3,0),0)</f>
        <v>0</v>
      </c>
      <c r="D963" s="1"/>
      <c r="E963" s="1"/>
      <c r="F963" s="1"/>
      <c r="G963" s="18">
        <f t="shared" si="23"/>
        <v>0</v>
      </c>
    </row>
    <row r="964" spans="1:7" ht="15.75" x14ac:dyDescent="0.25">
      <c r="A964" s="15" t="str">
        <f>'PEDIDO 12'!$B$2</f>
        <v>Avare-Elson Marcio Siqueira Jamal</v>
      </c>
      <c r="B964" s="12" t="s">
        <v>470</v>
      </c>
      <c r="C964" s="1">
        <f>IFERROR(VLOOKUP(1260,'PEDIDO 12'!$C$2:$E$230,3,0),0)</f>
        <v>0</v>
      </c>
      <c r="D964" s="1"/>
      <c r="E964" s="1"/>
      <c r="F964" s="1"/>
      <c r="G964" s="18">
        <f t="shared" si="23"/>
        <v>0</v>
      </c>
    </row>
    <row r="965" spans="1:7" ht="15.75" x14ac:dyDescent="0.25">
      <c r="A965" s="15" t="str">
        <f>'PEDIDO 12'!$B$2</f>
        <v>Avare-Elson Marcio Siqueira Jamal</v>
      </c>
      <c r="B965" s="12" t="s">
        <v>471</v>
      </c>
      <c r="C965" s="1">
        <f>IFERROR(VLOOKUP(1261,'PEDIDO 12'!$C$2:$E$230,3,0),0)</f>
        <v>0</v>
      </c>
      <c r="D965" s="1"/>
      <c r="E965" s="1"/>
      <c r="F965" s="1"/>
      <c r="G965" s="18">
        <f t="shared" si="23"/>
        <v>0</v>
      </c>
    </row>
    <row r="966" spans="1:7" ht="15.75" x14ac:dyDescent="0.25">
      <c r="A966" s="15" t="str">
        <f>'PEDIDO 12'!$B$2</f>
        <v>Avare-Elson Marcio Siqueira Jamal</v>
      </c>
      <c r="B966" s="12" t="s">
        <v>472</v>
      </c>
      <c r="C966" s="1">
        <f>IFERROR(VLOOKUP(1262,'PEDIDO 12'!$C$2:$E$230,3,0),0)</f>
        <v>0</v>
      </c>
      <c r="D966" s="1"/>
      <c r="E966" s="1"/>
      <c r="F966" s="1"/>
      <c r="G966" s="18">
        <f t="shared" si="23"/>
        <v>0</v>
      </c>
    </row>
    <row r="967" spans="1:7" ht="15.75" x14ac:dyDescent="0.25">
      <c r="A967" s="15" t="str">
        <f>'PEDIDO 12'!$B$2</f>
        <v>Avare-Elson Marcio Siqueira Jamal</v>
      </c>
      <c r="B967" s="12" t="s">
        <v>473</v>
      </c>
      <c r="C967" s="1">
        <f>IFERROR(VLOOKUP(1263,'PEDIDO 12'!$C$2:$E$230,3,0),0)</f>
        <v>0</v>
      </c>
      <c r="D967" s="1"/>
      <c r="E967" s="1"/>
      <c r="F967" s="1"/>
      <c r="G967" s="18">
        <f t="shared" si="23"/>
        <v>0</v>
      </c>
    </row>
    <row r="968" spans="1:7" ht="15.75" x14ac:dyDescent="0.25">
      <c r="A968" s="15" t="str">
        <f>'PEDIDO 12'!$B$2</f>
        <v>Avare-Elson Marcio Siqueira Jamal</v>
      </c>
      <c r="B968" s="12" t="s">
        <v>474</v>
      </c>
      <c r="C968" s="1">
        <f>IFERROR(VLOOKUP(1264,'PEDIDO 12'!$C$2:$E$230,3,0),0)</f>
        <v>0</v>
      </c>
      <c r="D968" s="1"/>
      <c r="E968" s="1"/>
      <c r="F968" s="1"/>
      <c r="G968" s="18">
        <f t="shared" si="23"/>
        <v>0</v>
      </c>
    </row>
    <row r="969" spans="1:7" ht="15.75" x14ac:dyDescent="0.25">
      <c r="A969" s="15" t="str">
        <f>'PEDIDO 12'!$B$2</f>
        <v>Avare-Elson Marcio Siqueira Jamal</v>
      </c>
      <c r="B969" s="12" t="s">
        <v>475</v>
      </c>
      <c r="C969" s="1">
        <f>IFERROR(VLOOKUP(1265,'PEDIDO 12'!$C$2:$E$230,3,0),0)</f>
        <v>0</v>
      </c>
      <c r="D969" s="1"/>
      <c r="E969" s="1"/>
      <c r="F969" s="1"/>
      <c r="G969" s="18">
        <f t="shared" si="23"/>
        <v>0</v>
      </c>
    </row>
    <row r="970" spans="1:7" ht="15.75" x14ac:dyDescent="0.25">
      <c r="A970" s="15" t="str">
        <f>'PEDIDO 12'!$B$2</f>
        <v>Avare-Elson Marcio Siqueira Jamal</v>
      </c>
      <c r="B970" s="12" t="s">
        <v>476</v>
      </c>
      <c r="C970" s="1">
        <f>IFERROR(VLOOKUP(1266,'PEDIDO 12'!$C$2:$E$230,3,0),0)</f>
        <v>0</v>
      </c>
      <c r="D970" s="1"/>
      <c r="E970" s="1"/>
      <c r="F970" s="1"/>
      <c r="G970" s="18">
        <f t="shared" si="23"/>
        <v>0</v>
      </c>
    </row>
    <row r="971" spans="1:7" ht="15.75" x14ac:dyDescent="0.25">
      <c r="A971" s="15" t="str">
        <f>'PEDIDO 12'!$B$2</f>
        <v>Avare-Elson Marcio Siqueira Jamal</v>
      </c>
      <c r="B971" s="12" t="s">
        <v>477</v>
      </c>
      <c r="C971" s="1">
        <f>IFERROR(VLOOKUP(1268,'PEDIDO 12'!$C$2:$E$230,3,0),0)</f>
        <v>0</v>
      </c>
      <c r="D971" s="1">
        <f>IFERROR(VLOOKUP(1269,'PEDIDO 12'!$C$2:$E$230,3,0),0)</f>
        <v>0</v>
      </c>
      <c r="E971" s="1">
        <f>IFERROR(VLOOKUP(1270,'PEDIDO 12'!$C$2:$E$230,3,0),0)</f>
        <v>0</v>
      </c>
      <c r="F971" s="1">
        <f>IFERROR(VLOOKUP(1271,'PEDIDO 12'!$C$2:$E$230,3,0),0)</f>
        <v>0</v>
      </c>
      <c r="G971" s="18">
        <f>SUM(C971+D971+E971+F971)</f>
        <v>0</v>
      </c>
    </row>
    <row r="972" spans="1:7" ht="15.75" x14ac:dyDescent="0.25">
      <c r="A972" s="17"/>
      <c r="B972" s="13"/>
      <c r="C972" s="13"/>
      <c r="D972" s="13"/>
      <c r="E972" s="13"/>
      <c r="F972" s="13"/>
      <c r="G972" s="19"/>
    </row>
    <row r="973" spans="1:7" ht="15.75" x14ac:dyDescent="0.25">
      <c r="A973" s="17"/>
      <c r="B973" s="13"/>
      <c r="C973" s="13"/>
      <c r="D973" s="13"/>
      <c r="E973" s="13"/>
      <c r="F973" s="13"/>
      <c r="G973" s="19"/>
    </row>
    <row r="974" spans="1:7" ht="15.75" x14ac:dyDescent="0.25">
      <c r="A974" s="15" t="str">
        <f>'PEDIDO 13'!$B$2</f>
        <v>Avare-Patricia Sueli Crivari Lopes Me</v>
      </c>
      <c r="B974" s="12" t="s">
        <v>399</v>
      </c>
      <c r="C974" s="1">
        <f>IFERROR(VLOOKUP(1,'PEDIDO 13'!$C$2:$E$230,3,0),0)</f>
        <v>0</v>
      </c>
      <c r="D974" s="1">
        <f>IFERROR(VLOOKUP(2,'PEDIDO 13'!$C$2:$E$230,3,0),0)</f>
        <v>0</v>
      </c>
      <c r="E974" s="1">
        <f>IFERROR(VLOOKUP(3,'PEDIDO 13'!$C$2:$E$230,3,0),0)</f>
        <v>0</v>
      </c>
      <c r="F974" s="1">
        <f>IFERROR(VLOOKUP(282,'PEDIDO 13'!$C$2:$E$230,3,0),0)</f>
        <v>50</v>
      </c>
      <c r="G974" s="18">
        <f>SUM(C974+D974+E974+F974)</f>
        <v>50</v>
      </c>
    </row>
    <row r="975" spans="1:7" ht="15.75" x14ac:dyDescent="0.25">
      <c r="A975" s="15" t="str">
        <f>'PEDIDO 13'!$B$2</f>
        <v>Avare-Patricia Sueli Crivari Lopes Me</v>
      </c>
      <c r="B975" s="12" t="s">
        <v>400</v>
      </c>
      <c r="C975" s="1">
        <f>IFERROR(VLOOKUP(5,'PEDIDO 13'!$C$2:$E$230,3,0),0)</f>
        <v>0</v>
      </c>
      <c r="D975" s="1">
        <f>IFERROR(VLOOKUP(6,'PEDIDO 13'!$C$2:$E$230,3,0),0)</f>
        <v>0</v>
      </c>
      <c r="E975" s="1">
        <f>IFERROR(VLOOKUP(7,'PEDIDO 13'!$C$2:$E$230,3,0),0)</f>
        <v>0</v>
      </c>
      <c r="F975" s="1">
        <f>IFERROR(VLOOKUP(258,'PEDIDO 13'!$C$2:$E$230,3,0),0)</f>
        <v>60</v>
      </c>
      <c r="G975" s="18">
        <f t="shared" ref="G975:G1038" si="24">SUM(C975+D975+E975+F975)</f>
        <v>60</v>
      </c>
    </row>
    <row r="976" spans="1:7" ht="15.75" x14ac:dyDescent="0.25">
      <c r="A976" s="15" t="str">
        <f>'PEDIDO 13'!$B$2</f>
        <v>Avare-Patricia Sueli Crivari Lopes Me</v>
      </c>
      <c r="B976" s="12" t="s">
        <v>401</v>
      </c>
      <c r="C976" s="1">
        <f>IFERROR(VLOOKUP(13,'PEDIDO 13'!$C$2:$E$230,3,0),0)</f>
        <v>0</v>
      </c>
      <c r="D976" s="1">
        <f>IFERROR(VLOOKUP(14,'PEDIDO 13'!$C$2:$E$230,3,0),0)</f>
        <v>0</v>
      </c>
      <c r="E976" s="1">
        <f>IFERROR(VLOOKUP(15,'PEDIDO 13'!$C$2:$E$230,3,0),0)</f>
        <v>0</v>
      </c>
      <c r="F976" s="1">
        <f>IFERROR(VLOOKUP(289,'PEDIDO 13'!$C$2:$E$230,3,0),0)</f>
        <v>0</v>
      </c>
      <c r="G976" s="18">
        <f t="shared" si="24"/>
        <v>0</v>
      </c>
    </row>
    <row r="977" spans="1:7" ht="15.75" x14ac:dyDescent="0.25">
      <c r="A977" s="15" t="str">
        <f>'PEDIDO 13'!$B$2</f>
        <v>Avare-Patricia Sueli Crivari Lopes Me</v>
      </c>
      <c r="B977" s="12" t="s">
        <v>402</v>
      </c>
      <c r="C977" s="1">
        <f>IFERROR(VLOOKUP(267,'PEDIDO 13'!$C$2:$E$230,3,0),0)</f>
        <v>0</v>
      </c>
      <c r="D977" s="1">
        <f>IFERROR(VLOOKUP(268,'PEDIDO 13'!$C$2:$E$230,3,0),0)</f>
        <v>0</v>
      </c>
      <c r="E977" s="1">
        <f>IFERROR(VLOOKUP(270,'PEDIDO 13'!$C$2:$E$230,3,0),0)</f>
        <v>0</v>
      </c>
      <c r="F977" s="1">
        <f>IFERROR(VLOOKUP(269,'PEDIDO 13'!$C$2:$E$230,3,0),0)</f>
        <v>0</v>
      </c>
      <c r="G977" s="18">
        <f t="shared" si="24"/>
        <v>0</v>
      </c>
    </row>
    <row r="978" spans="1:7" ht="15.75" x14ac:dyDescent="0.25">
      <c r="A978" s="15" t="str">
        <f>'PEDIDO 13'!$B$2</f>
        <v>Avare-Patricia Sueli Crivari Lopes Me</v>
      </c>
      <c r="B978" s="12" t="s">
        <v>403</v>
      </c>
      <c r="C978" s="1">
        <f>IFERROR(VLOOKUP(17,'PEDIDO 13'!$C$2:$E$230,3,0),0)</f>
        <v>0</v>
      </c>
      <c r="D978" s="1">
        <f>IFERROR(VLOOKUP(18,'PEDIDO 13'!$C$2:$E$230,3,0),0)</f>
        <v>0</v>
      </c>
      <c r="E978" s="1">
        <f>IFERROR(VLOOKUP(19,'PEDIDO 13'!$C$2:$E$230,3,0),0)</f>
        <v>0</v>
      </c>
      <c r="F978" s="1">
        <f>IFERROR(VLOOKUP(290,'PEDIDO 13'!$C$2:$E$230,3,0),0)</f>
        <v>0</v>
      </c>
      <c r="G978" s="18">
        <f t="shared" si="24"/>
        <v>0</v>
      </c>
    </row>
    <row r="979" spans="1:7" ht="15.75" x14ac:dyDescent="0.25">
      <c r="A979" s="15" t="str">
        <f>'PEDIDO 13'!$B$2</f>
        <v>Avare-Patricia Sueli Crivari Lopes Me</v>
      </c>
      <c r="B979" s="12" t="s">
        <v>404</v>
      </c>
      <c r="C979" s="1">
        <f>IFERROR(VLOOKUP(23,'PEDIDO 13'!$C$2:$E$230,3,0),0)</f>
        <v>0</v>
      </c>
      <c r="D979" s="1">
        <f>IFERROR(VLOOKUP(24,'PEDIDO 13'!$C$2:$E$230,3,0),0)</f>
        <v>0</v>
      </c>
      <c r="E979" s="1">
        <f>IFERROR(VLOOKUP(25,'PEDIDO 13'!$C$2:$E$230,3,0),0)</f>
        <v>0</v>
      </c>
      <c r="F979" s="1">
        <f>IFERROR(VLOOKUP(291,'PEDIDO 13'!$C$2:$E$230,3,0),0)</f>
        <v>0</v>
      </c>
      <c r="G979" s="18">
        <f t="shared" si="24"/>
        <v>0</v>
      </c>
    </row>
    <row r="980" spans="1:7" ht="15.75" x14ac:dyDescent="0.25">
      <c r="A980" s="15" t="str">
        <f>'PEDIDO 13'!$B$2</f>
        <v>Avare-Patricia Sueli Crivari Lopes Me</v>
      </c>
      <c r="B980" s="12" t="s">
        <v>405</v>
      </c>
      <c r="C980" s="1">
        <f>IFERROR(VLOOKUP(27,'PEDIDO 13'!$C$2:$E$230,3,0),0)</f>
        <v>0</v>
      </c>
      <c r="D980" s="1">
        <f>IFERROR(VLOOKUP(28,'PEDIDO 13'!$C$2:$E$230,3,0),0)</f>
        <v>0</v>
      </c>
      <c r="E980" s="1">
        <f>IFERROR(VLOOKUP(29,'PEDIDO 13'!$C$2:$E$230,3,0),0)</f>
        <v>0</v>
      </c>
      <c r="F980" s="1">
        <f>IFERROR(VLOOKUP(292,'PEDIDO 13'!$C$2:$E$230,3,0),0)</f>
        <v>0</v>
      </c>
      <c r="G980" s="18">
        <f t="shared" si="24"/>
        <v>0</v>
      </c>
    </row>
    <row r="981" spans="1:7" ht="15.75" x14ac:dyDescent="0.25">
      <c r="A981" s="15" t="str">
        <f>'PEDIDO 13'!$B$2</f>
        <v>Avare-Patricia Sueli Crivari Lopes Me</v>
      </c>
      <c r="B981" s="12" t="s">
        <v>406</v>
      </c>
      <c r="C981" s="1">
        <f>IFERROR(VLOOKUP(227,'PEDIDO 13'!$C$2:$E$230,3,0),0)</f>
        <v>0</v>
      </c>
      <c r="D981" s="1">
        <f>IFERROR(VLOOKUP(228,'PEDIDO 13'!$C$2:$E$230,3,0),0)</f>
        <v>0</v>
      </c>
      <c r="E981" s="1">
        <f>IFERROR(VLOOKUP(229,'PEDIDO 13'!$C$2:$E$230,3,0),0)</f>
        <v>0</v>
      </c>
      <c r="F981" s="1">
        <f>IFERROR(VLOOKUP(230,'PEDIDO 13'!$C$2:$E$230,3,0),0)</f>
        <v>5</v>
      </c>
      <c r="G981" s="18">
        <f t="shared" si="24"/>
        <v>5</v>
      </c>
    </row>
    <row r="982" spans="1:7" ht="15.75" x14ac:dyDescent="0.25">
      <c r="A982" s="15" t="str">
        <f>'PEDIDO 13'!$B$2</f>
        <v>Avare-Patricia Sueli Crivari Lopes Me</v>
      </c>
      <c r="B982" s="12" t="s">
        <v>407</v>
      </c>
      <c r="C982" s="1">
        <f>IFERROR(VLOOKUP(231,'PEDIDO 13'!$C$2:$E$230,3,0),0)</f>
        <v>0</v>
      </c>
      <c r="D982" s="1">
        <f>IFERROR(VLOOKUP(232,'PEDIDO 13'!$C$2:$E$230,3,0),0)</f>
        <v>0</v>
      </c>
      <c r="E982" s="1">
        <f>IFERROR(VLOOKUP(234,'PEDIDO 13'!$C$2:$E$230,3,0),0)</f>
        <v>0</v>
      </c>
      <c r="F982" s="1">
        <f>IFERROR(VLOOKUP(233,'PEDIDO 13'!$C$2:$E$230,3,0),0)</f>
        <v>0</v>
      </c>
      <c r="G982" s="18">
        <f t="shared" si="24"/>
        <v>0</v>
      </c>
    </row>
    <row r="983" spans="1:7" ht="15.75" x14ac:dyDescent="0.25">
      <c r="A983" s="15" t="str">
        <f>'PEDIDO 13'!$B$2</f>
        <v>Avare-Patricia Sueli Crivari Lopes Me</v>
      </c>
      <c r="B983" s="12" t="s">
        <v>408</v>
      </c>
      <c r="C983" s="1">
        <f>IFERROR(VLOOKUP(237,'PEDIDO 13'!$C$2:$E$230,3,0),0)</f>
        <v>0</v>
      </c>
      <c r="D983" s="1">
        <f>IFERROR(VLOOKUP(238,'PEDIDO 13'!$C$2:$E$230,3,0),0)</f>
        <v>0</v>
      </c>
      <c r="E983" s="1">
        <f>IFERROR(VLOOKUP(240,'PEDIDO 13'!$C$2:$E$230,3,0),0)</f>
        <v>0</v>
      </c>
      <c r="F983" s="1">
        <f>IFERROR(VLOOKUP(239,'PEDIDO 13'!$C$2:$E$230,3,0),0)</f>
        <v>0</v>
      </c>
      <c r="G983" s="18">
        <f t="shared" si="24"/>
        <v>0</v>
      </c>
    </row>
    <row r="984" spans="1:7" ht="15.75" x14ac:dyDescent="0.25">
      <c r="A984" s="15" t="str">
        <f>'PEDIDO 13'!$B$2</f>
        <v>Avare-Patricia Sueli Crivari Lopes Me</v>
      </c>
      <c r="B984" s="12" t="s">
        <v>409</v>
      </c>
      <c r="C984" s="1">
        <f>IFERROR(VLOOKUP(25707,'PEDIDO 13'!$C$2:$E$230,3,0),0)</f>
        <v>0</v>
      </c>
      <c r="D984" s="1">
        <f>IFERROR(VLOOKUP(25708,'PEDIDO 13'!$C$2:$E$230,3,0),0)</f>
        <v>0</v>
      </c>
      <c r="E984" s="1">
        <f>IFERROR(VLOOKUP(25710,'PEDIDO 13'!$C$2:$E$230,3,0),0)</f>
        <v>0</v>
      </c>
      <c r="F984" s="1">
        <f>IFERROR(VLOOKUP(25709,'PEDIDO 13'!$C$2:$E$230,3,0),0)</f>
        <v>0</v>
      </c>
      <c r="G984" s="18">
        <f t="shared" si="24"/>
        <v>0</v>
      </c>
    </row>
    <row r="985" spans="1:7" ht="15.75" x14ac:dyDescent="0.25">
      <c r="A985" s="15" t="str">
        <f>'PEDIDO 13'!$B$2</f>
        <v>Avare-Patricia Sueli Crivari Lopes Me</v>
      </c>
      <c r="B985" s="12" t="s">
        <v>410</v>
      </c>
      <c r="C985" s="1">
        <f>IFERROR(VLOOKUP(25711,'PEDIDO 13'!$C$2:$E$230,3,0),0)</f>
        <v>0</v>
      </c>
      <c r="D985" s="1"/>
      <c r="E985" s="1"/>
      <c r="F985" s="1"/>
      <c r="G985" s="18">
        <f t="shared" si="24"/>
        <v>0</v>
      </c>
    </row>
    <row r="986" spans="1:7" ht="15.75" x14ac:dyDescent="0.25">
      <c r="A986" s="15" t="str">
        <f>'PEDIDO 13'!$B$2</f>
        <v>Avare-Patricia Sueli Crivari Lopes Me</v>
      </c>
      <c r="B986" s="12" t="s">
        <v>411</v>
      </c>
      <c r="C986" s="1">
        <f>IFERROR(VLOOKUP(35,'PEDIDO 13'!$C$2:$E$230,3,0),0)</f>
        <v>0</v>
      </c>
      <c r="D986" s="1">
        <f>IFERROR(VLOOKUP(36,'PEDIDO 13'!$C$2:$E$230,3,0),0)</f>
        <v>0</v>
      </c>
      <c r="E986" s="1">
        <f>IFERROR(VLOOKUP(37,'PEDIDO 13'!$C$2:$E$230,3,0),0)</f>
        <v>0</v>
      </c>
      <c r="F986" s="1">
        <f>IFERROR(VLOOKUP(294,'PEDIDO 13'!$C$2:$E$230,3,0),0)</f>
        <v>0</v>
      </c>
      <c r="G986" s="18">
        <f t="shared" si="24"/>
        <v>0</v>
      </c>
    </row>
    <row r="987" spans="1:7" ht="15.75" x14ac:dyDescent="0.25">
      <c r="A987" s="15" t="str">
        <f>'PEDIDO 13'!$B$2</f>
        <v>Avare-Patricia Sueli Crivari Lopes Me</v>
      </c>
      <c r="B987" s="12" t="s">
        <v>412</v>
      </c>
      <c r="C987" s="1">
        <f>IFERROR(VLOOKUP(39,'PEDIDO 13'!$C$2:$E$230,3,0),0)</f>
        <v>0</v>
      </c>
      <c r="D987" s="1">
        <f>IFERROR(VLOOKUP(40,'PEDIDO 13'!$C$2:$E$230,3,0),0)</f>
        <v>0</v>
      </c>
      <c r="E987" s="1">
        <f>IFERROR(VLOOKUP(42,'PEDIDO 13'!$C$2:$E$230,3,0),0)</f>
        <v>0</v>
      </c>
      <c r="F987" s="1">
        <f>IFERROR(VLOOKUP(295,'PEDIDO 13'!$C$2:$E$230,3,0),0)</f>
        <v>10</v>
      </c>
      <c r="G987" s="18">
        <f t="shared" si="24"/>
        <v>10</v>
      </c>
    </row>
    <row r="988" spans="1:7" ht="15.75" x14ac:dyDescent="0.25">
      <c r="A988" s="15" t="str">
        <f>'PEDIDO 13'!$B$2</f>
        <v>Avare-Patricia Sueli Crivari Lopes Me</v>
      </c>
      <c r="B988" s="12" t="s">
        <v>413</v>
      </c>
      <c r="C988" s="1">
        <f>IFERROR(VLOOKUP(44,'PEDIDO 13'!$C$2:$E$230,3,0),0)</f>
        <v>0</v>
      </c>
      <c r="D988" s="1">
        <f>IFERROR(VLOOKUP(45,'PEDIDO 13'!$C$2:$E$230,3,0),0)</f>
        <v>0</v>
      </c>
      <c r="E988" s="1">
        <f>IFERROR(VLOOKUP(46,'PEDIDO 13'!$C$2:$E$230,3,0),0)</f>
        <v>0</v>
      </c>
      <c r="F988" s="1">
        <f>IFERROR(VLOOKUP(283,'PEDIDO 13'!$C$2:$E$230,3,0),0)</f>
        <v>10</v>
      </c>
      <c r="G988" s="18">
        <f t="shared" si="24"/>
        <v>10</v>
      </c>
    </row>
    <row r="989" spans="1:7" ht="15.75" x14ac:dyDescent="0.25">
      <c r="A989" s="15" t="str">
        <f>'PEDIDO 13'!$B$2</f>
        <v>Avare-Patricia Sueli Crivari Lopes Me</v>
      </c>
      <c r="B989" s="12" t="s">
        <v>414</v>
      </c>
      <c r="C989" s="1">
        <f>IFERROR(VLOOKUP(48,'PEDIDO 13'!$C$2:$E$230,3,0),0)</f>
        <v>0</v>
      </c>
      <c r="D989" s="1">
        <f>IFERROR(VLOOKUP(49,'PEDIDO 13'!$C$2:$E$230,3,0),0)</f>
        <v>0</v>
      </c>
      <c r="E989" s="1">
        <f>IFERROR(VLOOKUP(50,'PEDIDO 13'!$C$2:$E$230,3,0),0)</f>
        <v>0</v>
      </c>
      <c r="F989" s="1">
        <f>IFERROR(VLOOKUP(298,'PEDIDO 13'!$C$2:$E$230,3,0),0)</f>
        <v>0</v>
      </c>
      <c r="G989" s="18">
        <f t="shared" si="24"/>
        <v>0</v>
      </c>
    </row>
    <row r="990" spans="1:7" ht="15.75" x14ac:dyDescent="0.25">
      <c r="A990" s="15" t="str">
        <f>'PEDIDO 13'!$B$2</f>
        <v>Avare-Patricia Sueli Crivari Lopes Me</v>
      </c>
      <c r="B990" s="12" t="s">
        <v>415</v>
      </c>
      <c r="C990" s="1">
        <f>IFERROR(VLOOKUP(52,'PEDIDO 13'!$C$2:$E$230,3,0),0)</f>
        <v>0</v>
      </c>
      <c r="D990" s="1">
        <f>IFERROR(VLOOKUP(53,'PEDIDO 13'!$C$2:$E$230,3,0),0)</f>
        <v>0</v>
      </c>
      <c r="E990" s="1">
        <f>IFERROR(VLOOKUP(54,'PEDIDO 13'!$C$2:$E$230,3,0),0)</f>
        <v>0</v>
      </c>
      <c r="F990" s="1">
        <f>IFERROR(VLOOKUP(299,'PEDIDO 13'!$C$2:$E$230,3,0),0)</f>
        <v>0</v>
      </c>
      <c r="G990" s="18">
        <f t="shared" si="24"/>
        <v>0</v>
      </c>
    </row>
    <row r="991" spans="1:7" ht="15.75" x14ac:dyDescent="0.25">
      <c r="A991" s="15" t="str">
        <f>'PEDIDO 13'!$B$2</f>
        <v>Avare-Patricia Sueli Crivari Lopes Me</v>
      </c>
      <c r="B991" s="12" t="s">
        <v>416</v>
      </c>
      <c r="C991" s="1">
        <f>IFERROR(VLOOKUP(56,'PEDIDO 13'!$C$2:$E$230,3,0),0)</f>
        <v>0</v>
      </c>
      <c r="D991" s="1">
        <f>IFERROR(VLOOKUP(61,'PEDIDO 13'!$C$2:$E$230,3,0),0)</f>
        <v>0</v>
      </c>
      <c r="E991" s="1">
        <f>IFERROR(VLOOKUP(58,'PEDIDO 13'!$C$2:$E$230,3,0),0)</f>
        <v>0</v>
      </c>
      <c r="F991" s="1">
        <f>IFERROR(VLOOKUP(300,'PEDIDO 13'!$C$2:$E$230,3,0),0)</f>
        <v>2</v>
      </c>
      <c r="G991" s="18">
        <f t="shared" si="24"/>
        <v>2</v>
      </c>
    </row>
    <row r="992" spans="1:7" ht="15.75" x14ac:dyDescent="0.25">
      <c r="A992" s="15" t="str">
        <f>'PEDIDO 13'!$B$2</f>
        <v>Avare-Patricia Sueli Crivari Lopes Me</v>
      </c>
      <c r="B992" s="12" t="s">
        <v>417</v>
      </c>
      <c r="C992" s="1">
        <f>IFERROR(VLOOKUP(60,'PEDIDO 13'!$C$2:$E$230,3,0),0)</f>
        <v>0</v>
      </c>
      <c r="D992" s="1">
        <f>IFERROR(VLOOKUP(120,'PEDIDO 13'!$C$2:$E$230,3,0),0)</f>
        <v>0</v>
      </c>
      <c r="E992" s="1">
        <f>IFERROR(VLOOKUP(62,'PEDIDO 13'!$C$2:$E$230,3,0),0)</f>
        <v>0</v>
      </c>
      <c r="F992" s="1">
        <f>IFERROR(VLOOKUP(301,'PEDIDO 13'!$C$2:$E$230,3,0),0)</f>
        <v>0</v>
      </c>
      <c r="G992" s="18">
        <f t="shared" si="24"/>
        <v>0</v>
      </c>
    </row>
    <row r="993" spans="1:7" ht="15.75" x14ac:dyDescent="0.25">
      <c r="A993" s="15" t="str">
        <f>'PEDIDO 13'!$B$2</f>
        <v>Avare-Patricia Sueli Crivari Lopes Me</v>
      </c>
      <c r="B993" s="12" t="s">
        <v>426</v>
      </c>
      <c r="C993" s="1">
        <f>IFERROR(VLOOKUP(112,'PEDIDO 13'!$C$2:$E$230,3,0),0)</f>
        <v>0</v>
      </c>
      <c r="D993" s="1">
        <f>IFERROR(VLOOKUP(113,'PEDIDO 13'!$C$2:$E$230,3,0),0)</f>
        <v>0</v>
      </c>
      <c r="E993" s="1">
        <f>IFERROR(VLOOKUP(114,'PEDIDO 13'!$C$2:$E$230,3,0),0)</f>
        <v>0</v>
      </c>
      <c r="F993" s="1">
        <f>IFERROR(VLOOKUP(296,'PEDIDO 13'!$C$2:$E$230,3,0),0)</f>
        <v>0</v>
      </c>
      <c r="G993" s="18">
        <f t="shared" si="24"/>
        <v>0</v>
      </c>
    </row>
    <row r="994" spans="1:7" ht="15.75" x14ac:dyDescent="0.25">
      <c r="A994" s="15" t="str">
        <f>'PEDIDO 13'!$B$2</f>
        <v>Avare-Patricia Sueli Crivari Lopes Me</v>
      </c>
      <c r="B994" s="12" t="s">
        <v>427</v>
      </c>
      <c r="C994" s="1">
        <f>IFERROR(VLOOKUP(116,'PEDIDO 13'!$C$2:$E$230,3,0),0)</f>
        <v>0</v>
      </c>
      <c r="D994" s="1">
        <f>IFERROR(VLOOKUP(117,'PEDIDO 13'!$C$2:$E$230,3,0),0)</f>
        <v>0</v>
      </c>
      <c r="E994" s="1">
        <f>IFERROR(VLOOKUP(118,'PEDIDO 13'!$C$2:$E$230,3,0),0)</f>
        <v>0</v>
      </c>
      <c r="F994" s="1">
        <f>IFERROR(VLOOKUP(293,'PEDIDO 13'!$C$2:$E$230,3,0),0)</f>
        <v>0</v>
      </c>
      <c r="G994" s="18">
        <f t="shared" si="24"/>
        <v>0</v>
      </c>
    </row>
    <row r="995" spans="1:7" ht="15.75" x14ac:dyDescent="0.25">
      <c r="A995" s="15" t="str">
        <f>'PEDIDO 13'!$B$2</f>
        <v>Avare-Patricia Sueli Crivari Lopes Me</v>
      </c>
      <c r="B995" s="12" t="s">
        <v>418</v>
      </c>
      <c r="C995" s="1">
        <f>IFERROR(VLOOKUP(963,'PEDIDO 13'!$C$2:$E$230,3,0),0)</f>
        <v>0</v>
      </c>
      <c r="D995" s="1">
        <f>IFERROR(VLOOKUP(965,'PEDIDO 13'!$C$2:$E$230,3,0),0)</f>
        <v>0</v>
      </c>
      <c r="E995" s="1">
        <f>IFERROR(VLOOKUP(966,'PEDIDO 13'!$C$2:$E$230,3,0),0)</f>
        <v>0</v>
      </c>
      <c r="F995" s="1">
        <f>IFERROR(VLOOKUP(964,'PEDIDO 13'!$C$2:$E$230,3,0),0)</f>
        <v>0</v>
      </c>
      <c r="G995" s="18">
        <f t="shared" si="24"/>
        <v>0</v>
      </c>
    </row>
    <row r="996" spans="1:7" ht="15.75" x14ac:dyDescent="0.25">
      <c r="A996" s="15" t="str">
        <f>'PEDIDO 13'!$B$2</f>
        <v>Avare-Patricia Sueli Crivari Lopes Me</v>
      </c>
      <c r="B996" s="12" t="s">
        <v>419</v>
      </c>
      <c r="C996" s="1">
        <f>IFERROR(VLOOKUP(2042,'PEDIDO 13'!$C$2:$E$230,3,0),0)</f>
        <v>0</v>
      </c>
      <c r="D996" s="1">
        <f>IFERROR(VLOOKUP(2041,'PEDIDO 13'!$C$2:$E$230,3,0),0)</f>
        <v>0</v>
      </c>
      <c r="E996" s="1">
        <f>IFERROR(VLOOKUP(2043,'PEDIDO 13'!$C$2:$E$230,3,0),0)</f>
        <v>0</v>
      </c>
      <c r="F996" s="1">
        <f>IFERROR(VLOOKUP(2040,'PEDIDO 13'!$C$2:$E$230,3,0),0)</f>
        <v>0</v>
      </c>
      <c r="G996" s="18">
        <f t="shared" si="24"/>
        <v>0</v>
      </c>
    </row>
    <row r="997" spans="1:7" ht="15.75" x14ac:dyDescent="0.25">
      <c r="A997" s="15" t="str">
        <f>'PEDIDO 13'!$B$2</f>
        <v>Avare-Patricia Sueli Crivari Lopes Me</v>
      </c>
      <c r="B997" s="12" t="s">
        <v>420</v>
      </c>
      <c r="C997" s="1">
        <f>IFERROR(VLOOKUP(2045,'PEDIDO 13'!$C$2:$E$230,3,0),0)</f>
        <v>0</v>
      </c>
      <c r="D997" s="1">
        <f>IFERROR(VLOOKUP(2046,'PEDIDO 13'!$C$2:$E$230,3,0),0)</f>
        <v>0</v>
      </c>
      <c r="E997" s="1">
        <f>IFERROR(VLOOKUP(2047,'PEDIDO 13'!$C$2:$E$230,3,0),0)</f>
        <v>0</v>
      </c>
      <c r="F997" s="1">
        <f>IFERROR(VLOOKUP(2048,'PEDIDO 13'!$C$2:$E$230,3,0),0)</f>
        <v>0</v>
      </c>
      <c r="G997" s="18">
        <f t="shared" si="24"/>
        <v>0</v>
      </c>
    </row>
    <row r="998" spans="1:7" ht="15.75" x14ac:dyDescent="0.25">
      <c r="A998" s="15" t="str">
        <f>'PEDIDO 13'!$B$2</f>
        <v>Avare-Patricia Sueli Crivari Lopes Me</v>
      </c>
      <c r="B998" s="12" t="s">
        <v>421</v>
      </c>
      <c r="C998" s="1">
        <f>IFERROR(VLOOKUP(2050,'PEDIDO 13'!$C$2:$E$230,3,0),0)</f>
        <v>0</v>
      </c>
      <c r="D998" s="1">
        <f>IFERROR(VLOOKUP(2051,'PEDIDO 13'!$C$2:$E$230,3,0),0)</f>
        <v>0</v>
      </c>
      <c r="E998" s="1">
        <f>IFERROR(VLOOKUP(2052,'PEDIDO 13'!$C$2:$E$230,3,0),0)</f>
        <v>0</v>
      </c>
      <c r="F998" s="1">
        <f>IFERROR(VLOOKUP(2053,'PEDIDO 13'!$C$2:$E$230,3,0),0)</f>
        <v>0</v>
      </c>
      <c r="G998" s="18">
        <f t="shared" si="24"/>
        <v>0</v>
      </c>
    </row>
    <row r="999" spans="1:7" ht="15.75" x14ac:dyDescent="0.25">
      <c r="A999" s="15" t="str">
        <f>'PEDIDO 13'!$B$2</f>
        <v>Avare-Patricia Sueli Crivari Lopes Me</v>
      </c>
      <c r="B999" s="12" t="s">
        <v>422</v>
      </c>
      <c r="C999" s="1">
        <f>IFERROR(VLOOKUP(216,'PEDIDO 13'!$C$2:$E$230,3,0),0)</f>
        <v>0</v>
      </c>
      <c r="D999" s="1">
        <f>IFERROR(VLOOKUP(217,'PEDIDO 13'!$C$2:$E$230,3,0),0)</f>
        <v>0</v>
      </c>
      <c r="E999" s="1">
        <f>IFERROR(VLOOKUP(218,'PEDIDO 13'!$C$2:$E$230,3,0),0)</f>
        <v>0</v>
      </c>
      <c r="F999" s="1">
        <f>IFERROR(VLOOKUP(305,'PEDIDO 13'!$C$2:$E$230,3,0),0)</f>
        <v>0</v>
      </c>
      <c r="G999" s="18">
        <f t="shared" si="24"/>
        <v>0</v>
      </c>
    </row>
    <row r="1000" spans="1:7" ht="15.75" x14ac:dyDescent="0.25">
      <c r="A1000" s="15" t="str">
        <f>'PEDIDO 13'!$B$2</f>
        <v>Avare-Patricia Sueli Crivari Lopes Me</v>
      </c>
      <c r="B1000" s="12" t="s">
        <v>423</v>
      </c>
      <c r="C1000" s="1">
        <f>IFERROR(VLOOKUP(100,'PEDIDO 13'!$C$2:$E$230,3,0),0)</f>
        <v>0</v>
      </c>
      <c r="D1000" s="1">
        <f>IFERROR(VLOOKUP(101,'PEDIDO 13'!$C$2:$E$230,3,0),0)</f>
        <v>0</v>
      </c>
      <c r="E1000" s="1">
        <f>IFERROR(VLOOKUP(102,'PEDIDO 13'!$C$2:$E$230,3,0),0)</f>
        <v>0</v>
      </c>
      <c r="F1000" s="1">
        <f>IFERROR(VLOOKUP(306,'PEDIDO 13'!$C$2:$E$230,3,0),0)</f>
        <v>0</v>
      </c>
      <c r="G1000" s="18">
        <f t="shared" si="24"/>
        <v>0</v>
      </c>
    </row>
    <row r="1001" spans="1:7" ht="15.75" x14ac:dyDescent="0.25">
      <c r="A1001" s="15" t="str">
        <f>'PEDIDO 13'!$B$2</f>
        <v>Avare-Patricia Sueli Crivari Lopes Me</v>
      </c>
      <c r="B1001" s="12" t="s">
        <v>424</v>
      </c>
      <c r="C1001" s="1">
        <f>IFERROR(VLOOKUP(104,'PEDIDO 13'!$C$2:$E$230,3,0),0)</f>
        <v>0</v>
      </c>
      <c r="D1001" s="1">
        <f>IFERROR(VLOOKUP(105,'PEDIDO 13'!$C$2:$E$230,3,0),0)</f>
        <v>0</v>
      </c>
      <c r="E1001" s="1">
        <f>IFERROR(VLOOKUP(106,'PEDIDO 13'!$C$2:$E$230,3,0),0)</f>
        <v>0</v>
      </c>
      <c r="F1001" s="1">
        <f>IFERROR(VLOOKUP(307,'PEDIDO 13'!$C$2:$E$230,3,0),0)</f>
        <v>0</v>
      </c>
      <c r="G1001" s="18">
        <f t="shared" si="24"/>
        <v>0</v>
      </c>
    </row>
    <row r="1002" spans="1:7" ht="15.75" x14ac:dyDescent="0.25">
      <c r="A1002" s="15" t="str">
        <f>'PEDIDO 13'!$B$2</f>
        <v>Avare-Patricia Sueli Crivari Lopes Me</v>
      </c>
      <c r="B1002" s="12" t="s">
        <v>425</v>
      </c>
      <c r="C1002" s="1">
        <f>IFERROR(VLOOKUP(400,'PEDIDO 13'!$C$2:$E$230,3,0),0)</f>
        <v>0</v>
      </c>
      <c r="D1002" s="1">
        <f>IFERROR(VLOOKUP(401,'PEDIDO 13'!$C$2:$E$230,3,0),0)</f>
        <v>0</v>
      </c>
      <c r="E1002" s="1">
        <f>IFERROR(VLOOKUP(402,'PEDIDO 13'!$C$2:$E$230,3,0),0)</f>
        <v>0</v>
      </c>
      <c r="F1002" s="1">
        <f>IFERROR(VLOOKUP(403,'PEDIDO 13'!$C$2:$E$230,3,0),0)</f>
        <v>0</v>
      </c>
      <c r="G1002" s="18">
        <f t="shared" si="24"/>
        <v>0</v>
      </c>
    </row>
    <row r="1003" spans="1:7" ht="15.75" x14ac:dyDescent="0.25">
      <c r="A1003" s="15" t="str">
        <f>'PEDIDO 13'!$B$2</f>
        <v>Avare-Patricia Sueli Crivari Lopes Me</v>
      </c>
      <c r="B1003" s="12" t="s">
        <v>428</v>
      </c>
      <c r="C1003" s="1">
        <f>IFERROR(VLOOKUP(22,'PEDIDO 13'!$C$2:$E$230,3,0),0)</f>
        <v>0</v>
      </c>
      <c r="D1003" s="1"/>
      <c r="E1003" s="1"/>
      <c r="F1003" s="1"/>
      <c r="G1003" s="18">
        <f t="shared" si="24"/>
        <v>0</v>
      </c>
    </row>
    <row r="1004" spans="1:7" ht="15.75" x14ac:dyDescent="0.25">
      <c r="A1004" s="15" t="str">
        <f>'PEDIDO 13'!$B$2</f>
        <v>Avare-Patricia Sueli Crivari Lopes Me</v>
      </c>
      <c r="B1004" s="12" t="s">
        <v>429</v>
      </c>
      <c r="C1004" s="1">
        <f>IFERROR(VLOOKUP(21,'PEDIDO 13'!$C$2:$E$230,3,0),0)</f>
        <v>0</v>
      </c>
      <c r="D1004" s="1"/>
      <c r="E1004" s="1"/>
      <c r="F1004" s="1"/>
      <c r="G1004" s="18">
        <f t="shared" si="24"/>
        <v>0</v>
      </c>
    </row>
    <row r="1005" spans="1:7" ht="15.75" x14ac:dyDescent="0.25">
      <c r="A1005" s="15" t="str">
        <f>'PEDIDO 13'!$B$2</f>
        <v>Avare-Patricia Sueli Crivari Lopes Me</v>
      </c>
      <c r="B1005" s="12" t="s">
        <v>430</v>
      </c>
      <c r="C1005" s="1">
        <f>IFERROR(VLOOKUP(1125,'PEDIDO 13'!$C$2:$E$230,3,0),0)</f>
        <v>0</v>
      </c>
      <c r="D1005" s="1">
        <f>IFERROR(VLOOKUP(1126,'PEDIDO 13'!$C$2:$E$230,3,0),0)</f>
        <v>0</v>
      </c>
      <c r="E1005" s="1">
        <f>IFERROR(VLOOKUP(1127,'PEDIDO 13'!$C$2:$E$230,3,0),0)</f>
        <v>0</v>
      </c>
      <c r="F1005" s="1">
        <f>IFERROR(VLOOKUP(1128,'PEDIDO 13'!$C$2:$E$230,3,0),0)</f>
        <v>0</v>
      </c>
      <c r="G1005" s="18">
        <f t="shared" si="24"/>
        <v>0</v>
      </c>
    </row>
    <row r="1006" spans="1:7" ht="15.75" x14ac:dyDescent="0.25">
      <c r="A1006" s="15" t="str">
        <f>'PEDIDO 13'!$B$2</f>
        <v>Avare-Patricia Sueli Crivari Lopes Me</v>
      </c>
      <c r="B1006" s="12" t="s">
        <v>431</v>
      </c>
      <c r="C1006" s="1">
        <f>IFERROR(VLOOKUP(1133,'PEDIDO 13'!$C$2:$E$230,3,0),0)</f>
        <v>0</v>
      </c>
      <c r="D1006" s="1">
        <f>IFERROR(VLOOKUP(1134,'PEDIDO 13'!$C$2:$E$230,3,0),0)</f>
        <v>0</v>
      </c>
      <c r="E1006" s="1">
        <f>IFERROR(VLOOKUP(1135,'PEDIDO 13'!$C$2:$E$230,3,0),0)</f>
        <v>0</v>
      </c>
      <c r="F1006" s="1">
        <f>IFERROR(VLOOKUP(1136,'PEDIDO 13'!$C$2:$E$230,3,0),0)</f>
        <v>0</v>
      </c>
      <c r="G1006" s="18">
        <f t="shared" si="24"/>
        <v>0</v>
      </c>
    </row>
    <row r="1007" spans="1:7" ht="15.75" x14ac:dyDescent="0.25">
      <c r="A1007" s="15" t="str">
        <f>'PEDIDO 13'!$B$2</f>
        <v>Avare-Patricia Sueli Crivari Lopes Me</v>
      </c>
      <c r="B1007" s="12" t="s">
        <v>432</v>
      </c>
      <c r="C1007" s="1">
        <f>IFERROR(VLOOKUP(1105,'PEDIDO 13'!$C$2:$E$230,3,0),0)</f>
        <v>0</v>
      </c>
      <c r="D1007" s="1">
        <f>IFERROR(VLOOKUP(1106,'PEDIDO 13'!$C$2:$E$230,3,0),0)</f>
        <v>0</v>
      </c>
      <c r="E1007" s="1">
        <f>IFERROR(VLOOKUP(1107,'PEDIDO 13'!$C$2:$E$230,3,0),0)</f>
        <v>0</v>
      </c>
      <c r="F1007" s="1">
        <f>IFERROR(VLOOKUP(1108,'PEDIDO 13'!$C$2:$E$230,3,0),0)</f>
        <v>0</v>
      </c>
      <c r="G1007" s="18">
        <f t="shared" si="24"/>
        <v>0</v>
      </c>
    </row>
    <row r="1008" spans="1:7" ht="15.75" x14ac:dyDescent="0.25">
      <c r="A1008" s="15" t="str">
        <f>'PEDIDO 13'!$B$2</f>
        <v>Avare-Patricia Sueli Crivari Lopes Me</v>
      </c>
      <c r="B1008" s="12" t="s">
        <v>433</v>
      </c>
      <c r="C1008" s="1">
        <f>IFERROR(VLOOKUP(1109,'PEDIDO 13'!$C$2:$E$230,3,0),0)</f>
        <v>0</v>
      </c>
      <c r="D1008" s="1">
        <f>IFERROR(VLOOKUP(1110,'PEDIDO 13'!$C$2:$E$230,3,0),0)</f>
        <v>0</v>
      </c>
      <c r="E1008" s="1">
        <f>IFERROR(VLOOKUP(1111,'PEDIDO 13'!$C$2:$E$230,3,0),0)</f>
        <v>0</v>
      </c>
      <c r="F1008" s="1">
        <f>IFERROR(VLOOKUP(1112,'PEDIDO 13'!$C$2:$E$230,3,0),0)</f>
        <v>0</v>
      </c>
      <c r="G1008" s="18">
        <f t="shared" si="24"/>
        <v>0</v>
      </c>
    </row>
    <row r="1009" spans="1:7" ht="15.75" x14ac:dyDescent="0.25">
      <c r="A1009" s="15" t="str">
        <f>'PEDIDO 13'!$B$2</f>
        <v>Avare-Patricia Sueli Crivari Lopes Me</v>
      </c>
      <c r="B1009" s="12" t="s">
        <v>434</v>
      </c>
      <c r="C1009" s="1">
        <f>IFERROR(VLOOKUP(1113,'PEDIDO 13'!$C$2:$E$230,3,0),0)</f>
        <v>0</v>
      </c>
      <c r="D1009" s="1">
        <f>IFERROR(VLOOKUP(1114,'PEDIDO 13'!$C$2:$E$230,3,0),0)</f>
        <v>0</v>
      </c>
      <c r="E1009" s="1">
        <f>IFERROR(VLOOKUP(1115,'PEDIDO 13'!$C$2:$E$230,3,0),0)</f>
        <v>0</v>
      </c>
      <c r="F1009" s="1">
        <f>IFERROR(VLOOKUP(1116,'PEDIDO 13'!$C$2:$E$230,3,0),0)</f>
        <v>0</v>
      </c>
      <c r="G1009" s="18">
        <f t="shared" si="24"/>
        <v>0</v>
      </c>
    </row>
    <row r="1010" spans="1:7" ht="15.75" x14ac:dyDescent="0.25">
      <c r="A1010" s="15" t="str">
        <f>'PEDIDO 13'!$B$2</f>
        <v>Avare-Patricia Sueli Crivari Lopes Me</v>
      </c>
      <c r="B1010" s="12" t="s">
        <v>435</v>
      </c>
      <c r="C1010" s="1">
        <f>IFERROR(VLOOKUP(1117,'PEDIDO 13'!$C$2:$E$230,3,0),0)</f>
        <v>0</v>
      </c>
      <c r="D1010" s="1">
        <f>IFERROR(VLOOKUP(1118,'PEDIDO 13'!$C$2:$E$230,3,0),0)</f>
        <v>0</v>
      </c>
      <c r="E1010" s="1">
        <f>IFERROR(VLOOKUP(1119,'PEDIDO 13'!$C$2:$E$230,3,0),0)</f>
        <v>0</v>
      </c>
      <c r="F1010" s="1">
        <f>IFERROR(VLOOKUP(1120,'PEDIDO 13'!$C$2:$E$230,3,0),0)</f>
        <v>0</v>
      </c>
      <c r="G1010" s="18">
        <f t="shared" si="24"/>
        <v>0</v>
      </c>
    </row>
    <row r="1011" spans="1:7" ht="15.75" x14ac:dyDescent="0.25">
      <c r="A1011" s="15" t="str">
        <f>'PEDIDO 13'!$B$2</f>
        <v>Avare-Patricia Sueli Crivari Lopes Me</v>
      </c>
      <c r="B1011" s="12" t="s">
        <v>436</v>
      </c>
      <c r="C1011" s="1">
        <f>IFERROR(VLOOKUP(1121,'PEDIDO 13'!$C$2:$E$230,3,0),0)</f>
        <v>0</v>
      </c>
      <c r="D1011" s="1">
        <f>IFERROR(VLOOKUP(1122,'PEDIDO 13'!$C$2:$E$230,3,0),0)</f>
        <v>0</v>
      </c>
      <c r="E1011" s="1">
        <f>IFERROR(VLOOKUP(1123,'PEDIDO 13'!$C$2:$E$230,3,0),0)</f>
        <v>0</v>
      </c>
      <c r="F1011" s="1">
        <f>IFERROR(VLOOKUP(1124,'PEDIDO 13'!$C$2:$E$230,3,0),0)</f>
        <v>0</v>
      </c>
      <c r="G1011" s="18">
        <f t="shared" si="24"/>
        <v>0</v>
      </c>
    </row>
    <row r="1012" spans="1:7" ht="15.75" x14ac:dyDescent="0.25">
      <c r="A1012" s="15" t="str">
        <f>'PEDIDO 13'!$B$2</f>
        <v>Avare-Patricia Sueli Crivari Lopes Me</v>
      </c>
      <c r="B1012" s="12" t="s">
        <v>437</v>
      </c>
      <c r="C1012" s="1">
        <f>IFERROR(VLOOKUP(1129,'PEDIDO 13'!$C$2:$E$230,3,0),0)</f>
        <v>0</v>
      </c>
      <c r="D1012" s="1">
        <f>IFERROR(VLOOKUP(1130,'PEDIDO 13'!$C$2:$E$230,3,0),0)</f>
        <v>0</v>
      </c>
      <c r="E1012" s="1">
        <f>IFERROR(VLOOKUP(1131,'PEDIDO 13'!$C$2:$E$230,3,0),0)</f>
        <v>0</v>
      </c>
      <c r="F1012" s="1">
        <f>IFERROR(VLOOKUP(1132,'PEDIDO 13'!$C$2:$E$230,3,0),0)</f>
        <v>0</v>
      </c>
      <c r="G1012" s="18">
        <f t="shared" si="24"/>
        <v>0</v>
      </c>
    </row>
    <row r="1013" spans="1:7" ht="15.75" x14ac:dyDescent="0.25">
      <c r="A1013" s="15" t="str">
        <f>'PEDIDO 13'!$B$2</f>
        <v>Avare-Patricia Sueli Crivari Lopes Me</v>
      </c>
      <c r="B1013" s="12" t="s">
        <v>438</v>
      </c>
      <c r="C1013" s="1">
        <f>IFERROR(VLOOKUP(1137,'PEDIDO 13'!$C$2:$E$230,3,0),0)</f>
        <v>0</v>
      </c>
      <c r="D1013" s="1">
        <f>IFERROR(VLOOKUP(1138,'PEDIDO 13'!$C$2:$E$230,3,0),0)</f>
        <v>0</v>
      </c>
      <c r="E1013" s="1">
        <f>IFERROR(VLOOKUP(1139,'PEDIDO 13'!$C$2:$E$230,3,0),0)</f>
        <v>0</v>
      </c>
      <c r="F1013" s="1">
        <f>IFERROR(VLOOKUP(1140,'PEDIDO 13'!$C$2:$E$230,3,0),0)</f>
        <v>0</v>
      </c>
      <c r="G1013" s="18">
        <f t="shared" si="24"/>
        <v>0</v>
      </c>
    </row>
    <row r="1014" spans="1:7" ht="15.75" x14ac:dyDescent="0.25">
      <c r="A1014" s="15" t="str">
        <f>'PEDIDO 13'!$B$2</f>
        <v>Avare-Patricia Sueli Crivari Lopes Me</v>
      </c>
      <c r="B1014" s="12" t="s">
        <v>439</v>
      </c>
      <c r="C1014" s="1">
        <f>IFERROR(VLOOKUP(1141,'PEDIDO 13'!$C$2:$E$230,3,0),0)</f>
        <v>0</v>
      </c>
      <c r="D1014" s="1">
        <f>IFERROR(VLOOKUP(1142,'PEDIDO 13'!$C$2:$E$230,3,0),0)</f>
        <v>0</v>
      </c>
      <c r="E1014" s="1">
        <f>IFERROR(VLOOKUP(1143,'PEDIDO 13'!$C$2:$E$230,3,0),0)</f>
        <v>0</v>
      </c>
      <c r="F1014" s="1">
        <f>IFERROR(VLOOKUP(1144,'PEDIDO 13'!$C$2:$E$230,3,0),0)</f>
        <v>0</v>
      </c>
      <c r="G1014" s="18">
        <f t="shared" si="24"/>
        <v>0</v>
      </c>
    </row>
    <row r="1015" spans="1:7" ht="15.75" x14ac:dyDescent="0.25">
      <c r="A1015" s="15" t="str">
        <f>'PEDIDO 13'!$B$2</f>
        <v>Avare-Patricia Sueli Crivari Lopes Me</v>
      </c>
      <c r="B1015" s="12" t="s">
        <v>440</v>
      </c>
      <c r="C1015" s="1">
        <f>IFERROR(VLOOKUP(1145,'PEDIDO 13'!$C$2:$E$230,3,0),0)</f>
        <v>0</v>
      </c>
      <c r="D1015" s="1">
        <f>IFERROR(VLOOKUP(1146,'PEDIDO 13'!$C$2:$E$230,3,0),0)</f>
        <v>0</v>
      </c>
      <c r="E1015" s="1">
        <f>IFERROR(VLOOKUP(1147,'PEDIDO 13'!$C$2:$E$230,3,0),0)</f>
        <v>0</v>
      </c>
      <c r="F1015" s="1">
        <f>IFERROR(VLOOKUP(1148,'PEDIDO 13'!$C$2:$E$230,3,0),0)</f>
        <v>0</v>
      </c>
      <c r="G1015" s="18">
        <f t="shared" si="24"/>
        <v>0</v>
      </c>
    </row>
    <row r="1016" spans="1:7" ht="15.75" x14ac:dyDescent="0.25">
      <c r="A1016" s="15" t="str">
        <f>'PEDIDO 13'!$B$2</f>
        <v>Avare-Patricia Sueli Crivari Lopes Me</v>
      </c>
      <c r="B1016" s="12" t="s">
        <v>441</v>
      </c>
      <c r="C1016" s="1">
        <f>IFERROR(VLOOKUP(1149,'PEDIDO 13'!$C$2:$E$230,3,0),0)</f>
        <v>0</v>
      </c>
      <c r="D1016" s="1">
        <f>IFERROR(VLOOKUP(1150,'PEDIDO 13'!$C$2:$E$230,3,0),0)</f>
        <v>0</v>
      </c>
      <c r="E1016" s="1">
        <f>IFERROR(VLOOKUP(1151,'PEDIDO 13'!$C$2:$E$230,3,0),0)</f>
        <v>0</v>
      </c>
      <c r="F1016" s="1">
        <f>IFERROR(VLOOKUP(1152,'PEDIDO 13'!$C$2:$E$230,3,0),0)</f>
        <v>0</v>
      </c>
      <c r="G1016" s="18">
        <f t="shared" si="24"/>
        <v>0</v>
      </c>
    </row>
    <row r="1017" spans="1:7" ht="15.75" x14ac:dyDescent="0.25">
      <c r="A1017" s="15" t="str">
        <f>'PEDIDO 13'!$B$2</f>
        <v>Avare-Patricia Sueli Crivari Lopes Me</v>
      </c>
      <c r="B1017" s="12" t="s">
        <v>442</v>
      </c>
      <c r="C1017" s="1">
        <f>IFERROR(VLOOKUP(1153,'PEDIDO 13'!$C$2:$E$230,3,0),0)</f>
        <v>0</v>
      </c>
      <c r="D1017" s="1">
        <f>IFERROR(VLOOKUP(1154,'PEDIDO 13'!$C$2:$E$230,3,0),0)</f>
        <v>0</v>
      </c>
      <c r="E1017" s="1">
        <f>IFERROR(VLOOKUP(1155,'PEDIDO 13'!$C$2:$E$230,3,0),0)</f>
        <v>0</v>
      </c>
      <c r="F1017" s="1">
        <f>IFERROR(VLOOKUP(1156,'PEDIDO 13'!$C$2:$E$230,3,0),0)</f>
        <v>0</v>
      </c>
      <c r="G1017" s="18">
        <f t="shared" si="24"/>
        <v>0</v>
      </c>
    </row>
    <row r="1018" spans="1:7" ht="15.75" x14ac:dyDescent="0.25">
      <c r="A1018" s="15" t="str">
        <f>'PEDIDO 13'!$B$2</f>
        <v>Avare-Patricia Sueli Crivari Lopes Me</v>
      </c>
      <c r="B1018" s="12" t="s">
        <v>443</v>
      </c>
      <c r="C1018" s="1">
        <f>IFERROR(VLOOKUP(1157,'PEDIDO 13'!$C$2:$E$230,3,0),0)</f>
        <v>0</v>
      </c>
      <c r="D1018" s="1">
        <f>IFERROR(VLOOKUP(1158,'PEDIDO 13'!$C$2:$E$230,3,0),0)</f>
        <v>0</v>
      </c>
      <c r="E1018" s="1">
        <f>IFERROR(VLOOKUP(1159,'PEDIDO 13'!$C$2:$E$230,3,0),0)</f>
        <v>0</v>
      </c>
      <c r="F1018" s="1">
        <f>IFERROR(VLOOKUP(1160,'PEDIDO 13'!$C$2:$E$230,3,0),0)</f>
        <v>0</v>
      </c>
      <c r="G1018" s="18">
        <f t="shared" si="24"/>
        <v>0</v>
      </c>
    </row>
    <row r="1019" spans="1:7" ht="15.75" x14ac:dyDescent="0.25">
      <c r="A1019" s="15" t="str">
        <f>'PEDIDO 13'!$B$2</f>
        <v>Avare-Patricia Sueli Crivari Lopes Me</v>
      </c>
      <c r="B1019" s="12" t="s">
        <v>444</v>
      </c>
      <c r="C1019" s="1">
        <f>IFERROR(VLOOKUP(1161,'PEDIDO 13'!$C$2:$E$230,3,0),0)</f>
        <v>0</v>
      </c>
      <c r="D1019" s="1">
        <f>IFERROR(VLOOKUP(1162,'PEDIDO 13'!$C$2:$E$230,3,0),0)</f>
        <v>0</v>
      </c>
      <c r="E1019" s="1">
        <f>IFERROR(VLOOKUP(1163,'PEDIDO 13'!$C$2:$E$230,3,0),0)</f>
        <v>0</v>
      </c>
      <c r="F1019" s="1">
        <f>IFERROR(VLOOKUP(1164,'PEDIDO 13'!$C$2:$E$230,3,0),0)</f>
        <v>0</v>
      </c>
      <c r="G1019" s="18">
        <f t="shared" si="24"/>
        <v>0</v>
      </c>
    </row>
    <row r="1020" spans="1:7" ht="15.75" x14ac:dyDescent="0.25">
      <c r="A1020" s="15" t="str">
        <f>'PEDIDO 13'!$B$2</f>
        <v>Avare-Patricia Sueli Crivari Lopes Me</v>
      </c>
      <c r="B1020" s="12" t="s">
        <v>445</v>
      </c>
      <c r="C1020" s="1">
        <f>IFERROR(VLOOKUP(1165,'PEDIDO 13'!$C$2:$E$230,3,0),0)</f>
        <v>0</v>
      </c>
      <c r="D1020" s="1">
        <f>IFERROR(VLOOKUP(1166,'PEDIDO 13'!$C$2:$E$230,3,0),0)</f>
        <v>0</v>
      </c>
      <c r="E1020" s="1">
        <f>IFERROR(VLOOKUP(1167,'PEDIDO 13'!$C$2:$E$230,3,0),0)</f>
        <v>0</v>
      </c>
      <c r="F1020" s="1">
        <f>IFERROR(VLOOKUP(1168,'PEDIDO 13'!$C$2:$E$230,3,0),0)</f>
        <v>0</v>
      </c>
      <c r="G1020" s="18">
        <f t="shared" si="24"/>
        <v>0</v>
      </c>
    </row>
    <row r="1021" spans="1:7" ht="15.75" x14ac:dyDescent="0.25">
      <c r="A1021" s="15" t="str">
        <f>'PEDIDO 13'!$B$2</f>
        <v>Avare-Patricia Sueli Crivari Lopes Me</v>
      </c>
      <c r="B1021" s="12" t="s">
        <v>446</v>
      </c>
      <c r="C1021" s="1">
        <f>IFERROR(VLOOKUP(1169,'PEDIDO 13'!$C$2:$E$230,3,0),0)</f>
        <v>0</v>
      </c>
      <c r="D1021" s="1">
        <f>IFERROR(VLOOKUP(1170,'PEDIDO 13'!$C$2:$E$230,3,0),0)</f>
        <v>0</v>
      </c>
      <c r="E1021" s="1">
        <f>IFERROR(VLOOKUP(1171,'PEDIDO 13'!$C$2:$E$230,3,0),0)</f>
        <v>0</v>
      </c>
      <c r="F1021" s="1">
        <f>IFERROR(VLOOKUP(1172,'PEDIDO 13'!$C$2:$E$230,3,0),0)</f>
        <v>0</v>
      </c>
      <c r="G1021" s="18">
        <f t="shared" si="24"/>
        <v>0</v>
      </c>
    </row>
    <row r="1022" spans="1:7" ht="15.75" x14ac:dyDescent="0.25">
      <c r="A1022" s="15" t="str">
        <f>'PEDIDO 13'!$B$2</f>
        <v>Avare-Patricia Sueli Crivari Lopes Me</v>
      </c>
      <c r="B1022" s="12" t="s">
        <v>447</v>
      </c>
      <c r="C1022" s="1">
        <f>IFERROR(VLOOKUP(1173,'PEDIDO 13'!$C$2:$E$230,3,0),0)</f>
        <v>0</v>
      </c>
      <c r="D1022" s="1">
        <f>IFERROR(VLOOKUP(1174,'PEDIDO 13'!$C$2:$E$230,3,0),0)</f>
        <v>0</v>
      </c>
      <c r="E1022" s="1">
        <f>IFERROR(VLOOKUP(1175,'PEDIDO 13'!$C$2:$E$230,3,0),0)</f>
        <v>0</v>
      </c>
      <c r="F1022" s="1">
        <f>IFERROR(VLOOKUP(1176,'PEDIDO 13'!$C$2:$E$230,3,0),0)</f>
        <v>0</v>
      </c>
      <c r="G1022" s="18">
        <f t="shared" si="24"/>
        <v>0</v>
      </c>
    </row>
    <row r="1023" spans="1:7" ht="15.75" x14ac:dyDescent="0.25">
      <c r="A1023" s="15" t="str">
        <f>'PEDIDO 13'!$B$2</f>
        <v>Avare-Patricia Sueli Crivari Lopes Me</v>
      </c>
      <c r="B1023" s="12" t="s">
        <v>448</v>
      </c>
      <c r="C1023" s="1">
        <f>IFERROR(VLOOKUP(1249,'PEDIDO 13'!$C$2:$E$230,3,0),0)</f>
        <v>0</v>
      </c>
      <c r="D1023" s="1">
        <f>IFERROR(VLOOKUP(1250,'PEDIDO 13'!$C$2:$E$230,3,0),0)</f>
        <v>0</v>
      </c>
      <c r="E1023" s="1">
        <f>IFERROR(VLOOKUP(1251,'PEDIDO 13'!$C$2:$E$230,3,0),0)</f>
        <v>0</v>
      </c>
      <c r="F1023" s="1">
        <f>IFERROR(VLOOKUP(1252,'PEDIDO 13'!$C$2:$E$230,3,0),0)</f>
        <v>0</v>
      </c>
      <c r="G1023" s="18">
        <f t="shared" si="24"/>
        <v>0</v>
      </c>
    </row>
    <row r="1024" spans="1:7" ht="15.75" x14ac:dyDescent="0.25">
      <c r="A1024" s="15" t="str">
        <f>'PEDIDO 13'!$B$2</f>
        <v>Avare-Patricia Sueli Crivari Lopes Me</v>
      </c>
      <c r="B1024" s="12" t="s">
        <v>449</v>
      </c>
      <c r="C1024" s="1">
        <f>IFERROR(VLOOKUP(1177,'PEDIDO 13'!$C$2:$E$230,3,0),0)</f>
        <v>0</v>
      </c>
      <c r="D1024" s="1">
        <f>IFERROR(VLOOKUP(1178,'PEDIDO 13'!$C$2:$E$230,3,0),0)</f>
        <v>0</v>
      </c>
      <c r="E1024" s="1">
        <f>IFERROR(VLOOKUP(1179,'PEDIDO 13'!$C$2:$E$230,3,0),0)</f>
        <v>0</v>
      </c>
      <c r="F1024" s="1">
        <f>IFERROR(VLOOKUP(1180,'PEDIDO 13'!$C$2:$E$230,3,0),0)</f>
        <v>0</v>
      </c>
      <c r="G1024" s="18">
        <f t="shared" si="24"/>
        <v>0</v>
      </c>
    </row>
    <row r="1025" spans="1:7" ht="15.75" x14ac:dyDescent="0.25">
      <c r="A1025" s="15" t="str">
        <f>'PEDIDO 13'!$B$2</f>
        <v>Avare-Patricia Sueli Crivari Lopes Me</v>
      </c>
      <c r="B1025" s="12" t="s">
        <v>450</v>
      </c>
      <c r="C1025" s="1">
        <f>IFERROR(VLOOKUP(1181,'PEDIDO 13'!$C$2:$E$230,3,0),0)</f>
        <v>0</v>
      </c>
      <c r="D1025" s="1">
        <f>IFERROR(VLOOKUP(1182,'PEDIDO 13'!$C$2:$E$230,3,0),0)</f>
        <v>0</v>
      </c>
      <c r="E1025" s="1">
        <f>IFERROR(VLOOKUP(1183,'PEDIDO 13'!$C$2:$E$230,3,0),0)</f>
        <v>0</v>
      </c>
      <c r="F1025" s="1">
        <f>IFERROR(VLOOKUP(1184,'PEDIDO 13'!$C$2:$E$230,3,0),0)</f>
        <v>0</v>
      </c>
      <c r="G1025" s="18">
        <f t="shared" si="24"/>
        <v>0</v>
      </c>
    </row>
    <row r="1026" spans="1:7" ht="15.75" x14ac:dyDescent="0.25">
      <c r="A1026" s="15" t="str">
        <f>'PEDIDO 13'!$B$2</f>
        <v>Avare-Patricia Sueli Crivari Lopes Me</v>
      </c>
      <c r="B1026" s="12" t="s">
        <v>451</v>
      </c>
      <c r="C1026" s="1">
        <f>IFERROR(VLOOKUP(1185,'PEDIDO 13'!$C$2:$E$230,3,0),0)</f>
        <v>0</v>
      </c>
      <c r="D1026" s="1">
        <f>IFERROR(VLOOKUP(1186,'PEDIDO 13'!$C$2:$E$230,3,0),0)</f>
        <v>0</v>
      </c>
      <c r="E1026" s="1">
        <f>IFERROR(VLOOKUP(1187,'PEDIDO 13'!$C$2:$E$230,3,0),0)</f>
        <v>0</v>
      </c>
      <c r="F1026" s="1">
        <f>IFERROR(VLOOKUP(1188,'PEDIDO 13'!$C$2:$E$230,3,0),0)</f>
        <v>0</v>
      </c>
      <c r="G1026" s="18">
        <f t="shared" si="24"/>
        <v>0</v>
      </c>
    </row>
    <row r="1027" spans="1:7" ht="15.75" x14ac:dyDescent="0.25">
      <c r="A1027" s="15" t="str">
        <f>'PEDIDO 13'!$B$2</f>
        <v>Avare-Patricia Sueli Crivari Lopes Me</v>
      </c>
      <c r="B1027" s="12" t="s">
        <v>452</v>
      </c>
      <c r="C1027" s="1">
        <f>IFERROR(VLOOKUP(1189,'PEDIDO 13'!$C$2:$E$230,3,0),0)</f>
        <v>0</v>
      </c>
      <c r="D1027" s="1">
        <f>IFERROR(VLOOKUP(1190,'PEDIDO 13'!$C$2:$E$230,3,0),0)</f>
        <v>0</v>
      </c>
      <c r="E1027" s="1">
        <f>IFERROR(VLOOKUP(1191,'PEDIDO 13'!$C$2:$E$230,3,0),0)</f>
        <v>0</v>
      </c>
      <c r="F1027" s="1">
        <f>IFERROR(VLOOKUP(1192,'PEDIDO 13'!$C$2:$E$230,3,0),0)</f>
        <v>0</v>
      </c>
      <c r="G1027" s="18">
        <f t="shared" si="24"/>
        <v>0</v>
      </c>
    </row>
    <row r="1028" spans="1:7" ht="15.75" x14ac:dyDescent="0.25">
      <c r="A1028" s="15" t="str">
        <f>'PEDIDO 13'!$B$2</f>
        <v>Avare-Patricia Sueli Crivari Lopes Me</v>
      </c>
      <c r="B1028" s="12" t="s">
        <v>453</v>
      </c>
      <c r="C1028" s="1">
        <f>IFERROR(VLOOKUP(1193,'PEDIDO 13'!$C$2:$E$230,3,0),0)</f>
        <v>0</v>
      </c>
      <c r="D1028" s="1">
        <f>IFERROR(VLOOKUP(1194,'PEDIDO 13'!$C$2:$E$230,3,0),0)</f>
        <v>0</v>
      </c>
      <c r="E1028" s="1">
        <f>IFERROR(VLOOKUP(1195,'PEDIDO 13'!$C$2:$E$230,3,0),0)</f>
        <v>0</v>
      </c>
      <c r="F1028" s="1">
        <f>IFERROR(VLOOKUP(1196,'PEDIDO 13'!$C$2:$E$230,3,0),0)</f>
        <v>0</v>
      </c>
      <c r="G1028" s="18">
        <f t="shared" si="24"/>
        <v>0</v>
      </c>
    </row>
    <row r="1029" spans="1:7" ht="15.75" x14ac:dyDescent="0.25">
      <c r="A1029" s="15" t="str">
        <f>'PEDIDO 13'!$B$2</f>
        <v>Avare-Patricia Sueli Crivari Lopes Me</v>
      </c>
      <c r="B1029" s="12" t="s">
        <v>454</v>
      </c>
      <c r="C1029" s="1">
        <f>IFERROR(VLOOKUP(1197,'PEDIDO 13'!$C$2:$E$230,3,0),0)</f>
        <v>0</v>
      </c>
      <c r="D1029" s="1">
        <f>IFERROR(VLOOKUP(1198,'PEDIDO 13'!$C$2:$E$230,3,0),0)</f>
        <v>0</v>
      </c>
      <c r="E1029" s="1">
        <f>IFERROR(VLOOKUP(1199,'PEDIDO 13'!$C$2:$E$230,3,0),0)</f>
        <v>0</v>
      </c>
      <c r="F1029" s="1">
        <f>IFERROR(VLOOKUP(1200,'PEDIDO 13'!$C$2:$E$230,3,0),0)</f>
        <v>0</v>
      </c>
      <c r="G1029" s="18">
        <f t="shared" si="24"/>
        <v>0</v>
      </c>
    </row>
    <row r="1030" spans="1:7" ht="15.75" x14ac:dyDescent="0.25">
      <c r="A1030" s="15" t="str">
        <f>'PEDIDO 13'!$B$2</f>
        <v>Avare-Patricia Sueli Crivari Lopes Me</v>
      </c>
      <c r="B1030" s="12" t="s">
        <v>455</v>
      </c>
      <c r="C1030" s="1">
        <f>IFERROR(VLOOKUP(1201,'PEDIDO 13'!$C$2:$E$230,3,0),0)</f>
        <v>0</v>
      </c>
      <c r="D1030" s="1">
        <f>IFERROR(VLOOKUP(1202,'PEDIDO 13'!$C$2:$E$230,3,0),0)</f>
        <v>0</v>
      </c>
      <c r="E1030" s="1">
        <f>IFERROR(VLOOKUP(1203,'PEDIDO 13'!$C$2:$E$230,3,0),0)</f>
        <v>0</v>
      </c>
      <c r="F1030" s="1">
        <f>IFERROR(VLOOKUP(1204,'PEDIDO 13'!$C$2:$E$230,3,0),0)</f>
        <v>0</v>
      </c>
      <c r="G1030" s="18">
        <f t="shared" si="24"/>
        <v>0</v>
      </c>
    </row>
    <row r="1031" spans="1:7" ht="15.75" x14ac:dyDescent="0.25">
      <c r="A1031" s="15" t="str">
        <f>'PEDIDO 13'!$B$2</f>
        <v>Avare-Patricia Sueli Crivari Lopes Me</v>
      </c>
      <c r="B1031" s="12" t="s">
        <v>456</v>
      </c>
      <c r="C1031" s="1">
        <f>IFERROR(VLOOKUP(1205,'PEDIDO 13'!$C$2:$E$230,3,0),0)</f>
        <v>0</v>
      </c>
      <c r="D1031" s="1">
        <f>IFERROR(VLOOKUP(1206,'PEDIDO 13'!$C$2:$E$230,3,0),0)</f>
        <v>0</v>
      </c>
      <c r="E1031" s="1">
        <f>IFERROR(VLOOKUP(1207,'PEDIDO 13'!$C$2:$E$230,3,0),0)</f>
        <v>0</v>
      </c>
      <c r="F1031" s="1">
        <f>IFERROR(VLOOKUP(1208,'PEDIDO 13'!$C$2:$E$230,3,0),0)</f>
        <v>0</v>
      </c>
      <c r="G1031" s="18">
        <f t="shared" si="24"/>
        <v>0</v>
      </c>
    </row>
    <row r="1032" spans="1:7" ht="15.75" x14ac:dyDescent="0.25">
      <c r="A1032" s="15" t="str">
        <f>'PEDIDO 13'!$B$2</f>
        <v>Avare-Patricia Sueli Crivari Lopes Me</v>
      </c>
      <c r="B1032" s="12" t="s">
        <v>457</v>
      </c>
      <c r="C1032" s="1">
        <f>IFERROR(VLOOKUP(1213,'PEDIDO 13'!$C$2:$E$230,3,0),0)</f>
        <v>0</v>
      </c>
      <c r="D1032" s="1">
        <f>IFERROR(VLOOKUP(1214,'PEDIDO 13'!$C$2:$E$230,3,0),0)</f>
        <v>0</v>
      </c>
      <c r="E1032" s="1">
        <f>IFERROR(VLOOKUP(1215,'PEDIDO 13'!$C$2:$E$230,3,0),0)</f>
        <v>0</v>
      </c>
      <c r="F1032" s="10">
        <f>IFERROR(VLOOKUP(1216,'PEDIDO 13'!$C$2:$E$230,3,0),0)</f>
        <v>0</v>
      </c>
      <c r="G1032" s="18">
        <f t="shared" si="24"/>
        <v>0</v>
      </c>
    </row>
    <row r="1033" spans="1:7" ht="15.75" x14ac:dyDescent="0.25">
      <c r="A1033" s="15" t="str">
        <f>'PEDIDO 13'!$B$2</f>
        <v>Avare-Patricia Sueli Crivari Lopes Me</v>
      </c>
      <c r="B1033" s="12" t="s">
        <v>458</v>
      </c>
      <c r="C1033" s="1">
        <f>IFERROR(VLOOKUP(1209,'PEDIDO 13'!$C$2:$E$230,3,0),0)</f>
        <v>0</v>
      </c>
      <c r="D1033" s="1">
        <f>IFERROR(VLOOKUP(1210,'PEDIDO 13'!$C$2:$E$230,3,0),0)</f>
        <v>0</v>
      </c>
      <c r="E1033" s="1">
        <f>IFERROR(VLOOKUP(1211,'PEDIDO 13'!$C$2:$E$230,3,0),0)</f>
        <v>0</v>
      </c>
      <c r="F1033" s="1">
        <f>IFERROR(VLOOKUP(1212,'PEDIDO 13'!$C$2:$E$230,3,0),0)</f>
        <v>0</v>
      </c>
      <c r="G1033" s="18">
        <f t="shared" si="24"/>
        <v>0</v>
      </c>
    </row>
    <row r="1034" spans="1:7" ht="15.75" x14ac:dyDescent="0.25">
      <c r="A1034" s="15" t="str">
        <f>'PEDIDO 13'!$B$2</f>
        <v>Avare-Patricia Sueli Crivari Lopes Me</v>
      </c>
      <c r="B1034" s="12" t="s">
        <v>459</v>
      </c>
      <c r="C1034" s="1">
        <f>IFERROR(VLOOKUP(1217,'PEDIDO 13'!$C$2:$E$230,3,0),0)</f>
        <v>0</v>
      </c>
      <c r="D1034" s="1">
        <f>IFERROR(VLOOKUP(1218,'PEDIDO 13'!$C$2:$E$230,3,0),0)</f>
        <v>0</v>
      </c>
      <c r="E1034" s="1">
        <f>IFERROR(VLOOKUP(1219,'PEDIDO 13'!$C$2:$E$230,3,0),0)</f>
        <v>0</v>
      </c>
      <c r="F1034" s="1">
        <f>IFERROR(VLOOKUP(1220,'PEDIDO 13'!$C$2:$E$230,3,0),0)</f>
        <v>0</v>
      </c>
      <c r="G1034" s="18">
        <f t="shared" si="24"/>
        <v>0</v>
      </c>
    </row>
    <row r="1035" spans="1:7" ht="15.75" x14ac:dyDescent="0.25">
      <c r="A1035" s="15" t="str">
        <f>'PEDIDO 13'!$B$2</f>
        <v>Avare-Patricia Sueli Crivari Lopes Me</v>
      </c>
      <c r="B1035" s="12" t="s">
        <v>461</v>
      </c>
      <c r="C1035" s="1">
        <f>IFERROR(VLOOKUP(1225,'PEDIDO 13'!$C$2:$E$230,3,0),0)</f>
        <v>0</v>
      </c>
      <c r="D1035" s="1">
        <f>IFERROR(VLOOKUP(1226,'PEDIDO 13'!$C$2:$E$230,3,0),0)</f>
        <v>0</v>
      </c>
      <c r="E1035" s="1">
        <f>IFERROR(VLOOKUP(1227,'PEDIDO 13'!$C$2:$E$230,3,0),0)</f>
        <v>0</v>
      </c>
      <c r="F1035" s="1">
        <f>IFERROR(VLOOKUP(1228,'PEDIDO 13'!$C$2:$E$230,3,0),0)</f>
        <v>0</v>
      </c>
      <c r="G1035" s="18">
        <f t="shared" si="24"/>
        <v>0</v>
      </c>
    </row>
    <row r="1036" spans="1:7" ht="15.75" x14ac:dyDescent="0.25">
      <c r="A1036" s="15" t="str">
        <f>'PEDIDO 13'!$B$2</f>
        <v>Avare-Patricia Sueli Crivari Lopes Me</v>
      </c>
      <c r="B1036" s="12" t="s">
        <v>462</v>
      </c>
      <c r="C1036" s="1">
        <f>IFERROR(VLOOKUP(1221,'PEDIDO 13'!$C$2:$E$230,3,0),0)</f>
        <v>0</v>
      </c>
      <c r="D1036" s="1">
        <f>IFERROR(VLOOKUP(1222,'PEDIDO 13'!$C$2:$E$230,3,0),0)</f>
        <v>0</v>
      </c>
      <c r="E1036" s="1">
        <f>IFERROR(VLOOKUP(1223,'PEDIDO 13'!$C$2:$E$230,3,0),0)</f>
        <v>0</v>
      </c>
      <c r="F1036" s="1">
        <f>IFERROR(VLOOKUP(1224,'PEDIDO 13'!$C$2:$E$230,3,0),0)</f>
        <v>0</v>
      </c>
      <c r="G1036" s="18">
        <f t="shared" si="24"/>
        <v>0</v>
      </c>
    </row>
    <row r="1037" spans="1:7" ht="15.75" x14ac:dyDescent="0.25">
      <c r="A1037" s="15" t="str">
        <f>'PEDIDO 13'!$B$2</f>
        <v>Avare-Patricia Sueli Crivari Lopes Me</v>
      </c>
      <c r="B1037" s="12" t="s">
        <v>460</v>
      </c>
      <c r="C1037" s="1">
        <f>IFERROR(VLOOKUP(1229,'PEDIDO 13'!$C$2:$E$230,3,0),0)</f>
        <v>0</v>
      </c>
      <c r="D1037" s="1">
        <f>IFERROR(VLOOKUP(1230,'PEDIDO 13'!$C$2:$E$230,3,0),0)</f>
        <v>0</v>
      </c>
      <c r="E1037" s="1">
        <f>IFERROR(VLOOKUP(1231,'PEDIDO 13'!$C$2:$E$230,3,0),0)</f>
        <v>0</v>
      </c>
      <c r="F1037" s="1">
        <f>IFERROR(VLOOKUP(1232,'PEDIDO 13'!$C$2:$E$230,3,0),0)</f>
        <v>0</v>
      </c>
      <c r="G1037" s="18">
        <f t="shared" si="24"/>
        <v>0</v>
      </c>
    </row>
    <row r="1038" spans="1:7" ht="15.75" x14ac:dyDescent="0.25">
      <c r="A1038" s="15" t="str">
        <f>'PEDIDO 13'!$B$2</f>
        <v>Avare-Patricia Sueli Crivari Lopes Me</v>
      </c>
      <c r="B1038" s="12" t="s">
        <v>463</v>
      </c>
      <c r="C1038" s="1">
        <f>IFERROR(VLOOKUP(1233,'PEDIDO 13'!$C$2:$E$230,3,0),0)</f>
        <v>0</v>
      </c>
      <c r="D1038" s="1">
        <f>IFERROR(VLOOKUP(1234,'PEDIDO 13'!$C$2:$E$230,3,0),0)</f>
        <v>0</v>
      </c>
      <c r="E1038" s="1">
        <f>IFERROR(VLOOKUP(1235,'PEDIDO 13'!$C$2:$E$230,3,0),0)</f>
        <v>0</v>
      </c>
      <c r="F1038" s="1">
        <f>IFERROR(VLOOKUP(1236,'PEDIDO 13'!$C$2:$E$230,3,0),0)</f>
        <v>0</v>
      </c>
      <c r="G1038" s="18">
        <f t="shared" si="24"/>
        <v>0</v>
      </c>
    </row>
    <row r="1039" spans="1:7" ht="15.75" x14ac:dyDescent="0.25">
      <c r="A1039" s="15" t="str">
        <f>'PEDIDO 13'!$B$2</f>
        <v>Avare-Patricia Sueli Crivari Lopes Me</v>
      </c>
      <c r="B1039" s="12" t="s">
        <v>464</v>
      </c>
      <c r="C1039" s="1">
        <f>IFERROR(VLOOKUP(1237,'PEDIDO 13'!$C$2:$E$230,3,0),0)</f>
        <v>0</v>
      </c>
      <c r="D1039" s="1">
        <f>IFERROR(VLOOKUP(1238,'PEDIDO 13'!$C$2:$E$230,3,0),0)</f>
        <v>0</v>
      </c>
      <c r="E1039" s="1">
        <f>IFERROR(VLOOKUP(1239,'PEDIDO 13'!$C$2:$E$230,3,0),0)</f>
        <v>0</v>
      </c>
      <c r="F1039" s="1">
        <f>IFERROR(VLOOKUP(1240,'PEDIDO 13'!$C$2:$E$230,3,0),0)</f>
        <v>0</v>
      </c>
      <c r="G1039" s="18">
        <f t="shared" ref="G1039:G1051" si="25">SUM(C1039+D1039+E1039+F1039)</f>
        <v>0</v>
      </c>
    </row>
    <row r="1040" spans="1:7" ht="15.75" x14ac:dyDescent="0.25">
      <c r="A1040" s="15" t="str">
        <f>'PEDIDO 13'!$B$2</f>
        <v>Avare-Patricia Sueli Crivari Lopes Me</v>
      </c>
      <c r="B1040" s="12" t="s">
        <v>465</v>
      </c>
      <c r="C1040" s="1">
        <f>IFERROR(VLOOKUP(1241,'PEDIDO 13'!$C$2:$E$230,3,0),0)</f>
        <v>0</v>
      </c>
      <c r="D1040" s="1">
        <f>IFERROR(VLOOKUP(1242,'PEDIDO 13'!$C$2:$E$230,3,0),0)</f>
        <v>0</v>
      </c>
      <c r="E1040" s="1">
        <f>IFERROR(VLOOKUP(1243,'PEDIDO 13'!$C$2:$E$230,3,0),0)</f>
        <v>0</v>
      </c>
      <c r="F1040" s="1">
        <f>IFERROR(VLOOKUP(1244,'PEDIDO 13'!$C$2:$E$230,3,0),0)</f>
        <v>0</v>
      </c>
      <c r="G1040" s="18">
        <f t="shared" si="25"/>
        <v>0</v>
      </c>
    </row>
    <row r="1041" spans="1:7" ht="15.75" x14ac:dyDescent="0.25">
      <c r="A1041" s="15" t="str">
        <f>'PEDIDO 13'!$B$2</f>
        <v>Avare-Patricia Sueli Crivari Lopes Me</v>
      </c>
      <c r="B1041" s="12" t="s">
        <v>466</v>
      </c>
      <c r="C1041" s="1">
        <f>IFERROR(VLOOKUP(1245,'PEDIDO 13'!$C$2:$E$230,3,0),0)</f>
        <v>0</v>
      </c>
      <c r="D1041" s="1">
        <f>IFERROR(VLOOKUP(1246,'PEDIDO 13'!$C$2:$E$230,3,0),0)</f>
        <v>0</v>
      </c>
      <c r="E1041" s="1">
        <f>IFERROR(VLOOKUP(1247,'PEDIDO 13'!$C$2:$E$230,3,0),0)</f>
        <v>0</v>
      </c>
      <c r="F1041" s="1">
        <f>IFERROR(VLOOKUP(1248,'PEDIDO 13'!$C$2:$E$230,3,0),0)</f>
        <v>0</v>
      </c>
      <c r="G1041" s="18">
        <f t="shared" si="25"/>
        <v>0</v>
      </c>
    </row>
    <row r="1042" spans="1:7" ht="15.75" x14ac:dyDescent="0.25">
      <c r="A1042" s="15" t="str">
        <f>'PEDIDO 13'!$B$2</f>
        <v>Avare-Patricia Sueli Crivari Lopes Me</v>
      </c>
      <c r="B1042" s="12" t="s">
        <v>467</v>
      </c>
      <c r="C1042" s="1">
        <f>IFERROR(VLOOKUP(25714,'PEDIDO 13'!$C$2:$E$230,3,0),0)</f>
        <v>0</v>
      </c>
      <c r="D1042" s="1"/>
      <c r="E1042" s="1"/>
      <c r="F1042" s="1"/>
      <c r="G1042" s="18">
        <f t="shared" si="25"/>
        <v>0</v>
      </c>
    </row>
    <row r="1043" spans="1:7" ht="15.75" x14ac:dyDescent="0.25">
      <c r="A1043" s="15" t="str">
        <f>'PEDIDO 13'!$B$2</f>
        <v>Avare-Patricia Sueli Crivari Lopes Me</v>
      </c>
      <c r="B1043" s="12" t="s">
        <v>468</v>
      </c>
      <c r="C1043" s="1">
        <f>IFERROR(VLOOKUP(25712,'PEDIDO 13'!$C$2:$E$230,3,0),0)</f>
        <v>0</v>
      </c>
      <c r="D1043" s="1"/>
      <c r="E1043" s="1"/>
      <c r="F1043" s="1"/>
      <c r="G1043" s="18">
        <f t="shared" si="25"/>
        <v>0</v>
      </c>
    </row>
    <row r="1044" spans="1:7" ht="15.75" x14ac:dyDescent="0.25">
      <c r="A1044" s="15" t="str">
        <f>'PEDIDO 13'!$B$2</f>
        <v>Avare-Patricia Sueli Crivari Lopes Me</v>
      </c>
      <c r="B1044" s="12" t="s">
        <v>469</v>
      </c>
      <c r="C1044" s="1">
        <f>IFERROR(VLOOKUP(25713,'PEDIDO 13'!$C$2:$E$230,3,0),0)</f>
        <v>0</v>
      </c>
      <c r="D1044" s="1"/>
      <c r="E1044" s="1"/>
      <c r="F1044" s="1"/>
      <c r="G1044" s="18">
        <f t="shared" si="25"/>
        <v>0</v>
      </c>
    </row>
    <row r="1045" spans="1:7" ht="15.75" x14ac:dyDescent="0.25">
      <c r="A1045" s="15" t="str">
        <f>'PEDIDO 13'!$B$2</f>
        <v>Avare-Patricia Sueli Crivari Lopes Me</v>
      </c>
      <c r="B1045" s="12" t="s">
        <v>470</v>
      </c>
      <c r="C1045" s="1">
        <f>IFERROR(VLOOKUP(1260,'PEDIDO 13'!$C$2:$E$230,3,0),0)</f>
        <v>0</v>
      </c>
      <c r="D1045" s="1"/>
      <c r="E1045" s="1"/>
      <c r="F1045" s="1"/>
      <c r="G1045" s="18">
        <f t="shared" si="25"/>
        <v>0</v>
      </c>
    </row>
    <row r="1046" spans="1:7" ht="15.75" x14ac:dyDescent="0.25">
      <c r="A1046" s="15" t="str">
        <f>'PEDIDO 13'!$B$2</f>
        <v>Avare-Patricia Sueli Crivari Lopes Me</v>
      </c>
      <c r="B1046" s="12" t="s">
        <v>471</v>
      </c>
      <c r="C1046" s="1">
        <f>IFERROR(VLOOKUP(1261,'PEDIDO 13'!$C$2:$E$230,3,0),0)</f>
        <v>0</v>
      </c>
      <c r="D1046" s="1"/>
      <c r="E1046" s="1"/>
      <c r="F1046" s="1"/>
      <c r="G1046" s="18">
        <f t="shared" si="25"/>
        <v>0</v>
      </c>
    </row>
    <row r="1047" spans="1:7" ht="15.75" x14ac:dyDescent="0.25">
      <c r="A1047" s="15" t="str">
        <f>'PEDIDO 13'!$B$2</f>
        <v>Avare-Patricia Sueli Crivari Lopes Me</v>
      </c>
      <c r="B1047" s="12" t="s">
        <v>472</v>
      </c>
      <c r="C1047" s="1">
        <f>IFERROR(VLOOKUP(1262,'PEDIDO 13'!$C$2:$E$230,3,0),0)</f>
        <v>0</v>
      </c>
      <c r="D1047" s="1"/>
      <c r="E1047" s="1"/>
      <c r="F1047" s="1"/>
      <c r="G1047" s="18">
        <f t="shared" si="25"/>
        <v>0</v>
      </c>
    </row>
    <row r="1048" spans="1:7" ht="15.75" x14ac:dyDescent="0.25">
      <c r="A1048" s="15" t="str">
        <f>'PEDIDO 13'!$B$2</f>
        <v>Avare-Patricia Sueli Crivari Lopes Me</v>
      </c>
      <c r="B1048" s="12" t="s">
        <v>473</v>
      </c>
      <c r="C1048" s="1">
        <f>IFERROR(VLOOKUP(1263,'PEDIDO 13'!$C$2:$E$230,3,0),0)</f>
        <v>0</v>
      </c>
      <c r="D1048" s="1"/>
      <c r="E1048" s="1"/>
      <c r="F1048" s="1"/>
      <c r="G1048" s="18">
        <f t="shared" si="25"/>
        <v>0</v>
      </c>
    </row>
    <row r="1049" spans="1:7" ht="15.75" x14ac:dyDescent="0.25">
      <c r="A1049" s="15" t="str">
        <f>'PEDIDO 13'!$B$2</f>
        <v>Avare-Patricia Sueli Crivari Lopes Me</v>
      </c>
      <c r="B1049" s="12" t="s">
        <v>474</v>
      </c>
      <c r="C1049" s="1">
        <f>IFERROR(VLOOKUP(1264,'PEDIDO 13'!$C$2:$E$230,3,0),0)</f>
        <v>0</v>
      </c>
      <c r="D1049" s="1"/>
      <c r="E1049" s="1"/>
      <c r="F1049" s="1"/>
      <c r="G1049" s="18">
        <f t="shared" si="25"/>
        <v>0</v>
      </c>
    </row>
    <row r="1050" spans="1:7" ht="15.75" x14ac:dyDescent="0.25">
      <c r="A1050" s="15" t="str">
        <f>'PEDIDO 13'!$B$2</f>
        <v>Avare-Patricia Sueli Crivari Lopes Me</v>
      </c>
      <c r="B1050" s="12" t="s">
        <v>475</v>
      </c>
      <c r="C1050" s="1">
        <f>IFERROR(VLOOKUP(1265,'PEDIDO 13'!$C$2:$E$230,3,0),0)</f>
        <v>0</v>
      </c>
      <c r="D1050" s="1"/>
      <c r="E1050" s="1"/>
      <c r="F1050" s="1"/>
      <c r="G1050" s="18">
        <f t="shared" si="25"/>
        <v>0</v>
      </c>
    </row>
    <row r="1051" spans="1:7" ht="15.75" x14ac:dyDescent="0.25">
      <c r="A1051" s="15" t="str">
        <f>'PEDIDO 13'!$B$2</f>
        <v>Avare-Patricia Sueli Crivari Lopes Me</v>
      </c>
      <c r="B1051" s="12" t="s">
        <v>476</v>
      </c>
      <c r="C1051" s="1">
        <f>IFERROR(VLOOKUP(1266,'PEDIDO 13'!$C$2:$E$230,3,0),0)</f>
        <v>0</v>
      </c>
      <c r="D1051" s="1"/>
      <c r="E1051" s="1"/>
      <c r="F1051" s="1"/>
      <c r="G1051" s="18">
        <f t="shared" si="25"/>
        <v>0</v>
      </c>
    </row>
    <row r="1052" spans="1:7" ht="15.75" x14ac:dyDescent="0.25">
      <c r="A1052" s="15" t="str">
        <f>'PEDIDO 13'!$B$2</f>
        <v>Avare-Patricia Sueli Crivari Lopes Me</v>
      </c>
      <c r="B1052" s="12" t="s">
        <v>477</v>
      </c>
      <c r="C1052" s="1">
        <f>IFERROR(VLOOKUP(1268,'PEDIDO 13'!$C$2:$E$230,3,0),0)</f>
        <v>0</v>
      </c>
      <c r="D1052" s="1">
        <f>IFERROR(VLOOKUP(1269,'PEDIDO 13'!$C$2:$E$230,3,0),0)</f>
        <v>0</v>
      </c>
      <c r="E1052" s="1">
        <f>IFERROR(VLOOKUP(1270,'PEDIDO 13'!$C$2:$E$230,3,0),0)</f>
        <v>0</v>
      </c>
      <c r="F1052" s="1">
        <f>IFERROR(VLOOKUP(1271,'PEDIDO 13'!$C$2:$E$230,3,0),0)</f>
        <v>0</v>
      </c>
      <c r="G1052" s="18">
        <f>SUM(C1052+D1052+E1052+F1052)</f>
        <v>0</v>
      </c>
    </row>
    <row r="1053" spans="1:7" x14ac:dyDescent="0.25">
      <c r="A1053" s="17"/>
      <c r="B1053" s="13"/>
      <c r="C1053" s="13"/>
      <c r="D1053" s="13"/>
      <c r="E1053" s="13"/>
      <c r="F1053" s="13"/>
      <c r="G1053" s="13"/>
    </row>
    <row r="1054" spans="1:7" x14ac:dyDescent="0.25">
      <c r="A1054" s="17"/>
      <c r="B1054" s="13"/>
      <c r="C1054" s="13"/>
      <c r="D1054" s="13"/>
      <c r="E1054" s="13"/>
      <c r="F1054" s="13"/>
      <c r="G1054" s="13"/>
    </row>
    <row r="1055" spans="1:7" ht="15.75" x14ac:dyDescent="0.25">
      <c r="A1055" s="15" t="str">
        <f>'PEDIDO 14'!$B$2</f>
        <v>Cerqueira Cesar-Casa Moveis E Colchoes Donadel Oli</v>
      </c>
      <c r="B1055" s="12" t="s">
        <v>399</v>
      </c>
      <c r="C1055" s="1">
        <f>IFERROR(VLOOKUP(1,'PEDIDO 14'!$C$2:$E$230,3,0),0)</f>
        <v>0</v>
      </c>
      <c r="D1055" s="1">
        <f>IFERROR(VLOOKUP(2,'PEDIDO 14'!$C$2:$E$230,3,0),0)</f>
        <v>0</v>
      </c>
      <c r="E1055" s="1">
        <f>IFERROR(VLOOKUP(3,'PEDIDO 14'!$C$2:$E$230,3,0),0)</f>
        <v>0</v>
      </c>
      <c r="F1055" s="1">
        <f>IFERROR(VLOOKUP(282,'PEDIDO 14'!$C$2:$E$230,3,0),0)</f>
        <v>0</v>
      </c>
      <c r="G1055" s="18">
        <f>SUM(C1055+D1055+E1055+F1055)</f>
        <v>0</v>
      </c>
    </row>
    <row r="1056" spans="1:7" ht="15.75" x14ac:dyDescent="0.25">
      <c r="A1056" s="15" t="str">
        <f>'PEDIDO 14'!$B$2</f>
        <v>Cerqueira Cesar-Casa Moveis E Colchoes Donadel Oli</v>
      </c>
      <c r="B1056" s="12" t="s">
        <v>400</v>
      </c>
      <c r="C1056" s="1">
        <f>IFERROR(VLOOKUP(5,'PEDIDO 14'!$C$2:$E$230,3,0),0)</f>
        <v>0</v>
      </c>
      <c r="D1056" s="1">
        <f>IFERROR(VLOOKUP(6,'PEDIDO 14'!$C$2:$E$230,3,0),0)</f>
        <v>0</v>
      </c>
      <c r="E1056" s="1">
        <f>IFERROR(VLOOKUP(7,'PEDIDO 14'!$C$2:$E$230,3,0),0)</f>
        <v>0</v>
      </c>
      <c r="F1056" s="1">
        <f>IFERROR(VLOOKUP(258,'PEDIDO 14'!$C$2:$E$230,3,0),0)</f>
        <v>0</v>
      </c>
      <c r="G1056" s="18">
        <f t="shared" ref="G1056:G1119" si="26">SUM(C1056+D1056+E1056+F1056)</f>
        <v>0</v>
      </c>
    </row>
    <row r="1057" spans="1:7" ht="15.75" x14ac:dyDescent="0.25">
      <c r="A1057" s="15" t="str">
        <f>'PEDIDO 14'!$B$2</f>
        <v>Cerqueira Cesar-Casa Moveis E Colchoes Donadel Oli</v>
      </c>
      <c r="B1057" s="12" t="s">
        <v>401</v>
      </c>
      <c r="C1057" s="1">
        <f>IFERROR(VLOOKUP(13,'PEDIDO 14'!$C$2:$E$230,3,0),0)</f>
        <v>0</v>
      </c>
      <c r="D1057" s="1">
        <f>IFERROR(VLOOKUP(14,'PEDIDO 14'!$C$2:$E$230,3,0),0)</f>
        <v>0</v>
      </c>
      <c r="E1057" s="1">
        <f>IFERROR(VLOOKUP(15,'PEDIDO 14'!$C$2:$E$230,3,0),0)</f>
        <v>0</v>
      </c>
      <c r="F1057" s="1">
        <f>IFERROR(VLOOKUP(289,'PEDIDO 14'!$C$2:$E$230,3,0),0)</f>
        <v>0</v>
      </c>
      <c r="G1057" s="18">
        <f t="shared" si="26"/>
        <v>0</v>
      </c>
    </row>
    <row r="1058" spans="1:7" ht="15.75" x14ac:dyDescent="0.25">
      <c r="A1058" s="15" t="str">
        <f>'PEDIDO 14'!$B$2</f>
        <v>Cerqueira Cesar-Casa Moveis E Colchoes Donadel Oli</v>
      </c>
      <c r="B1058" s="12" t="s">
        <v>402</v>
      </c>
      <c r="C1058" s="1">
        <f>IFERROR(VLOOKUP(267,'PEDIDO 14'!$C$2:$E$230,3,0),0)</f>
        <v>0</v>
      </c>
      <c r="D1058" s="1">
        <f>IFERROR(VLOOKUP(268,'PEDIDO 14'!$C$2:$E$230,3,0),0)</f>
        <v>0</v>
      </c>
      <c r="E1058" s="1">
        <f>IFERROR(VLOOKUP(270,'PEDIDO 14'!$C$2:$E$230,3,0),0)</f>
        <v>0</v>
      </c>
      <c r="F1058" s="1">
        <f>IFERROR(VLOOKUP(269,'PEDIDO 14'!$C$2:$E$230,3,0),0)</f>
        <v>0</v>
      </c>
      <c r="G1058" s="18">
        <f t="shared" si="26"/>
        <v>0</v>
      </c>
    </row>
    <row r="1059" spans="1:7" ht="15.75" x14ac:dyDescent="0.25">
      <c r="A1059" s="15" t="str">
        <f>'PEDIDO 14'!$B$2</f>
        <v>Cerqueira Cesar-Casa Moveis E Colchoes Donadel Oli</v>
      </c>
      <c r="B1059" s="12" t="s">
        <v>403</v>
      </c>
      <c r="C1059" s="1">
        <f>IFERROR(VLOOKUP(17,'PEDIDO 14'!$C$2:$E$230,3,0),0)</f>
        <v>0</v>
      </c>
      <c r="D1059" s="1">
        <f>IFERROR(VLOOKUP(18,'PEDIDO 14'!$C$2:$E$230,3,0),0)</f>
        <v>0</v>
      </c>
      <c r="E1059" s="1">
        <f>IFERROR(VLOOKUP(19,'PEDIDO 14'!$C$2:$E$230,3,0),0)</f>
        <v>0</v>
      </c>
      <c r="F1059" s="1">
        <f>IFERROR(VLOOKUP(290,'PEDIDO 14'!$C$2:$E$230,3,0),0)</f>
        <v>0</v>
      </c>
      <c r="G1059" s="18">
        <f t="shared" si="26"/>
        <v>0</v>
      </c>
    </row>
    <row r="1060" spans="1:7" ht="15.75" x14ac:dyDescent="0.25">
      <c r="A1060" s="15" t="str">
        <f>'PEDIDO 14'!$B$2</f>
        <v>Cerqueira Cesar-Casa Moveis E Colchoes Donadel Oli</v>
      </c>
      <c r="B1060" s="12" t="s">
        <v>404</v>
      </c>
      <c r="C1060" s="1">
        <f>IFERROR(VLOOKUP(23,'PEDIDO 14'!$C$2:$E$230,3,0),0)</f>
        <v>0</v>
      </c>
      <c r="D1060" s="1">
        <f>IFERROR(VLOOKUP(24,'PEDIDO 14'!$C$2:$E$230,3,0),0)</f>
        <v>0</v>
      </c>
      <c r="E1060" s="1">
        <f>IFERROR(VLOOKUP(25,'PEDIDO 14'!$C$2:$E$230,3,0),0)</f>
        <v>0</v>
      </c>
      <c r="F1060" s="1">
        <f>IFERROR(VLOOKUP(291,'PEDIDO 14'!$C$2:$E$230,3,0),0)</f>
        <v>0</v>
      </c>
      <c r="G1060" s="18">
        <f t="shared" si="26"/>
        <v>0</v>
      </c>
    </row>
    <row r="1061" spans="1:7" ht="15.75" x14ac:dyDescent="0.25">
      <c r="A1061" s="15" t="str">
        <f>'PEDIDO 14'!$B$2</f>
        <v>Cerqueira Cesar-Casa Moveis E Colchoes Donadel Oli</v>
      </c>
      <c r="B1061" s="12" t="s">
        <v>405</v>
      </c>
      <c r="C1061" s="1">
        <f>IFERROR(VLOOKUP(27,'PEDIDO 14'!$C$2:$E$230,3,0),0)</f>
        <v>0</v>
      </c>
      <c r="D1061" s="1">
        <f>IFERROR(VLOOKUP(28,'PEDIDO 14'!$C$2:$E$230,3,0),0)</f>
        <v>0</v>
      </c>
      <c r="E1061" s="1">
        <f>IFERROR(VLOOKUP(29,'PEDIDO 14'!$C$2:$E$230,3,0),0)</f>
        <v>0</v>
      </c>
      <c r="F1061" s="1">
        <f>IFERROR(VLOOKUP(292,'PEDIDO 14'!$C$2:$E$230,3,0),0)</f>
        <v>0</v>
      </c>
      <c r="G1061" s="18">
        <f t="shared" si="26"/>
        <v>0</v>
      </c>
    </row>
    <row r="1062" spans="1:7" ht="15.75" x14ac:dyDescent="0.25">
      <c r="A1062" s="15" t="str">
        <f>'PEDIDO 14'!$B$2</f>
        <v>Cerqueira Cesar-Casa Moveis E Colchoes Donadel Oli</v>
      </c>
      <c r="B1062" s="12" t="s">
        <v>406</v>
      </c>
      <c r="C1062" s="1">
        <f>IFERROR(VLOOKUP(227,'PEDIDO 14'!$C$2:$E$230,3,0),0)</f>
        <v>0</v>
      </c>
      <c r="D1062" s="1">
        <f>IFERROR(VLOOKUP(228,'PEDIDO 14'!$C$2:$E$230,3,0),0)</f>
        <v>0</v>
      </c>
      <c r="E1062" s="1">
        <f>IFERROR(VLOOKUP(229,'PEDIDO 14'!$C$2:$E$230,3,0),0)</f>
        <v>0</v>
      </c>
      <c r="F1062" s="1">
        <f>IFERROR(VLOOKUP(230,'PEDIDO 14'!$C$2:$E$230,3,0),0)</f>
        <v>0</v>
      </c>
      <c r="G1062" s="18">
        <f t="shared" si="26"/>
        <v>0</v>
      </c>
    </row>
    <row r="1063" spans="1:7" ht="15.75" x14ac:dyDescent="0.25">
      <c r="A1063" s="15" t="str">
        <f>'PEDIDO 14'!$B$2</f>
        <v>Cerqueira Cesar-Casa Moveis E Colchoes Donadel Oli</v>
      </c>
      <c r="B1063" s="12" t="s">
        <v>407</v>
      </c>
      <c r="C1063" s="1">
        <f>IFERROR(VLOOKUP(231,'PEDIDO 14'!$C$2:$E$230,3,0),0)</f>
        <v>0</v>
      </c>
      <c r="D1063" s="1">
        <f>IFERROR(VLOOKUP(232,'PEDIDO 14'!$C$2:$E$230,3,0),0)</f>
        <v>0</v>
      </c>
      <c r="E1063" s="1">
        <f>IFERROR(VLOOKUP(234,'PEDIDO 14'!$C$2:$E$230,3,0),0)</f>
        <v>0</v>
      </c>
      <c r="F1063" s="1">
        <f>IFERROR(VLOOKUP(233,'PEDIDO 14'!$C$2:$E$230,3,0),0)</f>
        <v>0</v>
      </c>
      <c r="G1063" s="18">
        <f t="shared" si="26"/>
        <v>0</v>
      </c>
    </row>
    <row r="1064" spans="1:7" ht="15.75" x14ac:dyDescent="0.25">
      <c r="A1064" s="15" t="str">
        <f>'PEDIDO 14'!$B$2</f>
        <v>Cerqueira Cesar-Casa Moveis E Colchoes Donadel Oli</v>
      </c>
      <c r="B1064" s="12" t="s">
        <v>408</v>
      </c>
      <c r="C1064" s="1">
        <f>IFERROR(VLOOKUP(237,'PEDIDO 14'!$C$2:$E$230,3,0),0)</f>
        <v>0</v>
      </c>
      <c r="D1064" s="1">
        <f>IFERROR(VLOOKUP(238,'PEDIDO 14'!$C$2:$E$230,3,0),0)</f>
        <v>0</v>
      </c>
      <c r="E1064" s="1">
        <f>IFERROR(VLOOKUP(240,'PEDIDO 14'!$C$2:$E$230,3,0),0)</f>
        <v>0</v>
      </c>
      <c r="F1064" s="1">
        <f>IFERROR(VLOOKUP(239,'PEDIDO 14'!$C$2:$E$230,3,0),0)</f>
        <v>0</v>
      </c>
      <c r="G1064" s="18">
        <f t="shared" si="26"/>
        <v>0</v>
      </c>
    </row>
    <row r="1065" spans="1:7" ht="15.75" x14ac:dyDescent="0.25">
      <c r="A1065" s="15" t="str">
        <f>'PEDIDO 14'!$B$2</f>
        <v>Cerqueira Cesar-Casa Moveis E Colchoes Donadel Oli</v>
      </c>
      <c r="B1065" s="12" t="s">
        <v>409</v>
      </c>
      <c r="C1065" s="1">
        <f>IFERROR(VLOOKUP(25707,'PEDIDO 14'!$C$2:$E$230,3,0),0)</f>
        <v>0</v>
      </c>
      <c r="D1065" s="1">
        <f>IFERROR(VLOOKUP(25708,'PEDIDO 14'!$C$2:$E$230,3,0),0)</f>
        <v>0</v>
      </c>
      <c r="E1065" s="1">
        <f>IFERROR(VLOOKUP(25710,'PEDIDO 14'!$C$2:$E$230,3,0),0)</f>
        <v>0</v>
      </c>
      <c r="F1065" s="1">
        <f>IFERROR(VLOOKUP(25709,'PEDIDO 14'!$C$2:$E$230,3,0),0)</f>
        <v>0</v>
      </c>
      <c r="G1065" s="18">
        <f t="shared" si="26"/>
        <v>0</v>
      </c>
    </row>
    <row r="1066" spans="1:7" ht="15.75" x14ac:dyDescent="0.25">
      <c r="A1066" s="15" t="str">
        <f>'PEDIDO 14'!$B$2</f>
        <v>Cerqueira Cesar-Casa Moveis E Colchoes Donadel Oli</v>
      </c>
      <c r="B1066" s="12" t="s">
        <v>410</v>
      </c>
      <c r="C1066" s="1">
        <f>IFERROR(VLOOKUP(25711,'PEDIDO 14'!$C$2:$E$230,3,0),0)</f>
        <v>0</v>
      </c>
      <c r="D1066" s="1"/>
      <c r="E1066" s="1"/>
      <c r="F1066" s="1"/>
      <c r="G1066" s="18">
        <f t="shared" si="26"/>
        <v>0</v>
      </c>
    </row>
    <row r="1067" spans="1:7" ht="15.75" x14ac:dyDescent="0.25">
      <c r="A1067" s="15" t="str">
        <f>'PEDIDO 14'!$B$2</f>
        <v>Cerqueira Cesar-Casa Moveis E Colchoes Donadel Oli</v>
      </c>
      <c r="B1067" s="12" t="s">
        <v>411</v>
      </c>
      <c r="C1067" s="1">
        <f>IFERROR(VLOOKUP(35,'PEDIDO 14'!$C$2:$E$230,3,0),0)</f>
        <v>0</v>
      </c>
      <c r="D1067" s="1">
        <f>IFERROR(VLOOKUP(36,'PEDIDO 14'!$C$2:$E$230,3,0),0)</f>
        <v>0</v>
      </c>
      <c r="E1067" s="1">
        <f>IFERROR(VLOOKUP(37,'PEDIDO 14'!$C$2:$E$230,3,0),0)</f>
        <v>0</v>
      </c>
      <c r="F1067" s="1">
        <f>IFERROR(VLOOKUP(294,'PEDIDO 14'!$C$2:$E$230,3,0),0)</f>
        <v>0</v>
      </c>
      <c r="G1067" s="18">
        <f t="shared" si="26"/>
        <v>0</v>
      </c>
    </row>
    <row r="1068" spans="1:7" ht="15.75" x14ac:dyDescent="0.25">
      <c r="A1068" s="15" t="str">
        <f>'PEDIDO 14'!$B$2</f>
        <v>Cerqueira Cesar-Casa Moveis E Colchoes Donadel Oli</v>
      </c>
      <c r="B1068" s="12" t="s">
        <v>412</v>
      </c>
      <c r="C1068" s="1">
        <f>IFERROR(VLOOKUP(39,'PEDIDO 14'!$C$2:$E$230,3,0),0)</f>
        <v>0</v>
      </c>
      <c r="D1068" s="1">
        <f>IFERROR(VLOOKUP(40,'PEDIDO 14'!$C$2:$E$230,3,0),0)</f>
        <v>0</v>
      </c>
      <c r="E1068" s="1">
        <f>IFERROR(VLOOKUP(42,'PEDIDO 14'!$C$2:$E$230,3,0),0)</f>
        <v>0</v>
      </c>
      <c r="F1068" s="1">
        <f>IFERROR(VLOOKUP(295,'PEDIDO 14'!$C$2:$E$230,3,0),0)</f>
        <v>0</v>
      </c>
      <c r="G1068" s="18">
        <f t="shared" si="26"/>
        <v>0</v>
      </c>
    </row>
    <row r="1069" spans="1:7" ht="15.75" x14ac:dyDescent="0.25">
      <c r="A1069" s="15" t="str">
        <f>'PEDIDO 14'!$B$2</f>
        <v>Cerqueira Cesar-Casa Moveis E Colchoes Donadel Oli</v>
      </c>
      <c r="B1069" s="12" t="s">
        <v>413</v>
      </c>
      <c r="C1069" s="1">
        <f>IFERROR(VLOOKUP(44,'PEDIDO 14'!$C$2:$E$230,3,0),0)</f>
        <v>0</v>
      </c>
      <c r="D1069" s="1">
        <f>IFERROR(VLOOKUP(45,'PEDIDO 14'!$C$2:$E$230,3,0),0)</f>
        <v>0</v>
      </c>
      <c r="E1069" s="1">
        <f>IFERROR(VLOOKUP(46,'PEDIDO 14'!$C$2:$E$230,3,0),0)</f>
        <v>0</v>
      </c>
      <c r="F1069" s="1">
        <f>IFERROR(VLOOKUP(283,'PEDIDO 14'!$C$2:$E$230,3,0),0)</f>
        <v>0</v>
      </c>
      <c r="G1069" s="18">
        <f t="shared" si="26"/>
        <v>0</v>
      </c>
    </row>
    <row r="1070" spans="1:7" ht="15.75" x14ac:dyDescent="0.25">
      <c r="A1070" s="15" t="str">
        <f>'PEDIDO 14'!$B$2</f>
        <v>Cerqueira Cesar-Casa Moveis E Colchoes Donadel Oli</v>
      </c>
      <c r="B1070" s="12" t="s">
        <v>414</v>
      </c>
      <c r="C1070" s="1">
        <f>IFERROR(VLOOKUP(48,'PEDIDO 14'!$C$2:$E$230,3,0),0)</f>
        <v>0</v>
      </c>
      <c r="D1070" s="1">
        <f>IFERROR(VLOOKUP(49,'PEDIDO 14'!$C$2:$E$230,3,0),0)</f>
        <v>0</v>
      </c>
      <c r="E1070" s="1">
        <f>IFERROR(VLOOKUP(50,'PEDIDO 14'!$C$2:$E$230,3,0),0)</f>
        <v>0</v>
      </c>
      <c r="F1070" s="1">
        <f>IFERROR(VLOOKUP(298,'PEDIDO 14'!$C$2:$E$230,3,0),0)</f>
        <v>0</v>
      </c>
      <c r="G1070" s="18">
        <f t="shared" si="26"/>
        <v>0</v>
      </c>
    </row>
    <row r="1071" spans="1:7" ht="15.75" x14ac:dyDescent="0.25">
      <c r="A1071" s="15" t="str">
        <f>'PEDIDO 14'!$B$2</f>
        <v>Cerqueira Cesar-Casa Moveis E Colchoes Donadel Oli</v>
      </c>
      <c r="B1071" s="12" t="s">
        <v>415</v>
      </c>
      <c r="C1071" s="1">
        <f>IFERROR(VLOOKUP(52,'PEDIDO 14'!$C$2:$E$230,3,0),0)</f>
        <v>0</v>
      </c>
      <c r="D1071" s="1">
        <f>IFERROR(VLOOKUP(53,'PEDIDO 14'!$C$2:$E$230,3,0),0)</f>
        <v>0</v>
      </c>
      <c r="E1071" s="1">
        <f>IFERROR(VLOOKUP(54,'PEDIDO 14'!$C$2:$E$230,3,0),0)</f>
        <v>0</v>
      </c>
      <c r="F1071" s="1">
        <f>IFERROR(VLOOKUP(299,'PEDIDO 14'!$C$2:$E$230,3,0),0)</f>
        <v>0</v>
      </c>
      <c r="G1071" s="18">
        <f t="shared" si="26"/>
        <v>0</v>
      </c>
    </row>
    <row r="1072" spans="1:7" ht="15.75" x14ac:dyDescent="0.25">
      <c r="A1072" s="15" t="str">
        <f>'PEDIDO 14'!$B$2</f>
        <v>Cerqueira Cesar-Casa Moveis E Colchoes Donadel Oli</v>
      </c>
      <c r="B1072" s="12" t="s">
        <v>416</v>
      </c>
      <c r="C1072" s="1">
        <f>IFERROR(VLOOKUP(56,'PEDIDO 14'!$C$2:$E$230,3,0),0)</f>
        <v>0</v>
      </c>
      <c r="D1072" s="1">
        <f>IFERROR(VLOOKUP(61,'PEDIDO 14'!$C$2:$E$230,3,0),0)</f>
        <v>0</v>
      </c>
      <c r="E1072" s="1">
        <f>IFERROR(VLOOKUP(58,'PEDIDO 14'!$C$2:$E$230,3,0),0)</f>
        <v>0</v>
      </c>
      <c r="F1072" s="1">
        <f>IFERROR(VLOOKUP(300,'PEDIDO 14'!$C$2:$E$230,3,0),0)</f>
        <v>0</v>
      </c>
      <c r="G1072" s="18">
        <f t="shared" si="26"/>
        <v>0</v>
      </c>
    </row>
    <row r="1073" spans="1:7" ht="15.75" x14ac:dyDescent="0.25">
      <c r="A1073" s="15" t="str">
        <f>'PEDIDO 14'!$B$2</f>
        <v>Cerqueira Cesar-Casa Moveis E Colchoes Donadel Oli</v>
      </c>
      <c r="B1073" s="12" t="s">
        <v>417</v>
      </c>
      <c r="C1073" s="1">
        <f>IFERROR(VLOOKUP(60,'PEDIDO 14'!$C$2:$E$230,3,0),0)</f>
        <v>0</v>
      </c>
      <c r="D1073" s="1">
        <f>IFERROR(VLOOKUP(120,'PEDIDO 14'!$C$2:$E$230,3,0),0)</f>
        <v>0</v>
      </c>
      <c r="E1073" s="1">
        <f>IFERROR(VLOOKUP(62,'PEDIDO 14'!$C$2:$E$230,3,0),0)</f>
        <v>0</v>
      </c>
      <c r="F1073" s="1">
        <f>IFERROR(VLOOKUP(301,'PEDIDO 14'!$C$2:$E$230,3,0),0)</f>
        <v>0</v>
      </c>
      <c r="G1073" s="18">
        <f t="shared" si="26"/>
        <v>0</v>
      </c>
    </row>
    <row r="1074" spans="1:7" ht="15.75" x14ac:dyDescent="0.25">
      <c r="A1074" s="15" t="str">
        <f>'PEDIDO 14'!$B$2</f>
        <v>Cerqueira Cesar-Casa Moveis E Colchoes Donadel Oli</v>
      </c>
      <c r="B1074" s="12" t="s">
        <v>426</v>
      </c>
      <c r="C1074" s="1">
        <f>IFERROR(VLOOKUP(112,'PEDIDO 14'!$C$2:$E$230,3,0),0)</f>
        <v>0</v>
      </c>
      <c r="D1074" s="1">
        <f>IFERROR(VLOOKUP(113,'PEDIDO 14'!$C$2:$E$230,3,0),0)</f>
        <v>0</v>
      </c>
      <c r="E1074" s="1">
        <f>IFERROR(VLOOKUP(114,'PEDIDO 14'!$C$2:$E$230,3,0),0)</f>
        <v>0</v>
      </c>
      <c r="F1074" s="1">
        <f>IFERROR(VLOOKUP(296,'PEDIDO 14'!$C$2:$E$230,3,0),0)</f>
        <v>0</v>
      </c>
      <c r="G1074" s="18">
        <f t="shared" si="26"/>
        <v>0</v>
      </c>
    </row>
    <row r="1075" spans="1:7" ht="15.75" x14ac:dyDescent="0.25">
      <c r="A1075" s="15" t="str">
        <f>'PEDIDO 14'!$B$2</f>
        <v>Cerqueira Cesar-Casa Moveis E Colchoes Donadel Oli</v>
      </c>
      <c r="B1075" s="12" t="s">
        <v>427</v>
      </c>
      <c r="C1075" s="1">
        <f>IFERROR(VLOOKUP(116,'PEDIDO 14'!$C$2:$E$230,3,0),0)</f>
        <v>0</v>
      </c>
      <c r="D1075" s="1">
        <f>IFERROR(VLOOKUP(117,'PEDIDO 14'!$C$2:$E$230,3,0),0)</f>
        <v>0</v>
      </c>
      <c r="E1075" s="1">
        <f>IFERROR(VLOOKUP(118,'PEDIDO 14'!$C$2:$E$230,3,0),0)</f>
        <v>0</v>
      </c>
      <c r="F1075" s="1">
        <f>IFERROR(VLOOKUP(293,'PEDIDO 14'!$C$2:$E$230,3,0),0)</f>
        <v>0</v>
      </c>
      <c r="G1075" s="18">
        <f t="shared" si="26"/>
        <v>0</v>
      </c>
    </row>
    <row r="1076" spans="1:7" ht="15.75" x14ac:dyDescent="0.25">
      <c r="A1076" s="15" t="str">
        <f>'PEDIDO 14'!$B$2</f>
        <v>Cerqueira Cesar-Casa Moveis E Colchoes Donadel Oli</v>
      </c>
      <c r="B1076" s="12" t="s">
        <v>418</v>
      </c>
      <c r="C1076" s="1">
        <f>IFERROR(VLOOKUP(963,'PEDIDO 14'!$C$2:$E$230,3,0),0)</f>
        <v>0</v>
      </c>
      <c r="D1076" s="1">
        <f>IFERROR(VLOOKUP(965,'PEDIDO 14'!$C$2:$E$230,3,0),0)</f>
        <v>0</v>
      </c>
      <c r="E1076" s="1">
        <f>IFERROR(VLOOKUP(966,'PEDIDO 14'!$C$2:$E$230,3,0),0)</f>
        <v>0</v>
      </c>
      <c r="F1076" s="1">
        <f>IFERROR(VLOOKUP(964,'PEDIDO 14'!$C$2:$E$230,3,0),0)</f>
        <v>0</v>
      </c>
      <c r="G1076" s="18">
        <f t="shared" si="26"/>
        <v>0</v>
      </c>
    </row>
    <row r="1077" spans="1:7" ht="15.75" x14ac:dyDescent="0.25">
      <c r="A1077" s="15" t="str">
        <f>'PEDIDO 14'!$B$2</f>
        <v>Cerqueira Cesar-Casa Moveis E Colchoes Donadel Oli</v>
      </c>
      <c r="B1077" s="12" t="s">
        <v>419</v>
      </c>
      <c r="C1077" s="1">
        <f>IFERROR(VLOOKUP(2042,'PEDIDO 14'!$C$2:$E$230,3,0),0)</f>
        <v>0</v>
      </c>
      <c r="D1077" s="1">
        <f>IFERROR(VLOOKUP(2041,'PEDIDO 14'!$C$2:$E$230,3,0),0)</f>
        <v>0</v>
      </c>
      <c r="E1077" s="1">
        <f>IFERROR(VLOOKUP(2043,'PEDIDO 14'!$C$2:$E$230,3,0),0)</f>
        <v>0</v>
      </c>
      <c r="F1077" s="1">
        <f>IFERROR(VLOOKUP(2040,'PEDIDO 14'!$C$2:$E$230,3,0),0)</f>
        <v>0</v>
      </c>
      <c r="G1077" s="18">
        <f t="shared" si="26"/>
        <v>0</v>
      </c>
    </row>
    <row r="1078" spans="1:7" ht="15.75" x14ac:dyDescent="0.25">
      <c r="A1078" s="15" t="str">
        <f>'PEDIDO 14'!$B$2</f>
        <v>Cerqueira Cesar-Casa Moveis E Colchoes Donadel Oli</v>
      </c>
      <c r="B1078" s="12" t="s">
        <v>420</v>
      </c>
      <c r="C1078" s="1">
        <f>IFERROR(VLOOKUP(2045,'PEDIDO 14'!$C$2:$E$230,3,0),0)</f>
        <v>0</v>
      </c>
      <c r="D1078" s="1">
        <f>IFERROR(VLOOKUP(2046,'PEDIDO 14'!$C$2:$E$230,3,0),0)</f>
        <v>0</v>
      </c>
      <c r="E1078" s="1">
        <f>IFERROR(VLOOKUP(2047,'PEDIDO 14'!$C$2:$E$230,3,0),0)</f>
        <v>0</v>
      </c>
      <c r="F1078" s="1">
        <f>IFERROR(VLOOKUP(2048,'PEDIDO 14'!$C$2:$E$230,3,0),0)</f>
        <v>0</v>
      </c>
      <c r="G1078" s="18">
        <f t="shared" si="26"/>
        <v>0</v>
      </c>
    </row>
    <row r="1079" spans="1:7" ht="15.75" x14ac:dyDescent="0.25">
      <c r="A1079" s="15" t="str">
        <f>'PEDIDO 14'!$B$2</f>
        <v>Cerqueira Cesar-Casa Moveis E Colchoes Donadel Oli</v>
      </c>
      <c r="B1079" s="12" t="s">
        <v>421</v>
      </c>
      <c r="C1079" s="1">
        <f>IFERROR(VLOOKUP(2050,'PEDIDO 14'!$C$2:$E$230,3,0),0)</f>
        <v>0</v>
      </c>
      <c r="D1079" s="1">
        <f>IFERROR(VLOOKUP(2051,'PEDIDO 14'!$C$2:$E$230,3,0),0)</f>
        <v>0</v>
      </c>
      <c r="E1079" s="1">
        <f>IFERROR(VLOOKUP(2052,'PEDIDO 14'!$C$2:$E$230,3,0),0)</f>
        <v>0</v>
      </c>
      <c r="F1079" s="1">
        <f>IFERROR(VLOOKUP(2053,'PEDIDO 14'!$C$2:$E$230,3,0),0)</f>
        <v>0</v>
      </c>
      <c r="G1079" s="18">
        <f t="shared" si="26"/>
        <v>0</v>
      </c>
    </row>
    <row r="1080" spans="1:7" ht="15.75" x14ac:dyDescent="0.25">
      <c r="A1080" s="15" t="str">
        <f>'PEDIDO 14'!$B$2</f>
        <v>Cerqueira Cesar-Casa Moveis E Colchoes Donadel Oli</v>
      </c>
      <c r="B1080" s="12" t="s">
        <v>422</v>
      </c>
      <c r="C1080" s="1">
        <f>IFERROR(VLOOKUP(216,'PEDIDO 14'!$C$2:$E$230,3,0),0)</f>
        <v>0</v>
      </c>
      <c r="D1080" s="1">
        <f>IFERROR(VLOOKUP(217,'PEDIDO 14'!$C$2:$E$230,3,0),0)</f>
        <v>0</v>
      </c>
      <c r="E1080" s="1">
        <f>IFERROR(VLOOKUP(218,'PEDIDO 14'!$C$2:$E$230,3,0),0)</f>
        <v>0</v>
      </c>
      <c r="F1080" s="1">
        <f>IFERROR(VLOOKUP(305,'PEDIDO 14'!$C$2:$E$230,3,0),0)</f>
        <v>0</v>
      </c>
      <c r="G1080" s="18">
        <f t="shared" si="26"/>
        <v>0</v>
      </c>
    </row>
    <row r="1081" spans="1:7" ht="15.75" x14ac:dyDescent="0.25">
      <c r="A1081" s="15" t="str">
        <f>'PEDIDO 14'!$B$2</f>
        <v>Cerqueira Cesar-Casa Moveis E Colchoes Donadel Oli</v>
      </c>
      <c r="B1081" s="12" t="s">
        <v>423</v>
      </c>
      <c r="C1081" s="1">
        <f>IFERROR(VLOOKUP(100,'PEDIDO 14'!$C$2:$E$230,3,0),0)</f>
        <v>0</v>
      </c>
      <c r="D1081" s="1">
        <f>IFERROR(VLOOKUP(101,'PEDIDO 14'!$C$2:$E$230,3,0),0)</f>
        <v>0</v>
      </c>
      <c r="E1081" s="1">
        <f>IFERROR(VLOOKUP(102,'PEDIDO 14'!$C$2:$E$230,3,0),0)</f>
        <v>0</v>
      </c>
      <c r="F1081" s="1">
        <f>IFERROR(VLOOKUP(306,'PEDIDO 14'!$C$2:$E$230,3,0),0)</f>
        <v>0</v>
      </c>
      <c r="G1081" s="18">
        <f t="shared" si="26"/>
        <v>0</v>
      </c>
    </row>
    <row r="1082" spans="1:7" ht="15.75" x14ac:dyDescent="0.25">
      <c r="A1082" s="15" t="str">
        <f>'PEDIDO 14'!$B$2</f>
        <v>Cerqueira Cesar-Casa Moveis E Colchoes Donadel Oli</v>
      </c>
      <c r="B1082" s="12" t="s">
        <v>424</v>
      </c>
      <c r="C1082" s="1">
        <f>IFERROR(VLOOKUP(104,'PEDIDO 14'!$C$2:$E$230,3,0),0)</f>
        <v>0</v>
      </c>
      <c r="D1082" s="1">
        <f>IFERROR(VLOOKUP(105,'PEDIDO 14'!$C$2:$E$230,3,0),0)</f>
        <v>0</v>
      </c>
      <c r="E1082" s="1">
        <f>IFERROR(VLOOKUP(106,'PEDIDO 14'!$C$2:$E$230,3,0),0)</f>
        <v>0</v>
      </c>
      <c r="F1082" s="1">
        <f>IFERROR(VLOOKUP(307,'PEDIDO 14'!$C$2:$E$230,3,0),0)</f>
        <v>0</v>
      </c>
      <c r="G1082" s="18">
        <f t="shared" si="26"/>
        <v>0</v>
      </c>
    </row>
    <row r="1083" spans="1:7" ht="15.75" x14ac:dyDescent="0.25">
      <c r="A1083" s="15" t="str">
        <f>'PEDIDO 14'!$B$2</f>
        <v>Cerqueira Cesar-Casa Moveis E Colchoes Donadel Oli</v>
      </c>
      <c r="B1083" s="12" t="s">
        <v>425</v>
      </c>
      <c r="C1083" s="1">
        <f>IFERROR(VLOOKUP(400,'PEDIDO 14'!$C$2:$E$230,3,0),0)</f>
        <v>0</v>
      </c>
      <c r="D1083" s="1">
        <f>IFERROR(VLOOKUP(401,'PEDIDO 14'!$C$2:$E$230,3,0),0)</f>
        <v>0</v>
      </c>
      <c r="E1083" s="1">
        <f>IFERROR(VLOOKUP(402,'PEDIDO 14'!$C$2:$E$230,3,0),0)</f>
        <v>0</v>
      </c>
      <c r="F1083" s="1">
        <f>IFERROR(VLOOKUP(403,'PEDIDO 14'!$C$2:$E$230,3,0),0)</f>
        <v>0</v>
      </c>
      <c r="G1083" s="18">
        <f t="shared" si="26"/>
        <v>0</v>
      </c>
    </row>
    <row r="1084" spans="1:7" ht="15.75" x14ac:dyDescent="0.25">
      <c r="A1084" s="15" t="str">
        <f>'PEDIDO 14'!$B$2</f>
        <v>Cerqueira Cesar-Casa Moveis E Colchoes Donadel Oli</v>
      </c>
      <c r="B1084" s="12" t="s">
        <v>428</v>
      </c>
      <c r="C1084" s="1">
        <f>IFERROR(VLOOKUP(22,'PEDIDO 14'!$C$2:$E$230,3,0),0)</f>
        <v>0</v>
      </c>
      <c r="D1084" s="1"/>
      <c r="E1084" s="1"/>
      <c r="F1084" s="1"/>
      <c r="G1084" s="18">
        <f t="shared" si="26"/>
        <v>0</v>
      </c>
    </row>
    <row r="1085" spans="1:7" ht="15.75" x14ac:dyDescent="0.25">
      <c r="A1085" s="15" t="str">
        <f>'PEDIDO 14'!$B$2</f>
        <v>Cerqueira Cesar-Casa Moveis E Colchoes Donadel Oli</v>
      </c>
      <c r="B1085" s="12" t="s">
        <v>429</v>
      </c>
      <c r="C1085" s="1">
        <f>IFERROR(VLOOKUP(21,'PEDIDO 14'!$C$2:$E$230,3,0),0)</f>
        <v>0</v>
      </c>
      <c r="D1085" s="1"/>
      <c r="E1085" s="1"/>
      <c r="F1085" s="1"/>
      <c r="G1085" s="18">
        <f t="shared" si="26"/>
        <v>0</v>
      </c>
    </row>
    <row r="1086" spans="1:7" ht="15.75" x14ac:dyDescent="0.25">
      <c r="A1086" s="15" t="str">
        <f>'PEDIDO 14'!$B$2</f>
        <v>Cerqueira Cesar-Casa Moveis E Colchoes Donadel Oli</v>
      </c>
      <c r="B1086" s="12" t="s">
        <v>430</v>
      </c>
      <c r="C1086" s="1">
        <f>IFERROR(VLOOKUP(1125,'PEDIDO 14'!$C$2:$E$230,3,0),0)</f>
        <v>0</v>
      </c>
      <c r="D1086" s="1">
        <f>IFERROR(VLOOKUP(1126,'PEDIDO 14'!$C$2:$E$230,3,0),0)</f>
        <v>0</v>
      </c>
      <c r="E1086" s="1">
        <f>IFERROR(VLOOKUP(1127,'PEDIDO 14'!$C$2:$E$230,3,0),0)</f>
        <v>0</v>
      </c>
      <c r="F1086" s="1">
        <f>IFERROR(VLOOKUP(1128,'PEDIDO 14'!$C$2:$E$230,3,0),0)</f>
        <v>0</v>
      </c>
      <c r="G1086" s="18">
        <f t="shared" si="26"/>
        <v>0</v>
      </c>
    </row>
    <row r="1087" spans="1:7" ht="15.75" x14ac:dyDescent="0.25">
      <c r="A1087" s="15" t="str">
        <f>'PEDIDO 14'!$B$2</f>
        <v>Cerqueira Cesar-Casa Moveis E Colchoes Donadel Oli</v>
      </c>
      <c r="B1087" s="12" t="s">
        <v>431</v>
      </c>
      <c r="C1087" s="1">
        <f>IFERROR(VLOOKUP(1133,'PEDIDO 14'!$C$2:$E$230,3,0),0)</f>
        <v>0</v>
      </c>
      <c r="D1087" s="1">
        <f>IFERROR(VLOOKUP(1134,'PEDIDO 14'!$C$2:$E$230,3,0),0)</f>
        <v>0</v>
      </c>
      <c r="E1087" s="1">
        <f>IFERROR(VLOOKUP(1135,'PEDIDO 14'!$C$2:$E$230,3,0),0)</f>
        <v>0</v>
      </c>
      <c r="F1087" s="1">
        <f>IFERROR(VLOOKUP(1136,'PEDIDO 14'!$C$2:$E$230,3,0),0)</f>
        <v>0</v>
      </c>
      <c r="G1087" s="18">
        <f t="shared" si="26"/>
        <v>0</v>
      </c>
    </row>
    <row r="1088" spans="1:7" ht="15.75" x14ac:dyDescent="0.25">
      <c r="A1088" s="15" t="str">
        <f>'PEDIDO 14'!$B$2</f>
        <v>Cerqueira Cesar-Casa Moveis E Colchoes Donadel Oli</v>
      </c>
      <c r="B1088" s="12" t="s">
        <v>432</v>
      </c>
      <c r="C1088" s="1">
        <f>IFERROR(VLOOKUP(1105,'PEDIDO 14'!$C$2:$E$230,3,0),0)</f>
        <v>0</v>
      </c>
      <c r="D1088" s="1">
        <f>IFERROR(VLOOKUP(1106,'PEDIDO 14'!$C$2:$E$230,3,0),0)</f>
        <v>0</v>
      </c>
      <c r="E1088" s="1">
        <f>IFERROR(VLOOKUP(1107,'PEDIDO 14'!$C$2:$E$230,3,0),0)</f>
        <v>0</v>
      </c>
      <c r="F1088" s="1">
        <f>IFERROR(VLOOKUP(1108,'PEDIDO 14'!$C$2:$E$230,3,0),0)</f>
        <v>0</v>
      </c>
      <c r="G1088" s="18">
        <f t="shared" si="26"/>
        <v>0</v>
      </c>
    </row>
    <row r="1089" spans="1:7" ht="15.75" x14ac:dyDescent="0.25">
      <c r="A1089" s="15" t="str">
        <f>'PEDIDO 14'!$B$2</f>
        <v>Cerqueira Cesar-Casa Moveis E Colchoes Donadel Oli</v>
      </c>
      <c r="B1089" s="12" t="s">
        <v>433</v>
      </c>
      <c r="C1089" s="1">
        <f>IFERROR(VLOOKUP(1109,'PEDIDO 14'!$C$2:$E$230,3,0),0)</f>
        <v>0</v>
      </c>
      <c r="D1089" s="1">
        <f>IFERROR(VLOOKUP(1110,'PEDIDO 14'!$C$2:$E$230,3,0),0)</f>
        <v>0</v>
      </c>
      <c r="E1089" s="1">
        <f>IFERROR(VLOOKUP(1111,'PEDIDO 14'!$C$2:$E$230,3,0),0)</f>
        <v>0</v>
      </c>
      <c r="F1089" s="1">
        <f>IFERROR(VLOOKUP(1112,'PEDIDO 14'!$C$2:$E$230,3,0),0)</f>
        <v>0</v>
      </c>
      <c r="G1089" s="18">
        <f t="shared" si="26"/>
        <v>0</v>
      </c>
    </row>
    <row r="1090" spans="1:7" ht="15.75" x14ac:dyDescent="0.25">
      <c r="A1090" s="15" t="str">
        <f>'PEDIDO 14'!$B$2</f>
        <v>Cerqueira Cesar-Casa Moveis E Colchoes Donadel Oli</v>
      </c>
      <c r="B1090" s="12" t="s">
        <v>434</v>
      </c>
      <c r="C1090" s="1">
        <f>IFERROR(VLOOKUP(1113,'PEDIDO 14'!$C$2:$E$230,3,0),0)</f>
        <v>0</v>
      </c>
      <c r="D1090" s="1">
        <f>IFERROR(VLOOKUP(1114,'PEDIDO 14'!$C$2:$E$230,3,0),0)</f>
        <v>0</v>
      </c>
      <c r="E1090" s="1">
        <f>IFERROR(VLOOKUP(1115,'PEDIDO 14'!$C$2:$E$230,3,0),0)</f>
        <v>0</v>
      </c>
      <c r="F1090" s="1">
        <f>IFERROR(VLOOKUP(1116,'PEDIDO 14'!$C$2:$E$230,3,0),0)</f>
        <v>0</v>
      </c>
      <c r="G1090" s="18">
        <f t="shared" si="26"/>
        <v>0</v>
      </c>
    </row>
    <row r="1091" spans="1:7" ht="15.75" x14ac:dyDescent="0.25">
      <c r="A1091" s="15" t="str">
        <f>'PEDIDO 14'!$B$2</f>
        <v>Cerqueira Cesar-Casa Moveis E Colchoes Donadel Oli</v>
      </c>
      <c r="B1091" s="12" t="s">
        <v>435</v>
      </c>
      <c r="C1091" s="1">
        <f>IFERROR(VLOOKUP(1117,'PEDIDO 14'!$C$2:$E$230,3,0),0)</f>
        <v>0</v>
      </c>
      <c r="D1091" s="1">
        <f>IFERROR(VLOOKUP(1118,'PEDIDO 14'!$C$2:$E$230,3,0),0)</f>
        <v>0</v>
      </c>
      <c r="E1091" s="1">
        <f>IFERROR(VLOOKUP(1119,'PEDIDO 14'!$C$2:$E$230,3,0),0)</f>
        <v>0</v>
      </c>
      <c r="F1091" s="1">
        <f>IFERROR(VLOOKUP(1120,'PEDIDO 14'!$C$2:$E$230,3,0),0)</f>
        <v>0</v>
      </c>
      <c r="G1091" s="18">
        <f t="shared" si="26"/>
        <v>0</v>
      </c>
    </row>
    <row r="1092" spans="1:7" ht="15.75" x14ac:dyDescent="0.25">
      <c r="A1092" s="15" t="str">
        <f>'PEDIDO 14'!$B$2</f>
        <v>Cerqueira Cesar-Casa Moveis E Colchoes Donadel Oli</v>
      </c>
      <c r="B1092" s="12" t="s">
        <v>436</v>
      </c>
      <c r="C1092" s="1">
        <f>IFERROR(VLOOKUP(1121,'PEDIDO 14'!$C$2:$E$230,3,0),0)</f>
        <v>0</v>
      </c>
      <c r="D1092" s="1">
        <f>IFERROR(VLOOKUP(1122,'PEDIDO 14'!$C$2:$E$230,3,0),0)</f>
        <v>0</v>
      </c>
      <c r="E1092" s="1">
        <f>IFERROR(VLOOKUP(1123,'PEDIDO 14'!$C$2:$E$230,3,0),0)</f>
        <v>0</v>
      </c>
      <c r="F1092" s="1">
        <f>IFERROR(VLOOKUP(1124,'PEDIDO 14'!$C$2:$E$230,3,0),0)</f>
        <v>0</v>
      </c>
      <c r="G1092" s="18">
        <f t="shared" si="26"/>
        <v>0</v>
      </c>
    </row>
    <row r="1093" spans="1:7" ht="15.75" x14ac:dyDescent="0.25">
      <c r="A1093" s="15" t="str">
        <f>'PEDIDO 14'!$B$2</f>
        <v>Cerqueira Cesar-Casa Moveis E Colchoes Donadel Oli</v>
      </c>
      <c r="B1093" s="12" t="s">
        <v>437</v>
      </c>
      <c r="C1093" s="1">
        <f>IFERROR(VLOOKUP(1129,'PEDIDO 14'!$C$2:$E$230,3,0),0)</f>
        <v>0</v>
      </c>
      <c r="D1093" s="1">
        <f>IFERROR(VLOOKUP(1130,'PEDIDO 14'!$C$2:$E$230,3,0),0)</f>
        <v>0</v>
      </c>
      <c r="E1093" s="1">
        <f>IFERROR(VLOOKUP(1131,'PEDIDO 14'!$C$2:$E$230,3,0),0)</f>
        <v>0</v>
      </c>
      <c r="F1093" s="1">
        <f>IFERROR(VLOOKUP(1132,'PEDIDO 14'!$C$2:$E$230,3,0),0)</f>
        <v>0</v>
      </c>
      <c r="G1093" s="18">
        <f t="shared" si="26"/>
        <v>0</v>
      </c>
    </row>
    <row r="1094" spans="1:7" ht="15.75" x14ac:dyDescent="0.25">
      <c r="A1094" s="15" t="str">
        <f>'PEDIDO 14'!$B$2</f>
        <v>Cerqueira Cesar-Casa Moveis E Colchoes Donadel Oli</v>
      </c>
      <c r="B1094" s="12" t="s">
        <v>438</v>
      </c>
      <c r="C1094" s="1">
        <f>IFERROR(VLOOKUP(1137,'PEDIDO 14'!$C$2:$E$230,3,0),0)</f>
        <v>0</v>
      </c>
      <c r="D1094" s="1">
        <f>IFERROR(VLOOKUP(1138,'PEDIDO 14'!$C$2:$E$230,3,0),0)</f>
        <v>0</v>
      </c>
      <c r="E1094" s="1">
        <f>IFERROR(VLOOKUP(1139,'PEDIDO 14'!$C$2:$E$230,3,0),0)</f>
        <v>0</v>
      </c>
      <c r="F1094" s="1">
        <f>IFERROR(VLOOKUP(1140,'PEDIDO 14'!$C$2:$E$230,3,0),0)</f>
        <v>0</v>
      </c>
      <c r="G1094" s="18">
        <f t="shared" si="26"/>
        <v>0</v>
      </c>
    </row>
    <row r="1095" spans="1:7" ht="15.75" x14ac:dyDescent="0.25">
      <c r="A1095" s="15" t="str">
        <f>'PEDIDO 14'!$B$2</f>
        <v>Cerqueira Cesar-Casa Moveis E Colchoes Donadel Oli</v>
      </c>
      <c r="B1095" s="12" t="s">
        <v>439</v>
      </c>
      <c r="C1095" s="1">
        <f>IFERROR(VLOOKUP(1141,'PEDIDO 14'!$C$2:$E$230,3,0),0)</f>
        <v>0</v>
      </c>
      <c r="D1095" s="1">
        <f>IFERROR(VLOOKUP(1142,'PEDIDO 14'!$C$2:$E$230,3,0),0)</f>
        <v>0</v>
      </c>
      <c r="E1095" s="1">
        <f>IFERROR(VLOOKUP(1143,'PEDIDO 14'!$C$2:$E$230,3,0),0)</f>
        <v>0</v>
      </c>
      <c r="F1095" s="1">
        <f>IFERROR(VLOOKUP(1144,'PEDIDO 14'!$C$2:$E$230,3,0),0)</f>
        <v>0</v>
      </c>
      <c r="G1095" s="18">
        <f t="shared" si="26"/>
        <v>0</v>
      </c>
    </row>
    <row r="1096" spans="1:7" ht="15.75" x14ac:dyDescent="0.25">
      <c r="A1096" s="15" t="str">
        <f>'PEDIDO 14'!$B$2</f>
        <v>Cerqueira Cesar-Casa Moveis E Colchoes Donadel Oli</v>
      </c>
      <c r="B1096" s="12" t="s">
        <v>440</v>
      </c>
      <c r="C1096" s="1">
        <f>IFERROR(VLOOKUP(1145,'PEDIDO 14'!$C$2:$E$230,3,0),0)</f>
        <v>0</v>
      </c>
      <c r="D1096" s="1">
        <f>IFERROR(VLOOKUP(1146,'PEDIDO 14'!$C$2:$E$230,3,0),0)</f>
        <v>0</v>
      </c>
      <c r="E1096" s="1">
        <f>IFERROR(VLOOKUP(1147,'PEDIDO 14'!$C$2:$E$230,3,0),0)</f>
        <v>0</v>
      </c>
      <c r="F1096" s="1">
        <f>IFERROR(VLOOKUP(1148,'PEDIDO 14'!$C$2:$E$230,3,0),0)</f>
        <v>0</v>
      </c>
      <c r="G1096" s="18">
        <f t="shared" si="26"/>
        <v>0</v>
      </c>
    </row>
    <row r="1097" spans="1:7" ht="15.75" x14ac:dyDescent="0.25">
      <c r="A1097" s="15" t="str">
        <f>'PEDIDO 14'!$B$2</f>
        <v>Cerqueira Cesar-Casa Moveis E Colchoes Donadel Oli</v>
      </c>
      <c r="B1097" s="12" t="s">
        <v>441</v>
      </c>
      <c r="C1097" s="1">
        <f>IFERROR(VLOOKUP(1149,'PEDIDO 14'!$C$2:$E$230,3,0),0)</f>
        <v>0</v>
      </c>
      <c r="D1097" s="1">
        <f>IFERROR(VLOOKUP(1150,'PEDIDO 14'!$C$2:$E$230,3,0),0)</f>
        <v>0</v>
      </c>
      <c r="E1097" s="1">
        <f>IFERROR(VLOOKUP(1151,'PEDIDO 14'!$C$2:$E$230,3,0),0)</f>
        <v>0</v>
      </c>
      <c r="F1097" s="1">
        <f>IFERROR(VLOOKUP(1152,'PEDIDO 14'!$C$2:$E$230,3,0),0)</f>
        <v>0</v>
      </c>
      <c r="G1097" s="18">
        <f t="shared" si="26"/>
        <v>0</v>
      </c>
    </row>
    <row r="1098" spans="1:7" ht="15.75" x14ac:dyDescent="0.25">
      <c r="A1098" s="15" t="str">
        <f>'PEDIDO 14'!$B$2</f>
        <v>Cerqueira Cesar-Casa Moveis E Colchoes Donadel Oli</v>
      </c>
      <c r="B1098" s="12" t="s">
        <v>442</v>
      </c>
      <c r="C1098" s="1">
        <f>IFERROR(VLOOKUP(1153,'PEDIDO 14'!$C$2:$E$230,3,0),0)</f>
        <v>0</v>
      </c>
      <c r="D1098" s="1">
        <f>IFERROR(VLOOKUP(1154,'PEDIDO 14'!$C$2:$E$230,3,0),0)</f>
        <v>0</v>
      </c>
      <c r="E1098" s="1">
        <f>IFERROR(VLOOKUP(1155,'PEDIDO 14'!$C$2:$E$230,3,0),0)</f>
        <v>0</v>
      </c>
      <c r="F1098" s="1">
        <f>IFERROR(VLOOKUP(1156,'PEDIDO 14'!$C$2:$E$230,3,0),0)</f>
        <v>0</v>
      </c>
      <c r="G1098" s="18">
        <f t="shared" si="26"/>
        <v>0</v>
      </c>
    </row>
    <row r="1099" spans="1:7" ht="15.75" x14ac:dyDescent="0.25">
      <c r="A1099" s="15" t="str">
        <f>'PEDIDO 14'!$B$2</f>
        <v>Cerqueira Cesar-Casa Moveis E Colchoes Donadel Oli</v>
      </c>
      <c r="B1099" s="12" t="s">
        <v>443</v>
      </c>
      <c r="C1099" s="1">
        <f>IFERROR(VLOOKUP(1157,'PEDIDO 14'!$C$2:$E$230,3,0),0)</f>
        <v>0</v>
      </c>
      <c r="D1099" s="1">
        <f>IFERROR(VLOOKUP(1158,'PEDIDO 14'!$C$2:$E$230,3,0),0)</f>
        <v>0</v>
      </c>
      <c r="E1099" s="1">
        <f>IFERROR(VLOOKUP(1159,'PEDIDO 14'!$C$2:$E$230,3,0),0)</f>
        <v>0</v>
      </c>
      <c r="F1099" s="1">
        <f>IFERROR(VLOOKUP(1160,'PEDIDO 14'!$C$2:$E$230,3,0),0)</f>
        <v>2</v>
      </c>
      <c r="G1099" s="18">
        <f t="shared" si="26"/>
        <v>2</v>
      </c>
    </row>
    <row r="1100" spans="1:7" ht="15.75" x14ac:dyDescent="0.25">
      <c r="A1100" s="15" t="str">
        <f>'PEDIDO 14'!$B$2</f>
        <v>Cerqueira Cesar-Casa Moveis E Colchoes Donadel Oli</v>
      </c>
      <c r="B1100" s="12" t="s">
        <v>444</v>
      </c>
      <c r="C1100" s="1">
        <f>IFERROR(VLOOKUP(1161,'PEDIDO 14'!$C$2:$E$230,3,0),0)</f>
        <v>0</v>
      </c>
      <c r="D1100" s="1">
        <f>IFERROR(VLOOKUP(1162,'PEDIDO 14'!$C$2:$E$230,3,0),0)</f>
        <v>0</v>
      </c>
      <c r="E1100" s="1">
        <f>IFERROR(VLOOKUP(1163,'PEDIDO 14'!$C$2:$E$230,3,0),0)</f>
        <v>0</v>
      </c>
      <c r="F1100" s="1">
        <f>IFERROR(VLOOKUP(1164,'PEDIDO 14'!$C$2:$E$230,3,0),0)</f>
        <v>0</v>
      </c>
      <c r="G1100" s="18">
        <f t="shared" si="26"/>
        <v>0</v>
      </c>
    </row>
    <row r="1101" spans="1:7" ht="15.75" x14ac:dyDescent="0.25">
      <c r="A1101" s="15" t="str">
        <f>'PEDIDO 14'!$B$2</f>
        <v>Cerqueira Cesar-Casa Moveis E Colchoes Donadel Oli</v>
      </c>
      <c r="B1101" s="12" t="s">
        <v>445</v>
      </c>
      <c r="C1101" s="1">
        <f>IFERROR(VLOOKUP(1165,'PEDIDO 14'!$C$2:$E$230,3,0),0)</f>
        <v>0</v>
      </c>
      <c r="D1101" s="1">
        <f>IFERROR(VLOOKUP(1166,'PEDIDO 14'!$C$2:$E$230,3,0),0)</f>
        <v>0</v>
      </c>
      <c r="E1101" s="1">
        <f>IFERROR(VLOOKUP(1167,'PEDIDO 14'!$C$2:$E$230,3,0),0)</f>
        <v>0</v>
      </c>
      <c r="F1101" s="1">
        <f>IFERROR(VLOOKUP(1168,'PEDIDO 14'!$C$2:$E$230,3,0),0)</f>
        <v>0</v>
      </c>
      <c r="G1101" s="18">
        <f t="shared" si="26"/>
        <v>0</v>
      </c>
    </row>
    <row r="1102" spans="1:7" ht="15.75" x14ac:dyDescent="0.25">
      <c r="A1102" s="15" t="str">
        <f>'PEDIDO 14'!$B$2</f>
        <v>Cerqueira Cesar-Casa Moveis E Colchoes Donadel Oli</v>
      </c>
      <c r="B1102" s="12" t="s">
        <v>446</v>
      </c>
      <c r="C1102" s="1">
        <f>IFERROR(VLOOKUP(1169,'PEDIDO 14'!$C$2:$E$230,3,0),0)</f>
        <v>0</v>
      </c>
      <c r="D1102" s="1">
        <f>IFERROR(VLOOKUP(1170,'PEDIDO 14'!$C$2:$E$230,3,0),0)</f>
        <v>0</v>
      </c>
      <c r="E1102" s="1">
        <f>IFERROR(VLOOKUP(1171,'PEDIDO 14'!$C$2:$E$230,3,0),0)</f>
        <v>0</v>
      </c>
      <c r="F1102" s="1">
        <f>IFERROR(VLOOKUP(1172,'PEDIDO 14'!$C$2:$E$230,3,0),0)</f>
        <v>0</v>
      </c>
      <c r="G1102" s="18">
        <f t="shared" si="26"/>
        <v>0</v>
      </c>
    </row>
    <row r="1103" spans="1:7" ht="15.75" x14ac:dyDescent="0.25">
      <c r="A1103" s="15" t="str">
        <f>'PEDIDO 14'!$B$2</f>
        <v>Cerqueira Cesar-Casa Moveis E Colchoes Donadel Oli</v>
      </c>
      <c r="B1103" s="12" t="s">
        <v>447</v>
      </c>
      <c r="C1103" s="1">
        <f>IFERROR(VLOOKUP(1173,'PEDIDO 14'!$C$2:$E$230,3,0),0)</f>
        <v>0</v>
      </c>
      <c r="D1103" s="1">
        <f>IFERROR(VLOOKUP(1174,'PEDIDO 14'!$C$2:$E$230,3,0),0)</f>
        <v>0</v>
      </c>
      <c r="E1103" s="1">
        <f>IFERROR(VLOOKUP(1175,'PEDIDO 14'!$C$2:$E$230,3,0),0)</f>
        <v>0</v>
      </c>
      <c r="F1103" s="1">
        <f>IFERROR(VLOOKUP(1176,'PEDIDO 14'!$C$2:$E$230,3,0),0)</f>
        <v>0</v>
      </c>
      <c r="G1103" s="18">
        <f t="shared" si="26"/>
        <v>0</v>
      </c>
    </row>
    <row r="1104" spans="1:7" ht="15.75" x14ac:dyDescent="0.25">
      <c r="A1104" s="15" t="str">
        <f>'PEDIDO 14'!$B$2</f>
        <v>Cerqueira Cesar-Casa Moveis E Colchoes Donadel Oli</v>
      </c>
      <c r="B1104" s="12" t="s">
        <v>448</v>
      </c>
      <c r="C1104" s="1">
        <f>IFERROR(VLOOKUP(1249,'PEDIDO 14'!$C$2:$E$230,3,0),0)</f>
        <v>0</v>
      </c>
      <c r="D1104" s="1">
        <f>IFERROR(VLOOKUP(1250,'PEDIDO 14'!$C$2:$E$230,3,0),0)</f>
        <v>0</v>
      </c>
      <c r="E1104" s="1">
        <f>IFERROR(VLOOKUP(1251,'PEDIDO 14'!$C$2:$E$230,3,0),0)</f>
        <v>0</v>
      </c>
      <c r="F1104" s="1">
        <f>IFERROR(VLOOKUP(1252,'PEDIDO 14'!$C$2:$E$230,3,0),0)</f>
        <v>0</v>
      </c>
      <c r="G1104" s="18">
        <f t="shared" si="26"/>
        <v>0</v>
      </c>
    </row>
    <row r="1105" spans="1:7" ht="15.75" x14ac:dyDescent="0.25">
      <c r="A1105" s="15" t="str">
        <f>'PEDIDO 14'!$B$2</f>
        <v>Cerqueira Cesar-Casa Moveis E Colchoes Donadel Oli</v>
      </c>
      <c r="B1105" s="12" t="s">
        <v>449</v>
      </c>
      <c r="C1105" s="1">
        <f>IFERROR(VLOOKUP(1177,'PEDIDO 14'!$C$2:$E$230,3,0),0)</f>
        <v>0</v>
      </c>
      <c r="D1105" s="1">
        <f>IFERROR(VLOOKUP(1178,'PEDIDO 14'!$C$2:$E$230,3,0),0)</f>
        <v>0</v>
      </c>
      <c r="E1105" s="1">
        <f>IFERROR(VLOOKUP(1179,'PEDIDO 14'!$C$2:$E$230,3,0),0)</f>
        <v>0</v>
      </c>
      <c r="F1105" s="1">
        <f>IFERROR(VLOOKUP(1180,'PEDIDO 14'!$C$2:$E$230,3,0),0)</f>
        <v>0</v>
      </c>
      <c r="G1105" s="18">
        <f t="shared" si="26"/>
        <v>0</v>
      </c>
    </row>
    <row r="1106" spans="1:7" ht="15.75" x14ac:dyDescent="0.25">
      <c r="A1106" s="15" t="str">
        <f>'PEDIDO 14'!$B$2</f>
        <v>Cerqueira Cesar-Casa Moveis E Colchoes Donadel Oli</v>
      </c>
      <c r="B1106" s="12" t="s">
        <v>450</v>
      </c>
      <c r="C1106" s="1">
        <f>IFERROR(VLOOKUP(1181,'PEDIDO 14'!$C$2:$E$230,3,0),0)</f>
        <v>0</v>
      </c>
      <c r="D1106" s="1">
        <f>IFERROR(VLOOKUP(1182,'PEDIDO 14'!$C$2:$E$230,3,0),0)</f>
        <v>0</v>
      </c>
      <c r="E1106" s="1">
        <f>IFERROR(VLOOKUP(1183,'PEDIDO 14'!$C$2:$E$230,3,0),0)</f>
        <v>0</v>
      </c>
      <c r="F1106" s="1">
        <f>IFERROR(VLOOKUP(1184,'PEDIDO 14'!$C$2:$E$230,3,0),0)</f>
        <v>0</v>
      </c>
      <c r="G1106" s="18">
        <f t="shared" si="26"/>
        <v>0</v>
      </c>
    </row>
    <row r="1107" spans="1:7" ht="15.75" x14ac:dyDescent="0.25">
      <c r="A1107" s="15" t="str">
        <f>'PEDIDO 14'!$B$2</f>
        <v>Cerqueira Cesar-Casa Moveis E Colchoes Donadel Oli</v>
      </c>
      <c r="B1107" s="12" t="s">
        <v>451</v>
      </c>
      <c r="C1107" s="1">
        <f>IFERROR(VLOOKUP(1185,'PEDIDO 14'!$C$2:$E$230,3,0),0)</f>
        <v>0</v>
      </c>
      <c r="D1107" s="1">
        <f>IFERROR(VLOOKUP(1186,'PEDIDO 14'!$C$2:$E$230,3,0),0)</f>
        <v>0</v>
      </c>
      <c r="E1107" s="1">
        <f>IFERROR(VLOOKUP(1187,'PEDIDO 14'!$C$2:$E$230,3,0),0)</f>
        <v>0</v>
      </c>
      <c r="F1107" s="1">
        <f>IFERROR(VLOOKUP(1188,'PEDIDO 14'!$C$2:$E$230,3,0),0)</f>
        <v>0</v>
      </c>
      <c r="G1107" s="18">
        <f t="shared" si="26"/>
        <v>0</v>
      </c>
    </row>
    <row r="1108" spans="1:7" ht="15.75" x14ac:dyDescent="0.25">
      <c r="A1108" s="15" t="str">
        <f>'PEDIDO 14'!$B$2</f>
        <v>Cerqueira Cesar-Casa Moveis E Colchoes Donadel Oli</v>
      </c>
      <c r="B1108" s="12" t="s">
        <v>452</v>
      </c>
      <c r="C1108" s="1">
        <f>IFERROR(VLOOKUP(1189,'PEDIDO 14'!$C$2:$E$230,3,0),0)</f>
        <v>0</v>
      </c>
      <c r="D1108" s="1">
        <f>IFERROR(VLOOKUP(1190,'PEDIDO 14'!$C$2:$E$230,3,0),0)</f>
        <v>0</v>
      </c>
      <c r="E1108" s="1">
        <f>IFERROR(VLOOKUP(1191,'PEDIDO 14'!$C$2:$E$230,3,0),0)</f>
        <v>0</v>
      </c>
      <c r="F1108" s="1">
        <f>IFERROR(VLOOKUP(1192,'PEDIDO 14'!$C$2:$E$230,3,0),0)</f>
        <v>0</v>
      </c>
      <c r="G1108" s="18">
        <f t="shared" si="26"/>
        <v>0</v>
      </c>
    </row>
    <row r="1109" spans="1:7" ht="15.75" x14ac:dyDescent="0.25">
      <c r="A1109" s="15" t="str">
        <f>'PEDIDO 14'!$B$2</f>
        <v>Cerqueira Cesar-Casa Moveis E Colchoes Donadel Oli</v>
      </c>
      <c r="B1109" s="12" t="s">
        <v>453</v>
      </c>
      <c r="C1109" s="1">
        <f>IFERROR(VLOOKUP(1193,'PEDIDO 14'!$C$2:$E$230,3,0),0)</f>
        <v>0</v>
      </c>
      <c r="D1109" s="1">
        <f>IFERROR(VLOOKUP(1194,'PEDIDO 14'!$C$2:$E$230,3,0),0)</f>
        <v>0</v>
      </c>
      <c r="E1109" s="1">
        <f>IFERROR(VLOOKUP(1195,'PEDIDO 14'!$C$2:$E$230,3,0),0)</f>
        <v>0</v>
      </c>
      <c r="F1109" s="1">
        <f>IFERROR(VLOOKUP(1196,'PEDIDO 14'!$C$2:$E$230,3,0),0)</f>
        <v>0</v>
      </c>
      <c r="G1109" s="18">
        <f t="shared" si="26"/>
        <v>0</v>
      </c>
    </row>
    <row r="1110" spans="1:7" ht="15.75" x14ac:dyDescent="0.25">
      <c r="A1110" s="15" t="str">
        <f>'PEDIDO 14'!$B$2</f>
        <v>Cerqueira Cesar-Casa Moveis E Colchoes Donadel Oli</v>
      </c>
      <c r="B1110" s="12" t="s">
        <v>454</v>
      </c>
      <c r="C1110" s="1">
        <f>IFERROR(VLOOKUP(1197,'PEDIDO 14'!$C$2:$E$230,3,0),0)</f>
        <v>0</v>
      </c>
      <c r="D1110" s="1">
        <f>IFERROR(VLOOKUP(1198,'PEDIDO 14'!$C$2:$E$230,3,0),0)</f>
        <v>0</v>
      </c>
      <c r="E1110" s="1">
        <f>IFERROR(VLOOKUP(1199,'PEDIDO 14'!$C$2:$E$230,3,0),0)</f>
        <v>0</v>
      </c>
      <c r="F1110" s="1">
        <f>IFERROR(VLOOKUP(1200,'PEDIDO 14'!$C$2:$E$230,3,0),0)</f>
        <v>0</v>
      </c>
      <c r="G1110" s="18">
        <f t="shared" si="26"/>
        <v>0</v>
      </c>
    </row>
    <row r="1111" spans="1:7" ht="15.75" x14ac:dyDescent="0.25">
      <c r="A1111" s="15" t="str">
        <f>'PEDIDO 14'!$B$2</f>
        <v>Cerqueira Cesar-Casa Moveis E Colchoes Donadel Oli</v>
      </c>
      <c r="B1111" s="12" t="s">
        <v>455</v>
      </c>
      <c r="C1111" s="1">
        <f>IFERROR(VLOOKUP(1201,'PEDIDO 14'!$C$2:$E$230,3,0),0)</f>
        <v>0</v>
      </c>
      <c r="D1111" s="1">
        <f>IFERROR(VLOOKUP(1202,'PEDIDO 14'!$C$2:$E$230,3,0),0)</f>
        <v>0</v>
      </c>
      <c r="E1111" s="1">
        <f>IFERROR(VLOOKUP(1203,'PEDIDO 14'!$C$2:$E$230,3,0),0)</f>
        <v>0</v>
      </c>
      <c r="F1111" s="1">
        <f>IFERROR(VLOOKUP(1204,'PEDIDO 14'!$C$2:$E$230,3,0),0)</f>
        <v>0</v>
      </c>
      <c r="G1111" s="18">
        <f t="shared" si="26"/>
        <v>0</v>
      </c>
    </row>
    <row r="1112" spans="1:7" ht="15.75" x14ac:dyDescent="0.25">
      <c r="A1112" s="15" t="str">
        <f>'PEDIDO 14'!$B$2</f>
        <v>Cerqueira Cesar-Casa Moveis E Colchoes Donadel Oli</v>
      </c>
      <c r="B1112" s="12" t="s">
        <v>456</v>
      </c>
      <c r="C1112" s="1">
        <f>IFERROR(VLOOKUP(1205,'PEDIDO 14'!$C$2:$E$230,3,0),0)</f>
        <v>0</v>
      </c>
      <c r="D1112" s="1">
        <f>IFERROR(VLOOKUP(1206,'PEDIDO 14'!$C$2:$E$230,3,0),0)</f>
        <v>0</v>
      </c>
      <c r="E1112" s="1">
        <f>IFERROR(VLOOKUP(1207,'PEDIDO 14'!$C$2:$E$230,3,0),0)</f>
        <v>0</v>
      </c>
      <c r="F1112" s="1">
        <f>IFERROR(VLOOKUP(1208,'PEDIDO 14'!$C$2:$E$230,3,0),0)</f>
        <v>0</v>
      </c>
      <c r="G1112" s="18">
        <f t="shared" si="26"/>
        <v>0</v>
      </c>
    </row>
    <row r="1113" spans="1:7" ht="15.75" x14ac:dyDescent="0.25">
      <c r="A1113" s="15" t="str">
        <f>'PEDIDO 14'!$B$2</f>
        <v>Cerqueira Cesar-Casa Moveis E Colchoes Donadel Oli</v>
      </c>
      <c r="B1113" s="12" t="s">
        <v>457</v>
      </c>
      <c r="C1113" s="1">
        <f>IFERROR(VLOOKUP(1213,'PEDIDO 14'!$C$2:$E$230,3,0),0)</f>
        <v>0</v>
      </c>
      <c r="D1113" s="1">
        <f>IFERROR(VLOOKUP(1214,'PEDIDO 14'!$C$2:$E$230,3,0),0)</f>
        <v>0</v>
      </c>
      <c r="E1113" s="1">
        <f>IFERROR(VLOOKUP(1215,'PEDIDO 14'!$C$2:$E$230,3,0),0)</f>
        <v>0</v>
      </c>
      <c r="F1113" s="10">
        <f>IFERROR(VLOOKUP(1216,'PEDIDO 14'!$C$2:$E$230,3,0),0)</f>
        <v>0</v>
      </c>
      <c r="G1113" s="18">
        <f t="shared" si="26"/>
        <v>0</v>
      </c>
    </row>
    <row r="1114" spans="1:7" ht="15.75" x14ac:dyDescent="0.25">
      <c r="A1114" s="15" t="str">
        <f>'PEDIDO 14'!$B$2</f>
        <v>Cerqueira Cesar-Casa Moveis E Colchoes Donadel Oli</v>
      </c>
      <c r="B1114" s="12" t="s">
        <v>458</v>
      </c>
      <c r="C1114" s="1">
        <f>IFERROR(VLOOKUP(1209,'PEDIDO 14'!$C$2:$E$230,3,0),0)</f>
        <v>0</v>
      </c>
      <c r="D1114" s="1">
        <f>IFERROR(VLOOKUP(1210,'PEDIDO 14'!$C$2:$E$230,3,0),0)</f>
        <v>0</v>
      </c>
      <c r="E1114" s="1">
        <f>IFERROR(VLOOKUP(1211,'PEDIDO 14'!$C$2:$E$230,3,0),0)</f>
        <v>0</v>
      </c>
      <c r="F1114" s="1">
        <f>IFERROR(VLOOKUP(1212,'PEDIDO 14'!$C$2:$E$230,3,0),0)</f>
        <v>0</v>
      </c>
      <c r="G1114" s="18">
        <f t="shared" si="26"/>
        <v>0</v>
      </c>
    </row>
    <row r="1115" spans="1:7" ht="15.75" x14ac:dyDescent="0.25">
      <c r="A1115" s="15" t="str">
        <f>'PEDIDO 14'!$B$2</f>
        <v>Cerqueira Cesar-Casa Moveis E Colchoes Donadel Oli</v>
      </c>
      <c r="B1115" s="12" t="s">
        <v>459</v>
      </c>
      <c r="C1115" s="1">
        <f>IFERROR(VLOOKUP(1217,'PEDIDO 14'!$C$2:$E$230,3,0),0)</f>
        <v>0</v>
      </c>
      <c r="D1115" s="1">
        <f>IFERROR(VLOOKUP(1218,'PEDIDO 14'!$C$2:$E$230,3,0),0)</f>
        <v>0</v>
      </c>
      <c r="E1115" s="1">
        <f>IFERROR(VLOOKUP(1219,'PEDIDO 14'!$C$2:$E$230,3,0),0)</f>
        <v>0</v>
      </c>
      <c r="F1115" s="1">
        <f>IFERROR(VLOOKUP(1220,'PEDIDO 14'!$C$2:$E$230,3,0),0)</f>
        <v>0</v>
      </c>
      <c r="G1115" s="18">
        <f t="shared" si="26"/>
        <v>0</v>
      </c>
    </row>
    <row r="1116" spans="1:7" ht="15.75" x14ac:dyDescent="0.25">
      <c r="A1116" s="15" t="str">
        <f>'PEDIDO 14'!$B$2</f>
        <v>Cerqueira Cesar-Casa Moveis E Colchoes Donadel Oli</v>
      </c>
      <c r="B1116" s="12" t="s">
        <v>461</v>
      </c>
      <c r="C1116" s="1">
        <f>IFERROR(VLOOKUP(1225,'PEDIDO 14'!$C$2:$E$230,3,0),0)</f>
        <v>0</v>
      </c>
      <c r="D1116" s="1">
        <f>IFERROR(VLOOKUP(1226,'PEDIDO 14'!$C$2:$E$230,3,0),0)</f>
        <v>0</v>
      </c>
      <c r="E1116" s="1">
        <f>IFERROR(VLOOKUP(1227,'PEDIDO 14'!$C$2:$E$230,3,0),0)</f>
        <v>0</v>
      </c>
      <c r="F1116" s="1">
        <f>IFERROR(VLOOKUP(1228,'PEDIDO 14'!$C$2:$E$230,3,0),0)</f>
        <v>0</v>
      </c>
      <c r="G1116" s="18">
        <f t="shared" si="26"/>
        <v>0</v>
      </c>
    </row>
    <row r="1117" spans="1:7" ht="15.75" x14ac:dyDescent="0.25">
      <c r="A1117" s="15" t="str">
        <f>'PEDIDO 14'!$B$2</f>
        <v>Cerqueira Cesar-Casa Moveis E Colchoes Donadel Oli</v>
      </c>
      <c r="B1117" s="12" t="s">
        <v>462</v>
      </c>
      <c r="C1117" s="1">
        <f>IFERROR(VLOOKUP(1221,'PEDIDO 14'!$C$2:$E$230,3,0),0)</f>
        <v>0</v>
      </c>
      <c r="D1117" s="1">
        <f>IFERROR(VLOOKUP(1222,'PEDIDO 14'!$C$2:$E$230,3,0),0)</f>
        <v>0</v>
      </c>
      <c r="E1117" s="1">
        <f>IFERROR(VLOOKUP(1223,'PEDIDO 14'!$C$2:$E$230,3,0),0)</f>
        <v>0</v>
      </c>
      <c r="F1117" s="1">
        <f>IFERROR(VLOOKUP(1224,'PEDIDO 14'!$C$2:$E$230,3,0),0)</f>
        <v>0</v>
      </c>
      <c r="G1117" s="18">
        <f t="shared" si="26"/>
        <v>0</v>
      </c>
    </row>
    <row r="1118" spans="1:7" ht="15.75" x14ac:dyDescent="0.25">
      <c r="A1118" s="15" t="str">
        <f>'PEDIDO 14'!$B$2</f>
        <v>Cerqueira Cesar-Casa Moveis E Colchoes Donadel Oli</v>
      </c>
      <c r="B1118" s="12" t="s">
        <v>460</v>
      </c>
      <c r="C1118" s="1">
        <f>IFERROR(VLOOKUP(1229,'PEDIDO 14'!$C$2:$E$230,3,0),0)</f>
        <v>0</v>
      </c>
      <c r="D1118" s="1">
        <f>IFERROR(VLOOKUP(1230,'PEDIDO 14'!$C$2:$E$230,3,0),0)</f>
        <v>0</v>
      </c>
      <c r="E1118" s="1">
        <f>IFERROR(VLOOKUP(1231,'PEDIDO 14'!$C$2:$E$230,3,0),0)</f>
        <v>0</v>
      </c>
      <c r="F1118" s="1">
        <f>IFERROR(VLOOKUP(1232,'PEDIDO 14'!$C$2:$E$230,3,0),0)</f>
        <v>0</v>
      </c>
      <c r="G1118" s="18">
        <f t="shared" si="26"/>
        <v>0</v>
      </c>
    </row>
    <row r="1119" spans="1:7" ht="15.75" x14ac:dyDescent="0.25">
      <c r="A1119" s="15" t="str">
        <f>'PEDIDO 14'!$B$2</f>
        <v>Cerqueira Cesar-Casa Moveis E Colchoes Donadel Oli</v>
      </c>
      <c r="B1119" s="12" t="s">
        <v>463</v>
      </c>
      <c r="C1119" s="1">
        <f>IFERROR(VLOOKUP(1233,'PEDIDO 14'!$C$2:$E$230,3,0),0)</f>
        <v>0</v>
      </c>
      <c r="D1119" s="1">
        <f>IFERROR(VLOOKUP(1234,'PEDIDO 14'!$C$2:$E$230,3,0),0)</f>
        <v>0</v>
      </c>
      <c r="E1119" s="1">
        <f>IFERROR(VLOOKUP(1235,'PEDIDO 14'!$C$2:$E$230,3,0),0)</f>
        <v>0</v>
      </c>
      <c r="F1119" s="1">
        <f>IFERROR(VLOOKUP(1236,'PEDIDO 14'!$C$2:$E$230,3,0),0)</f>
        <v>0</v>
      </c>
      <c r="G1119" s="18">
        <f t="shared" si="26"/>
        <v>0</v>
      </c>
    </row>
    <row r="1120" spans="1:7" ht="15.75" x14ac:dyDescent="0.25">
      <c r="A1120" s="15" t="str">
        <f>'PEDIDO 14'!$B$2</f>
        <v>Cerqueira Cesar-Casa Moveis E Colchoes Donadel Oli</v>
      </c>
      <c r="B1120" s="12" t="s">
        <v>464</v>
      </c>
      <c r="C1120" s="1">
        <f>IFERROR(VLOOKUP(1237,'PEDIDO 14'!$C$2:$E$230,3,0),0)</f>
        <v>0</v>
      </c>
      <c r="D1120" s="1">
        <f>IFERROR(VLOOKUP(1238,'PEDIDO 14'!$C$2:$E$230,3,0),0)</f>
        <v>0</v>
      </c>
      <c r="E1120" s="1">
        <f>IFERROR(VLOOKUP(1239,'PEDIDO 14'!$C$2:$E$230,3,0),0)</f>
        <v>0</v>
      </c>
      <c r="F1120" s="1">
        <f>IFERROR(VLOOKUP(1240,'PEDIDO 14'!$C$2:$E$230,3,0),0)</f>
        <v>0</v>
      </c>
      <c r="G1120" s="18">
        <f t="shared" ref="G1120:G1132" si="27">SUM(C1120+D1120+E1120+F1120)</f>
        <v>0</v>
      </c>
    </row>
    <row r="1121" spans="1:7" ht="15.75" x14ac:dyDescent="0.25">
      <c r="A1121" s="15" t="str">
        <f>'PEDIDO 14'!$B$2</f>
        <v>Cerqueira Cesar-Casa Moveis E Colchoes Donadel Oli</v>
      </c>
      <c r="B1121" s="12" t="s">
        <v>465</v>
      </c>
      <c r="C1121" s="1">
        <f>IFERROR(VLOOKUP(1241,'PEDIDO 14'!$C$2:$E$230,3,0),0)</f>
        <v>0</v>
      </c>
      <c r="D1121" s="1">
        <f>IFERROR(VLOOKUP(1242,'PEDIDO 14'!$C$2:$E$230,3,0),0)</f>
        <v>0</v>
      </c>
      <c r="E1121" s="1">
        <f>IFERROR(VLOOKUP(1243,'PEDIDO 14'!$C$2:$E$230,3,0),0)</f>
        <v>0</v>
      </c>
      <c r="F1121" s="1">
        <f>IFERROR(VLOOKUP(1244,'PEDIDO 14'!$C$2:$E$230,3,0),0)</f>
        <v>0</v>
      </c>
      <c r="G1121" s="18">
        <f t="shared" si="27"/>
        <v>0</v>
      </c>
    </row>
    <row r="1122" spans="1:7" ht="15.75" x14ac:dyDescent="0.25">
      <c r="A1122" s="15" t="str">
        <f>'PEDIDO 14'!$B$2</f>
        <v>Cerqueira Cesar-Casa Moveis E Colchoes Donadel Oli</v>
      </c>
      <c r="B1122" s="12" t="s">
        <v>466</v>
      </c>
      <c r="C1122" s="1">
        <f>IFERROR(VLOOKUP(1245,'PEDIDO 14'!$C$2:$E$230,3,0),0)</f>
        <v>0</v>
      </c>
      <c r="D1122" s="1">
        <f>IFERROR(VLOOKUP(1246,'PEDIDO 14'!$C$2:$E$230,3,0),0)</f>
        <v>0</v>
      </c>
      <c r="E1122" s="1">
        <f>IFERROR(VLOOKUP(1247,'PEDIDO 14'!$C$2:$E$230,3,0),0)</f>
        <v>0</v>
      </c>
      <c r="F1122" s="1">
        <f>IFERROR(VLOOKUP(1248,'PEDIDO 14'!$C$2:$E$230,3,0),0)</f>
        <v>0</v>
      </c>
      <c r="G1122" s="18">
        <f t="shared" si="27"/>
        <v>0</v>
      </c>
    </row>
    <row r="1123" spans="1:7" ht="15.75" x14ac:dyDescent="0.25">
      <c r="A1123" s="15" t="str">
        <f>'PEDIDO 14'!$B$2</f>
        <v>Cerqueira Cesar-Casa Moveis E Colchoes Donadel Oli</v>
      </c>
      <c r="B1123" s="12" t="s">
        <v>467</v>
      </c>
      <c r="C1123" s="1">
        <f>IFERROR(VLOOKUP(25714,'PEDIDO 14'!$C$2:$E$230,3,0),0)</f>
        <v>0</v>
      </c>
      <c r="D1123" s="1"/>
      <c r="E1123" s="1"/>
      <c r="F1123" s="1"/>
      <c r="G1123" s="18">
        <f t="shared" si="27"/>
        <v>0</v>
      </c>
    </row>
    <row r="1124" spans="1:7" ht="15.75" x14ac:dyDescent="0.25">
      <c r="A1124" s="15" t="str">
        <f>'PEDIDO 14'!$B$2</f>
        <v>Cerqueira Cesar-Casa Moveis E Colchoes Donadel Oli</v>
      </c>
      <c r="B1124" s="12" t="s">
        <v>468</v>
      </c>
      <c r="C1124" s="1">
        <f>IFERROR(VLOOKUP(25712,'PEDIDO 14'!$C$2:$E$230,3,0),0)</f>
        <v>0</v>
      </c>
      <c r="D1124" s="1"/>
      <c r="E1124" s="1"/>
      <c r="F1124" s="1"/>
      <c r="G1124" s="18">
        <f t="shared" si="27"/>
        <v>0</v>
      </c>
    </row>
    <row r="1125" spans="1:7" ht="15.75" x14ac:dyDescent="0.25">
      <c r="A1125" s="15" t="str">
        <f>'PEDIDO 14'!$B$2</f>
        <v>Cerqueira Cesar-Casa Moveis E Colchoes Donadel Oli</v>
      </c>
      <c r="B1125" s="12" t="s">
        <v>469</v>
      </c>
      <c r="C1125" s="1">
        <f>IFERROR(VLOOKUP(25713,'PEDIDO 14'!$C$2:$E$230,3,0),0)</f>
        <v>0</v>
      </c>
      <c r="D1125" s="1"/>
      <c r="E1125" s="1"/>
      <c r="F1125" s="1"/>
      <c r="G1125" s="18">
        <f t="shared" si="27"/>
        <v>0</v>
      </c>
    </row>
    <row r="1126" spans="1:7" ht="15.75" x14ac:dyDescent="0.25">
      <c r="A1126" s="15" t="str">
        <f>'PEDIDO 14'!$B$2</f>
        <v>Cerqueira Cesar-Casa Moveis E Colchoes Donadel Oli</v>
      </c>
      <c r="B1126" s="12" t="s">
        <v>470</v>
      </c>
      <c r="C1126" s="1">
        <f>IFERROR(VLOOKUP(1260,'PEDIDO 14'!$C$2:$E$230,3,0),0)</f>
        <v>0</v>
      </c>
      <c r="D1126" s="1"/>
      <c r="E1126" s="1"/>
      <c r="F1126" s="1"/>
      <c r="G1126" s="18">
        <f t="shared" si="27"/>
        <v>0</v>
      </c>
    </row>
    <row r="1127" spans="1:7" ht="15.75" x14ac:dyDescent="0.25">
      <c r="A1127" s="15" t="str">
        <f>'PEDIDO 14'!$B$2</f>
        <v>Cerqueira Cesar-Casa Moveis E Colchoes Donadel Oli</v>
      </c>
      <c r="B1127" s="12" t="s">
        <v>471</v>
      </c>
      <c r="C1127" s="1">
        <f>IFERROR(VLOOKUP(1261,'PEDIDO 14'!$C$2:$E$230,3,0),0)</f>
        <v>0</v>
      </c>
      <c r="D1127" s="1"/>
      <c r="E1127" s="1"/>
      <c r="F1127" s="1"/>
      <c r="G1127" s="18">
        <f t="shared" si="27"/>
        <v>0</v>
      </c>
    </row>
    <row r="1128" spans="1:7" ht="15.75" x14ac:dyDescent="0.25">
      <c r="A1128" s="15" t="str">
        <f>'PEDIDO 14'!$B$2</f>
        <v>Cerqueira Cesar-Casa Moveis E Colchoes Donadel Oli</v>
      </c>
      <c r="B1128" s="12" t="s">
        <v>472</v>
      </c>
      <c r="C1128" s="1">
        <f>IFERROR(VLOOKUP(1262,'PEDIDO 14'!$C$2:$E$230,3,0),0)</f>
        <v>0</v>
      </c>
      <c r="D1128" s="1"/>
      <c r="E1128" s="1"/>
      <c r="F1128" s="1"/>
      <c r="G1128" s="18">
        <f t="shared" si="27"/>
        <v>0</v>
      </c>
    </row>
    <row r="1129" spans="1:7" ht="15.75" x14ac:dyDescent="0.25">
      <c r="A1129" s="15" t="str">
        <f>'PEDIDO 14'!$B$2</f>
        <v>Cerqueira Cesar-Casa Moveis E Colchoes Donadel Oli</v>
      </c>
      <c r="B1129" s="12" t="s">
        <v>473</v>
      </c>
      <c r="C1129" s="1">
        <f>IFERROR(VLOOKUP(1263,'PEDIDO 14'!$C$2:$E$230,3,0),0)</f>
        <v>0</v>
      </c>
      <c r="D1129" s="1"/>
      <c r="E1129" s="1"/>
      <c r="F1129" s="1"/>
      <c r="G1129" s="18">
        <f t="shared" si="27"/>
        <v>0</v>
      </c>
    </row>
    <row r="1130" spans="1:7" ht="15.75" x14ac:dyDescent="0.25">
      <c r="A1130" s="15" t="str">
        <f>'PEDIDO 14'!$B$2</f>
        <v>Cerqueira Cesar-Casa Moveis E Colchoes Donadel Oli</v>
      </c>
      <c r="B1130" s="12" t="s">
        <v>474</v>
      </c>
      <c r="C1130" s="1">
        <f>IFERROR(VLOOKUP(1264,'PEDIDO 14'!$C$2:$E$230,3,0),0)</f>
        <v>0</v>
      </c>
      <c r="D1130" s="1"/>
      <c r="E1130" s="1"/>
      <c r="F1130" s="1"/>
      <c r="G1130" s="18">
        <f t="shared" si="27"/>
        <v>0</v>
      </c>
    </row>
    <row r="1131" spans="1:7" ht="15.75" x14ac:dyDescent="0.25">
      <c r="A1131" s="15" t="str">
        <f>'PEDIDO 14'!$B$2</f>
        <v>Cerqueira Cesar-Casa Moveis E Colchoes Donadel Oli</v>
      </c>
      <c r="B1131" s="12" t="s">
        <v>475</v>
      </c>
      <c r="C1131" s="1">
        <f>IFERROR(VLOOKUP(1265,'PEDIDO 14'!$C$2:$E$230,3,0),0)</f>
        <v>0</v>
      </c>
      <c r="D1131" s="1"/>
      <c r="E1131" s="1"/>
      <c r="F1131" s="1"/>
      <c r="G1131" s="18">
        <f t="shared" si="27"/>
        <v>0</v>
      </c>
    </row>
    <row r="1132" spans="1:7" ht="15.75" x14ac:dyDescent="0.25">
      <c r="A1132" s="15" t="str">
        <f>'PEDIDO 14'!$B$2</f>
        <v>Cerqueira Cesar-Casa Moveis E Colchoes Donadel Oli</v>
      </c>
      <c r="B1132" s="12" t="s">
        <v>476</v>
      </c>
      <c r="C1132" s="1">
        <f>IFERROR(VLOOKUP(1266,'PEDIDO 14'!$C$2:$E$230,3,0),0)</f>
        <v>0</v>
      </c>
      <c r="D1132" s="1"/>
      <c r="E1132" s="1"/>
      <c r="F1132" s="1"/>
      <c r="G1132" s="18">
        <f t="shared" si="27"/>
        <v>0</v>
      </c>
    </row>
    <row r="1133" spans="1:7" ht="15.75" x14ac:dyDescent="0.25">
      <c r="A1133" s="15" t="str">
        <f>'PEDIDO 14'!$B$2</f>
        <v>Cerqueira Cesar-Casa Moveis E Colchoes Donadel Oli</v>
      </c>
      <c r="B1133" s="12" t="s">
        <v>477</v>
      </c>
      <c r="C1133" s="1">
        <f>IFERROR(VLOOKUP(1268,'PEDIDO 14'!$C$2:$E$230,3,0),0)</f>
        <v>0</v>
      </c>
      <c r="D1133" s="1">
        <f>IFERROR(VLOOKUP(1269,'PEDIDO 14'!$C$2:$E$230,3,0),0)</f>
        <v>0</v>
      </c>
      <c r="E1133" s="1">
        <f>IFERROR(VLOOKUP(1270,'PEDIDO 14'!$C$2:$E$230,3,0),0)</f>
        <v>0</v>
      </c>
      <c r="F1133" s="1">
        <f>IFERROR(VLOOKUP(1271,'PEDIDO 14'!$C$2:$E$230,3,0),0)</f>
        <v>0</v>
      </c>
      <c r="G1133" s="18">
        <f>SUM(C1133+D1133+E1133+F1133)</f>
        <v>0</v>
      </c>
    </row>
    <row r="1134" spans="1:7" x14ac:dyDescent="0.25">
      <c r="A1134" s="17"/>
      <c r="B1134" s="13"/>
      <c r="C1134" s="13"/>
      <c r="D1134" s="13"/>
      <c r="E1134" s="13"/>
      <c r="F1134" s="13"/>
      <c r="G1134" s="13"/>
    </row>
    <row r="1135" spans="1:7" x14ac:dyDescent="0.25">
      <c r="A1135" s="17"/>
      <c r="B1135" s="13"/>
      <c r="C1135" s="13"/>
      <c r="D1135" s="13"/>
      <c r="E1135" s="13"/>
      <c r="F1135" s="13"/>
      <c r="G1135" s="13"/>
    </row>
    <row r="1136" spans="1:7" ht="15.75" x14ac:dyDescent="0.25">
      <c r="A1136" s="15" t="str">
        <f>'PEDIDO 15'!$B$2</f>
        <v>Manduri-Katia Francisca Zafalao - Me</v>
      </c>
      <c r="B1136" s="12" t="s">
        <v>399</v>
      </c>
      <c r="C1136" s="1">
        <f>IFERROR(VLOOKUP(1,'PEDIDO 15'!$C$2:$E$230,3,0),0)</f>
        <v>0</v>
      </c>
      <c r="D1136" s="1">
        <f>IFERROR(VLOOKUP(2,'PEDIDO 15'!$C$2:$E$230,3,0),0)</f>
        <v>0</v>
      </c>
      <c r="E1136" s="1">
        <f>IFERROR(VLOOKUP(3,'PEDIDO 15'!$C$2:$E$230,3,0),0)</f>
        <v>0</v>
      </c>
      <c r="F1136" s="1">
        <f>IFERROR(VLOOKUP(282,'PEDIDO 15'!$C$2:$E$230,3,0),0)</f>
        <v>0</v>
      </c>
      <c r="G1136" s="18">
        <f>SUM(C1136+D1136+E1136+F1136)</f>
        <v>0</v>
      </c>
    </row>
    <row r="1137" spans="1:7" ht="15.75" x14ac:dyDescent="0.25">
      <c r="A1137" s="15" t="str">
        <f>'PEDIDO 15'!$B$2</f>
        <v>Manduri-Katia Francisca Zafalao - Me</v>
      </c>
      <c r="B1137" s="12" t="s">
        <v>400</v>
      </c>
      <c r="C1137" s="1">
        <f>IFERROR(VLOOKUP(5,'PEDIDO 15'!$C$2:$E$230,3,0),0)</f>
        <v>0</v>
      </c>
      <c r="D1137" s="1">
        <f>IFERROR(VLOOKUP(6,'PEDIDO 15'!$C$2:$E$230,3,0),0)</f>
        <v>0</v>
      </c>
      <c r="E1137" s="1">
        <f>IFERROR(VLOOKUP(7,'PEDIDO 15'!$C$2:$E$230,3,0),0)</f>
        <v>0</v>
      </c>
      <c r="F1137" s="1">
        <f>IFERROR(VLOOKUP(258,'PEDIDO 15'!$C$2:$E$230,3,0),0)</f>
        <v>0</v>
      </c>
      <c r="G1137" s="18">
        <f t="shared" ref="G1137:G1200" si="28">SUM(C1137+D1137+E1137+F1137)</f>
        <v>0</v>
      </c>
    </row>
    <row r="1138" spans="1:7" ht="15.75" x14ac:dyDescent="0.25">
      <c r="A1138" s="15" t="str">
        <f>'PEDIDO 15'!$B$2</f>
        <v>Manduri-Katia Francisca Zafalao - Me</v>
      </c>
      <c r="B1138" s="12" t="s">
        <v>401</v>
      </c>
      <c r="C1138" s="1">
        <f>IFERROR(VLOOKUP(13,'PEDIDO 15'!$C$2:$E$230,3,0),0)</f>
        <v>0</v>
      </c>
      <c r="D1138" s="1">
        <f>IFERROR(VLOOKUP(14,'PEDIDO 15'!$C$2:$E$230,3,0),0)</f>
        <v>0</v>
      </c>
      <c r="E1138" s="1">
        <f>IFERROR(VLOOKUP(15,'PEDIDO 15'!$C$2:$E$230,3,0),0)</f>
        <v>0</v>
      </c>
      <c r="F1138" s="1">
        <f>IFERROR(VLOOKUP(289,'PEDIDO 15'!$C$2:$E$230,3,0),0)</f>
        <v>0</v>
      </c>
      <c r="G1138" s="18">
        <f t="shared" si="28"/>
        <v>0</v>
      </c>
    </row>
    <row r="1139" spans="1:7" ht="15.75" x14ac:dyDescent="0.25">
      <c r="A1139" s="15" t="str">
        <f>'PEDIDO 15'!$B$2</f>
        <v>Manduri-Katia Francisca Zafalao - Me</v>
      </c>
      <c r="B1139" s="12" t="s">
        <v>402</v>
      </c>
      <c r="C1139" s="1">
        <f>IFERROR(VLOOKUP(267,'PEDIDO 15'!$C$2:$E$230,3,0),0)</f>
        <v>0</v>
      </c>
      <c r="D1139" s="1">
        <f>IFERROR(VLOOKUP(268,'PEDIDO 15'!$C$2:$E$230,3,0),0)</f>
        <v>0</v>
      </c>
      <c r="E1139" s="1">
        <f>IFERROR(VLOOKUP(270,'PEDIDO 15'!$C$2:$E$230,3,0),0)</f>
        <v>0</v>
      </c>
      <c r="F1139" s="1">
        <f>IFERROR(VLOOKUP(269,'PEDIDO 15'!$C$2:$E$230,3,0),0)</f>
        <v>0</v>
      </c>
      <c r="G1139" s="18">
        <f t="shared" si="28"/>
        <v>0</v>
      </c>
    </row>
    <row r="1140" spans="1:7" ht="15.75" x14ac:dyDescent="0.25">
      <c r="A1140" s="15" t="str">
        <f>'PEDIDO 15'!$B$2</f>
        <v>Manduri-Katia Francisca Zafalao - Me</v>
      </c>
      <c r="B1140" s="12" t="s">
        <v>403</v>
      </c>
      <c r="C1140" s="1">
        <f>IFERROR(VLOOKUP(17,'PEDIDO 15'!$C$2:$E$230,3,0),0)</f>
        <v>0</v>
      </c>
      <c r="D1140" s="1">
        <f>IFERROR(VLOOKUP(18,'PEDIDO 15'!$C$2:$E$230,3,0),0)</f>
        <v>0</v>
      </c>
      <c r="E1140" s="1">
        <f>IFERROR(VLOOKUP(19,'PEDIDO 15'!$C$2:$E$230,3,0),0)</f>
        <v>0</v>
      </c>
      <c r="F1140" s="1">
        <f>IFERROR(VLOOKUP(290,'PEDIDO 15'!$C$2:$E$230,3,0),0)</f>
        <v>0</v>
      </c>
      <c r="G1140" s="18">
        <f t="shared" si="28"/>
        <v>0</v>
      </c>
    </row>
    <row r="1141" spans="1:7" ht="15.75" x14ac:dyDescent="0.25">
      <c r="A1141" s="15" t="str">
        <f>'PEDIDO 15'!$B$2</f>
        <v>Manduri-Katia Francisca Zafalao - Me</v>
      </c>
      <c r="B1141" s="12" t="s">
        <v>404</v>
      </c>
      <c r="C1141" s="1">
        <f>IFERROR(VLOOKUP(23,'PEDIDO 15'!$C$2:$E$230,3,0),0)</f>
        <v>0</v>
      </c>
      <c r="D1141" s="1">
        <f>IFERROR(VLOOKUP(24,'PEDIDO 15'!$C$2:$E$230,3,0),0)</f>
        <v>0</v>
      </c>
      <c r="E1141" s="1">
        <f>IFERROR(VLOOKUP(25,'PEDIDO 15'!$C$2:$E$230,3,0),0)</f>
        <v>0</v>
      </c>
      <c r="F1141" s="1">
        <f>IFERROR(VLOOKUP(291,'PEDIDO 15'!$C$2:$E$230,3,0),0)</f>
        <v>0</v>
      </c>
      <c r="G1141" s="18">
        <f t="shared" si="28"/>
        <v>0</v>
      </c>
    </row>
    <row r="1142" spans="1:7" ht="15.75" x14ac:dyDescent="0.25">
      <c r="A1142" s="15" t="str">
        <f>'PEDIDO 15'!$B$2</f>
        <v>Manduri-Katia Francisca Zafalao - Me</v>
      </c>
      <c r="B1142" s="12" t="s">
        <v>405</v>
      </c>
      <c r="C1142" s="1">
        <f>IFERROR(VLOOKUP(27,'PEDIDO 15'!$C$2:$E$230,3,0),0)</f>
        <v>0</v>
      </c>
      <c r="D1142" s="1">
        <f>IFERROR(VLOOKUP(28,'PEDIDO 15'!$C$2:$E$230,3,0),0)</f>
        <v>0</v>
      </c>
      <c r="E1142" s="1">
        <f>IFERROR(VLOOKUP(29,'PEDIDO 15'!$C$2:$E$230,3,0),0)</f>
        <v>0</v>
      </c>
      <c r="F1142" s="1">
        <f>IFERROR(VLOOKUP(292,'PEDIDO 15'!$C$2:$E$230,3,0),0)</f>
        <v>0</v>
      </c>
      <c r="G1142" s="18">
        <f t="shared" si="28"/>
        <v>0</v>
      </c>
    </row>
    <row r="1143" spans="1:7" ht="15.75" x14ac:dyDescent="0.25">
      <c r="A1143" s="15" t="str">
        <f>'PEDIDO 15'!$B$2</f>
        <v>Manduri-Katia Francisca Zafalao - Me</v>
      </c>
      <c r="B1143" s="12" t="s">
        <v>406</v>
      </c>
      <c r="C1143" s="1">
        <f>IFERROR(VLOOKUP(227,'PEDIDO 15'!$C$2:$E$230,3,0),0)</f>
        <v>0</v>
      </c>
      <c r="D1143" s="1">
        <f>IFERROR(VLOOKUP(228,'PEDIDO 15'!$C$2:$E$230,3,0),0)</f>
        <v>0</v>
      </c>
      <c r="E1143" s="1">
        <f>IFERROR(VLOOKUP(229,'PEDIDO 15'!$C$2:$E$230,3,0),0)</f>
        <v>0</v>
      </c>
      <c r="F1143" s="1">
        <f>IFERROR(VLOOKUP(230,'PEDIDO 15'!$C$2:$E$230,3,0),0)</f>
        <v>0</v>
      </c>
      <c r="G1143" s="18">
        <f t="shared" si="28"/>
        <v>0</v>
      </c>
    </row>
    <row r="1144" spans="1:7" ht="15.75" x14ac:dyDescent="0.25">
      <c r="A1144" s="15" t="str">
        <f>'PEDIDO 15'!$B$2</f>
        <v>Manduri-Katia Francisca Zafalao - Me</v>
      </c>
      <c r="B1144" s="12" t="s">
        <v>407</v>
      </c>
      <c r="C1144" s="1">
        <f>IFERROR(VLOOKUP(231,'PEDIDO 15'!$C$2:$E$230,3,0),0)</f>
        <v>0</v>
      </c>
      <c r="D1144" s="1">
        <f>IFERROR(VLOOKUP(232,'PEDIDO 15'!$C$2:$E$230,3,0),0)</f>
        <v>0</v>
      </c>
      <c r="E1144" s="1">
        <f>IFERROR(VLOOKUP(234,'PEDIDO 15'!$C$2:$E$230,3,0),0)</f>
        <v>0</v>
      </c>
      <c r="F1144" s="1">
        <f>IFERROR(VLOOKUP(233,'PEDIDO 15'!$C$2:$E$230,3,0),0)</f>
        <v>0</v>
      </c>
      <c r="G1144" s="18">
        <f t="shared" si="28"/>
        <v>0</v>
      </c>
    </row>
    <row r="1145" spans="1:7" ht="15.75" x14ac:dyDescent="0.25">
      <c r="A1145" s="15" t="str">
        <f>'PEDIDO 15'!$B$2</f>
        <v>Manduri-Katia Francisca Zafalao - Me</v>
      </c>
      <c r="B1145" s="12" t="s">
        <v>408</v>
      </c>
      <c r="C1145" s="1">
        <f>IFERROR(VLOOKUP(237,'PEDIDO 15'!$C$2:$E$230,3,0),0)</f>
        <v>0</v>
      </c>
      <c r="D1145" s="1">
        <f>IFERROR(VLOOKUP(238,'PEDIDO 15'!$C$2:$E$230,3,0),0)</f>
        <v>0</v>
      </c>
      <c r="E1145" s="1">
        <f>IFERROR(VLOOKUP(240,'PEDIDO 15'!$C$2:$E$230,3,0),0)</f>
        <v>0</v>
      </c>
      <c r="F1145" s="1">
        <f>IFERROR(VLOOKUP(239,'PEDIDO 15'!$C$2:$E$230,3,0),0)</f>
        <v>0</v>
      </c>
      <c r="G1145" s="18">
        <f t="shared" si="28"/>
        <v>0</v>
      </c>
    </row>
    <row r="1146" spans="1:7" ht="15.75" x14ac:dyDescent="0.25">
      <c r="A1146" s="15" t="str">
        <f>'PEDIDO 15'!$B$2</f>
        <v>Manduri-Katia Francisca Zafalao - Me</v>
      </c>
      <c r="B1146" s="12" t="s">
        <v>409</v>
      </c>
      <c r="C1146" s="1">
        <f>IFERROR(VLOOKUP(25707,'PEDIDO 15'!$C$2:$E$230,3,0),0)</f>
        <v>0</v>
      </c>
      <c r="D1146" s="1">
        <f>IFERROR(VLOOKUP(25708,'PEDIDO 15'!$C$2:$E$230,3,0),0)</f>
        <v>0</v>
      </c>
      <c r="E1146" s="1">
        <f>IFERROR(VLOOKUP(25710,'PEDIDO 15'!$C$2:$E$230,3,0),0)</f>
        <v>0</v>
      </c>
      <c r="F1146" s="1">
        <f>IFERROR(VLOOKUP(25709,'PEDIDO 15'!$C$2:$E$230,3,0),0)</f>
        <v>0</v>
      </c>
      <c r="G1146" s="18">
        <f t="shared" si="28"/>
        <v>0</v>
      </c>
    </row>
    <row r="1147" spans="1:7" ht="15.75" x14ac:dyDescent="0.25">
      <c r="A1147" s="15" t="str">
        <f>'PEDIDO 15'!$B$2</f>
        <v>Manduri-Katia Francisca Zafalao - Me</v>
      </c>
      <c r="B1147" s="12" t="s">
        <v>410</v>
      </c>
      <c r="C1147" s="1">
        <f>IFERROR(VLOOKUP(25711,'PEDIDO 15'!$C$2:$E$230,3,0),0)</f>
        <v>6</v>
      </c>
      <c r="D1147" s="1"/>
      <c r="E1147" s="1"/>
      <c r="F1147" s="1"/>
      <c r="G1147" s="18">
        <f t="shared" si="28"/>
        <v>6</v>
      </c>
    </row>
    <row r="1148" spans="1:7" ht="15.75" x14ac:dyDescent="0.25">
      <c r="A1148" s="15" t="str">
        <f>'PEDIDO 15'!$B$2</f>
        <v>Manduri-Katia Francisca Zafalao - Me</v>
      </c>
      <c r="B1148" s="12" t="s">
        <v>411</v>
      </c>
      <c r="C1148" s="1">
        <f>IFERROR(VLOOKUP(35,'PEDIDO 15'!$C$2:$E$230,3,0),0)</f>
        <v>0</v>
      </c>
      <c r="D1148" s="1">
        <f>IFERROR(VLOOKUP(36,'PEDIDO 15'!$C$2:$E$230,3,0),0)</f>
        <v>0</v>
      </c>
      <c r="E1148" s="1">
        <f>IFERROR(VLOOKUP(37,'PEDIDO 15'!$C$2:$E$230,3,0),0)</f>
        <v>0</v>
      </c>
      <c r="F1148" s="1">
        <f>IFERROR(VLOOKUP(294,'PEDIDO 15'!$C$2:$E$230,3,0),0)</f>
        <v>0</v>
      </c>
      <c r="G1148" s="18">
        <f t="shared" si="28"/>
        <v>0</v>
      </c>
    </row>
    <row r="1149" spans="1:7" ht="15.75" x14ac:dyDescent="0.25">
      <c r="A1149" s="15" t="str">
        <f>'PEDIDO 15'!$B$2</f>
        <v>Manduri-Katia Francisca Zafalao - Me</v>
      </c>
      <c r="B1149" s="12" t="s">
        <v>412</v>
      </c>
      <c r="C1149" s="1">
        <f>IFERROR(VLOOKUP(39,'PEDIDO 15'!$C$2:$E$230,3,0),0)</f>
        <v>0</v>
      </c>
      <c r="D1149" s="1">
        <f>IFERROR(VLOOKUP(40,'PEDIDO 15'!$C$2:$E$230,3,0),0)</f>
        <v>0</v>
      </c>
      <c r="E1149" s="1">
        <f>IFERROR(VLOOKUP(42,'PEDIDO 15'!$C$2:$E$230,3,0),0)</f>
        <v>0</v>
      </c>
      <c r="F1149" s="1">
        <f>IFERROR(VLOOKUP(295,'PEDIDO 15'!$C$2:$E$230,3,0),0)</f>
        <v>0</v>
      </c>
      <c r="G1149" s="18">
        <f t="shared" si="28"/>
        <v>0</v>
      </c>
    </row>
    <row r="1150" spans="1:7" ht="15.75" x14ac:dyDescent="0.25">
      <c r="A1150" s="15" t="str">
        <f>'PEDIDO 15'!$B$2</f>
        <v>Manduri-Katia Francisca Zafalao - Me</v>
      </c>
      <c r="B1150" s="12" t="s">
        <v>413</v>
      </c>
      <c r="C1150" s="1">
        <f>IFERROR(VLOOKUP(44,'PEDIDO 15'!$C$2:$E$230,3,0),0)</f>
        <v>0</v>
      </c>
      <c r="D1150" s="1">
        <f>IFERROR(VLOOKUP(45,'PEDIDO 15'!$C$2:$E$230,3,0),0)</f>
        <v>0</v>
      </c>
      <c r="E1150" s="1">
        <f>IFERROR(VLOOKUP(46,'PEDIDO 15'!$C$2:$E$230,3,0),0)</f>
        <v>0</v>
      </c>
      <c r="F1150" s="1">
        <f>IFERROR(VLOOKUP(283,'PEDIDO 15'!$C$2:$E$230,3,0),0)</f>
        <v>0</v>
      </c>
      <c r="G1150" s="18">
        <f t="shared" si="28"/>
        <v>0</v>
      </c>
    </row>
    <row r="1151" spans="1:7" ht="15.75" x14ac:dyDescent="0.25">
      <c r="A1151" s="15" t="str">
        <f>'PEDIDO 15'!$B$2</f>
        <v>Manduri-Katia Francisca Zafalao - Me</v>
      </c>
      <c r="B1151" s="12" t="s">
        <v>414</v>
      </c>
      <c r="C1151" s="1">
        <f>IFERROR(VLOOKUP(48,'PEDIDO 15'!$C$2:$E$230,3,0),0)</f>
        <v>0</v>
      </c>
      <c r="D1151" s="1">
        <f>IFERROR(VLOOKUP(49,'PEDIDO 15'!$C$2:$E$230,3,0),0)</f>
        <v>0</v>
      </c>
      <c r="E1151" s="1">
        <f>IFERROR(VLOOKUP(50,'PEDIDO 15'!$C$2:$E$230,3,0),0)</f>
        <v>0</v>
      </c>
      <c r="F1151" s="1">
        <f>IFERROR(VLOOKUP(298,'PEDIDO 15'!$C$2:$E$230,3,0),0)</f>
        <v>0</v>
      </c>
      <c r="G1151" s="18">
        <f t="shared" si="28"/>
        <v>0</v>
      </c>
    </row>
    <row r="1152" spans="1:7" ht="15.75" x14ac:dyDescent="0.25">
      <c r="A1152" s="15" t="str">
        <f>'PEDIDO 15'!$B$2</f>
        <v>Manduri-Katia Francisca Zafalao - Me</v>
      </c>
      <c r="B1152" s="12" t="s">
        <v>415</v>
      </c>
      <c r="C1152" s="1">
        <f>IFERROR(VLOOKUP(52,'PEDIDO 15'!$C$2:$E$230,3,0),0)</f>
        <v>0</v>
      </c>
      <c r="D1152" s="1">
        <f>IFERROR(VLOOKUP(53,'PEDIDO 15'!$C$2:$E$230,3,0),0)</f>
        <v>0</v>
      </c>
      <c r="E1152" s="1">
        <f>IFERROR(VLOOKUP(54,'PEDIDO 15'!$C$2:$E$230,3,0),0)</f>
        <v>0</v>
      </c>
      <c r="F1152" s="1">
        <f>IFERROR(VLOOKUP(299,'PEDIDO 15'!$C$2:$E$230,3,0),0)</f>
        <v>0</v>
      </c>
      <c r="G1152" s="18">
        <f t="shared" si="28"/>
        <v>0</v>
      </c>
    </row>
    <row r="1153" spans="1:7" ht="15.75" x14ac:dyDescent="0.25">
      <c r="A1153" s="15" t="str">
        <f>'PEDIDO 15'!$B$2</f>
        <v>Manduri-Katia Francisca Zafalao - Me</v>
      </c>
      <c r="B1153" s="12" t="s">
        <v>416</v>
      </c>
      <c r="C1153" s="1">
        <f>IFERROR(VLOOKUP(56,'PEDIDO 15'!$C$2:$E$230,3,0),0)</f>
        <v>0</v>
      </c>
      <c r="D1153" s="1">
        <f>IFERROR(VLOOKUP(61,'PEDIDO 15'!$C$2:$E$230,3,0),0)</f>
        <v>0</v>
      </c>
      <c r="E1153" s="1">
        <f>IFERROR(VLOOKUP(58,'PEDIDO 15'!$C$2:$E$230,3,0),0)</f>
        <v>0</v>
      </c>
      <c r="F1153" s="1">
        <f>IFERROR(VLOOKUP(300,'PEDIDO 15'!$C$2:$E$230,3,0),0)</f>
        <v>0</v>
      </c>
      <c r="G1153" s="18">
        <f t="shared" si="28"/>
        <v>0</v>
      </c>
    </row>
    <row r="1154" spans="1:7" ht="15.75" x14ac:dyDescent="0.25">
      <c r="A1154" s="15" t="str">
        <f>'PEDIDO 15'!$B$2</f>
        <v>Manduri-Katia Francisca Zafalao - Me</v>
      </c>
      <c r="B1154" s="12" t="s">
        <v>417</v>
      </c>
      <c r="C1154" s="1">
        <f>IFERROR(VLOOKUP(60,'PEDIDO 15'!$C$2:$E$230,3,0),0)</f>
        <v>0</v>
      </c>
      <c r="D1154" s="1">
        <f>IFERROR(VLOOKUP(120,'PEDIDO 15'!$C$2:$E$230,3,0),0)</f>
        <v>0</v>
      </c>
      <c r="E1154" s="1">
        <f>IFERROR(VLOOKUP(62,'PEDIDO 15'!$C$2:$E$230,3,0),0)</f>
        <v>0</v>
      </c>
      <c r="F1154" s="1">
        <f>IFERROR(VLOOKUP(301,'PEDIDO 15'!$C$2:$E$230,3,0),0)</f>
        <v>0</v>
      </c>
      <c r="G1154" s="18">
        <f t="shared" si="28"/>
        <v>0</v>
      </c>
    </row>
    <row r="1155" spans="1:7" ht="15.75" x14ac:dyDescent="0.25">
      <c r="A1155" s="15" t="str">
        <f>'PEDIDO 15'!$B$2</f>
        <v>Manduri-Katia Francisca Zafalao - Me</v>
      </c>
      <c r="B1155" s="12" t="s">
        <v>426</v>
      </c>
      <c r="C1155" s="1">
        <f>IFERROR(VLOOKUP(112,'PEDIDO 15'!$C$2:$E$230,3,0),0)</f>
        <v>0</v>
      </c>
      <c r="D1155" s="1">
        <f>IFERROR(VLOOKUP(113,'PEDIDO 15'!$C$2:$E$230,3,0),0)</f>
        <v>0</v>
      </c>
      <c r="E1155" s="1">
        <f>IFERROR(VLOOKUP(114,'PEDIDO 15'!$C$2:$E$230,3,0),0)</f>
        <v>0</v>
      </c>
      <c r="F1155" s="1">
        <f>IFERROR(VLOOKUP(296,'PEDIDO 15'!$C$2:$E$230,3,0),0)</f>
        <v>0</v>
      </c>
      <c r="G1155" s="18">
        <f t="shared" si="28"/>
        <v>0</v>
      </c>
    </row>
    <row r="1156" spans="1:7" ht="15.75" x14ac:dyDescent="0.25">
      <c r="A1156" s="15" t="str">
        <f>'PEDIDO 15'!$B$2</f>
        <v>Manduri-Katia Francisca Zafalao - Me</v>
      </c>
      <c r="B1156" s="12" t="s">
        <v>427</v>
      </c>
      <c r="C1156" s="1">
        <f>IFERROR(VLOOKUP(116,'PEDIDO 15'!$C$2:$E$230,3,0),0)</f>
        <v>0</v>
      </c>
      <c r="D1156" s="1">
        <f>IFERROR(VLOOKUP(117,'PEDIDO 15'!$C$2:$E$230,3,0),0)</f>
        <v>0</v>
      </c>
      <c r="E1156" s="1">
        <f>IFERROR(VLOOKUP(118,'PEDIDO 15'!$C$2:$E$230,3,0),0)</f>
        <v>0</v>
      </c>
      <c r="F1156" s="1">
        <f>IFERROR(VLOOKUP(293,'PEDIDO 15'!$C$2:$E$230,3,0),0)</f>
        <v>0</v>
      </c>
      <c r="G1156" s="18">
        <f t="shared" si="28"/>
        <v>0</v>
      </c>
    </row>
    <row r="1157" spans="1:7" ht="15.75" x14ac:dyDescent="0.25">
      <c r="A1157" s="15" t="str">
        <f>'PEDIDO 15'!$B$2</f>
        <v>Manduri-Katia Francisca Zafalao - Me</v>
      </c>
      <c r="B1157" s="12" t="s">
        <v>418</v>
      </c>
      <c r="C1157" s="1">
        <f>IFERROR(VLOOKUP(963,'PEDIDO 15'!$C$2:$E$230,3,0),0)</f>
        <v>0</v>
      </c>
      <c r="D1157" s="1">
        <f>IFERROR(VLOOKUP(965,'PEDIDO 15'!$C$2:$E$230,3,0),0)</f>
        <v>0</v>
      </c>
      <c r="E1157" s="1">
        <f>IFERROR(VLOOKUP(966,'PEDIDO 15'!$C$2:$E$230,3,0),0)</f>
        <v>0</v>
      </c>
      <c r="F1157" s="1">
        <f>IFERROR(VLOOKUP(964,'PEDIDO 15'!$C$2:$E$230,3,0),0)</f>
        <v>0</v>
      </c>
      <c r="G1157" s="18">
        <f t="shared" si="28"/>
        <v>0</v>
      </c>
    </row>
    <row r="1158" spans="1:7" ht="15.75" x14ac:dyDescent="0.25">
      <c r="A1158" s="15" t="str">
        <f>'PEDIDO 15'!$B$2</f>
        <v>Manduri-Katia Francisca Zafalao - Me</v>
      </c>
      <c r="B1158" s="12" t="s">
        <v>419</v>
      </c>
      <c r="C1158" s="1">
        <f>IFERROR(VLOOKUP(2042,'PEDIDO 15'!$C$2:$E$230,3,0),0)</f>
        <v>0</v>
      </c>
      <c r="D1158" s="1">
        <f>IFERROR(VLOOKUP(2041,'PEDIDO 15'!$C$2:$E$230,3,0),0)</f>
        <v>0</v>
      </c>
      <c r="E1158" s="1">
        <f>IFERROR(VLOOKUP(2043,'PEDIDO 15'!$C$2:$E$230,3,0),0)</f>
        <v>0</v>
      </c>
      <c r="F1158" s="1">
        <f>IFERROR(VLOOKUP(2040,'PEDIDO 15'!$C$2:$E$230,3,0),0)</f>
        <v>0</v>
      </c>
      <c r="G1158" s="18">
        <f t="shared" si="28"/>
        <v>0</v>
      </c>
    </row>
    <row r="1159" spans="1:7" ht="15.75" x14ac:dyDescent="0.25">
      <c r="A1159" s="15" t="str">
        <f>'PEDIDO 15'!$B$2</f>
        <v>Manduri-Katia Francisca Zafalao - Me</v>
      </c>
      <c r="B1159" s="12" t="s">
        <v>420</v>
      </c>
      <c r="C1159" s="1">
        <f>IFERROR(VLOOKUP(2045,'PEDIDO 15'!$C$2:$E$230,3,0),0)</f>
        <v>0</v>
      </c>
      <c r="D1159" s="1">
        <f>IFERROR(VLOOKUP(2046,'PEDIDO 15'!$C$2:$E$230,3,0),0)</f>
        <v>0</v>
      </c>
      <c r="E1159" s="1">
        <f>IFERROR(VLOOKUP(2047,'PEDIDO 15'!$C$2:$E$230,3,0),0)</f>
        <v>0</v>
      </c>
      <c r="F1159" s="1">
        <f>IFERROR(VLOOKUP(2048,'PEDIDO 15'!$C$2:$E$230,3,0),0)</f>
        <v>0</v>
      </c>
      <c r="G1159" s="18">
        <f t="shared" si="28"/>
        <v>0</v>
      </c>
    </row>
    <row r="1160" spans="1:7" ht="15.75" x14ac:dyDescent="0.25">
      <c r="A1160" s="15" t="str">
        <f>'PEDIDO 15'!$B$2</f>
        <v>Manduri-Katia Francisca Zafalao - Me</v>
      </c>
      <c r="B1160" s="12" t="s">
        <v>421</v>
      </c>
      <c r="C1160" s="1">
        <f>IFERROR(VLOOKUP(2050,'PEDIDO 15'!$C$2:$E$230,3,0),0)</f>
        <v>0</v>
      </c>
      <c r="D1160" s="1">
        <f>IFERROR(VLOOKUP(2051,'PEDIDO 15'!$C$2:$E$230,3,0),0)</f>
        <v>0</v>
      </c>
      <c r="E1160" s="1">
        <f>IFERROR(VLOOKUP(2052,'PEDIDO 15'!$C$2:$E$230,3,0),0)</f>
        <v>0</v>
      </c>
      <c r="F1160" s="1">
        <f>IFERROR(VLOOKUP(2053,'PEDIDO 15'!$C$2:$E$230,3,0),0)</f>
        <v>0</v>
      </c>
      <c r="G1160" s="18">
        <f t="shared" si="28"/>
        <v>0</v>
      </c>
    </row>
    <row r="1161" spans="1:7" ht="15.75" x14ac:dyDescent="0.25">
      <c r="A1161" s="15" t="str">
        <f>'PEDIDO 15'!$B$2</f>
        <v>Manduri-Katia Francisca Zafalao - Me</v>
      </c>
      <c r="B1161" s="12" t="s">
        <v>422</v>
      </c>
      <c r="C1161" s="1">
        <f>IFERROR(VLOOKUP(216,'PEDIDO 15'!$C$2:$E$230,3,0),0)</f>
        <v>0</v>
      </c>
      <c r="D1161" s="1">
        <f>IFERROR(VLOOKUP(217,'PEDIDO 15'!$C$2:$E$230,3,0),0)</f>
        <v>0</v>
      </c>
      <c r="E1161" s="1">
        <f>IFERROR(VLOOKUP(218,'PEDIDO 15'!$C$2:$E$230,3,0),0)</f>
        <v>0</v>
      </c>
      <c r="F1161" s="1">
        <f>IFERROR(VLOOKUP(305,'PEDIDO 15'!$C$2:$E$230,3,0),0)</f>
        <v>0</v>
      </c>
      <c r="G1161" s="18">
        <f t="shared" si="28"/>
        <v>0</v>
      </c>
    </row>
    <row r="1162" spans="1:7" ht="15.75" x14ac:dyDescent="0.25">
      <c r="A1162" s="15" t="str">
        <f>'PEDIDO 15'!$B$2</f>
        <v>Manduri-Katia Francisca Zafalao - Me</v>
      </c>
      <c r="B1162" s="12" t="s">
        <v>423</v>
      </c>
      <c r="C1162" s="1">
        <f>IFERROR(VLOOKUP(100,'PEDIDO 15'!$C$2:$E$230,3,0),0)</f>
        <v>0</v>
      </c>
      <c r="D1162" s="1">
        <f>IFERROR(VLOOKUP(101,'PEDIDO 15'!$C$2:$E$230,3,0),0)</f>
        <v>0</v>
      </c>
      <c r="E1162" s="1">
        <f>IFERROR(VLOOKUP(102,'PEDIDO 15'!$C$2:$E$230,3,0),0)</f>
        <v>0</v>
      </c>
      <c r="F1162" s="1">
        <f>IFERROR(VLOOKUP(306,'PEDIDO 15'!$C$2:$E$230,3,0),0)</f>
        <v>0</v>
      </c>
      <c r="G1162" s="18">
        <f t="shared" si="28"/>
        <v>0</v>
      </c>
    </row>
    <row r="1163" spans="1:7" ht="15.75" x14ac:dyDescent="0.25">
      <c r="A1163" s="15" t="str">
        <f>'PEDIDO 15'!$B$2</f>
        <v>Manduri-Katia Francisca Zafalao - Me</v>
      </c>
      <c r="B1163" s="12" t="s">
        <v>424</v>
      </c>
      <c r="C1163" s="1">
        <f>IFERROR(VLOOKUP(104,'PEDIDO 15'!$C$2:$E$230,3,0),0)</f>
        <v>0</v>
      </c>
      <c r="D1163" s="1">
        <f>IFERROR(VLOOKUP(105,'PEDIDO 15'!$C$2:$E$230,3,0),0)</f>
        <v>0</v>
      </c>
      <c r="E1163" s="1">
        <f>IFERROR(VLOOKUP(106,'PEDIDO 15'!$C$2:$E$230,3,0),0)</f>
        <v>0</v>
      </c>
      <c r="F1163" s="1">
        <f>IFERROR(VLOOKUP(307,'PEDIDO 15'!$C$2:$E$230,3,0),0)</f>
        <v>0</v>
      </c>
      <c r="G1163" s="18">
        <f t="shared" si="28"/>
        <v>0</v>
      </c>
    </row>
    <row r="1164" spans="1:7" ht="15.75" x14ac:dyDescent="0.25">
      <c r="A1164" s="15" t="str">
        <f>'PEDIDO 15'!$B$2</f>
        <v>Manduri-Katia Francisca Zafalao - Me</v>
      </c>
      <c r="B1164" s="12" t="s">
        <v>425</v>
      </c>
      <c r="C1164" s="1">
        <f>IFERROR(VLOOKUP(400,'PEDIDO 15'!$C$2:$E$230,3,0),0)</f>
        <v>0</v>
      </c>
      <c r="D1164" s="1">
        <f>IFERROR(VLOOKUP(401,'PEDIDO 15'!$C$2:$E$230,3,0),0)</f>
        <v>0</v>
      </c>
      <c r="E1164" s="1">
        <f>IFERROR(VLOOKUP(402,'PEDIDO 15'!$C$2:$E$230,3,0),0)</f>
        <v>0</v>
      </c>
      <c r="F1164" s="1">
        <f>IFERROR(VLOOKUP(403,'PEDIDO 15'!$C$2:$E$230,3,0),0)</f>
        <v>0</v>
      </c>
      <c r="G1164" s="18">
        <f t="shared" si="28"/>
        <v>0</v>
      </c>
    </row>
    <row r="1165" spans="1:7" ht="15.75" x14ac:dyDescent="0.25">
      <c r="A1165" s="15" t="str">
        <f>'PEDIDO 15'!$B$2</f>
        <v>Manduri-Katia Francisca Zafalao - Me</v>
      </c>
      <c r="B1165" s="12" t="s">
        <v>428</v>
      </c>
      <c r="C1165" s="1">
        <f>IFERROR(VLOOKUP(22,'PEDIDO 15'!$C$2:$E$230,3,0),0)</f>
        <v>0</v>
      </c>
      <c r="D1165" s="1"/>
      <c r="E1165" s="1"/>
      <c r="F1165" s="1"/>
      <c r="G1165" s="18">
        <f t="shared" si="28"/>
        <v>0</v>
      </c>
    </row>
    <row r="1166" spans="1:7" ht="15.75" x14ac:dyDescent="0.25">
      <c r="A1166" s="15" t="str">
        <f>'PEDIDO 15'!$B$2</f>
        <v>Manduri-Katia Francisca Zafalao - Me</v>
      </c>
      <c r="B1166" s="12" t="s">
        <v>429</v>
      </c>
      <c r="C1166" s="1">
        <f>IFERROR(VLOOKUP(21,'PEDIDO 15'!$C$2:$E$230,3,0),0)</f>
        <v>0</v>
      </c>
      <c r="D1166" s="1"/>
      <c r="E1166" s="1"/>
      <c r="F1166" s="1"/>
      <c r="G1166" s="18">
        <f t="shared" si="28"/>
        <v>0</v>
      </c>
    </row>
    <row r="1167" spans="1:7" ht="15.75" x14ac:dyDescent="0.25">
      <c r="A1167" s="15" t="str">
        <f>'PEDIDO 15'!$B$2</f>
        <v>Manduri-Katia Francisca Zafalao - Me</v>
      </c>
      <c r="B1167" s="12" t="s">
        <v>430</v>
      </c>
      <c r="C1167" s="1">
        <f>IFERROR(VLOOKUP(1125,'PEDIDO 15'!$C$2:$E$230,3,0),0)</f>
        <v>0</v>
      </c>
      <c r="D1167" s="1">
        <f>IFERROR(VLOOKUP(1126,'PEDIDO 15'!$C$2:$E$230,3,0),0)</f>
        <v>0</v>
      </c>
      <c r="E1167" s="1">
        <f>IFERROR(VLOOKUP(1127,'PEDIDO 15'!$C$2:$E$230,3,0),0)</f>
        <v>0</v>
      </c>
      <c r="F1167" s="1">
        <f>IFERROR(VLOOKUP(1128,'PEDIDO 15'!$C$2:$E$230,3,0),0)</f>
        <v>0</v>
      </c>
      <c r="G1167" s="18">
        <f t="shared" si="28"/>
        <v>0</v>
      </c>
    </row>
    <row r="1168" spans="1:7" ht="15.75" x14ac:dyDescent="0.25">
      <c r="A1168" s="15" t="str">
        <f>'PEDIDO 15'!$B$2</f>
        <v>Manduri-Katia Francisca Zafalao - Me</v>
      </c>
      <c r="B1168" s="12" t="s">
        <v>431</v>
      </c>
      <c r="C1168" s="1">
        <f>IFERROR(VLOOKUP(1133,'PEDIDO 15'!$C$2:$E$230,3,0),0)</f>
        <v>0</v>
      </c>
      <c r="D1168" s="1">
        <f>IFERROR(VLOOKUP(1134,'PEDIDO 15'!$C$2:$E$230,3,0),0)</f>
        <v>0</v>
      </c>
      <c r="E1168" s="1">
        <f>IFERROR(VLOOKUP(1135,'PEDIDO 15'!$C$2:$E$230,3,0),0)</f>
        <v>0</v>
      </c>
      <c r="F1168" s="1">
        <f>IFERROR(VLOOKUP(1136,'PEDIDO 15'!$C$2:$E$230,3,0),0)</f>
        <v>0</v>
      </c>
      <c r="G1168" s="18">
        <f t="shared" si="28"/>
        <v>0</v>
      </c>
    </row>
    <row r="1169" spans="1:7" ht="15.75" x14ac:dyDescent="0.25">
      <c r="A1169" s="15" t="str">
        <f>'PEDIDO 15'!$B$2</f>
        <v>Manduri-Katia Francisca Zafalao - Me</v>
      </c>
      <c r="B1169" s="12" t="s">
        <v>432</v>
      </c>
      <c r="C1169" s="1">
        <f>IFERROR(VLOOKUP(1105,'PEDIDO 15'!$C$2:$E$230,3,0),0)</f>
        <v>0</v>
      </c>
      <c r="D1169" s="1">
        <f>IFERROR(VLOOKUP(1106,'PEDIDO 15'!$C$2:$E$230,3,0),0)</f>
        <v>0</v>
      </c>
      <c r="E1169" s="1">
        <f>IFERROR(VLOOKUP(1107,'PEDIDO 15'!$C$2:$E$230,3,0),0)</f>
        <v>0</v>
      </c>
      <c r="F1169" s="1">
        <f>IFERROR(VLOOKUP(1108,'PEDIDO 15'!$C$2:$E$230,3,0),0)</f>
        <v>0</v>
      </c>
      <c r="G1169" s="18">
        <f t="shared" si="28"/>
        <v>0</v>
      </c>
    </row>
    <row r="1170" spans="1:7" ht="15.75" x14ac:dyDescent="0.25">
      <c r="A1170" s="15" t="str">
        <f>'PEDIDO 15'!$B$2</f>
        <v>Manduri-Katia Francisca Zafalao - Me</v>
      </c>
      <c r="B1170" s="12" t="s">
        <v>433</v>
      </c>
      <c r="C1170" s="1">
        <f>IFERROR(VLOOKUP(1109,'PEDIDO 15'!$C$2:$E$230,3,0),0)</f>
        <v>0</v>
      </c>
      <c r="D1170" s="1">
        <f>IFERROR(VLOOKUP(1110,'PEDIDO 15'!$C$2:$E$230,3,0),0)</f>
        <v>0</v>
      </c>
      <c r="E1170" s="1">
        <f>IFERROR(VLOOKUP(1111,'PEDIDO 15'!$C$2:$E$230,3,0),0)</f>
        <v>0</v>
      </c>
      <c r="F1170" s="1">
        <f>IFERROR(VLOOKUP(1112,'PEDIDO 15'!$C$2:$E$230,3,0),0)</f>
        <v>0</v>
      </c>
      <c r="G1170" s="18">
        <f t="shared" si="28"/>
        <v>0</v>
      </c>
    </row>
    <row r="1171" spans="1:7" ht="15.75" x14ac:dyDescent="0.25">
      <c r="A1171" s="15" t="str">
        <f>'PEDIDO 15'!$B$2</f>
        <v>Manduri-Katia Francisca Zafalao - Me</v>
      </c>
      <c r="B1171" s="12" t="s">
        <v>434</v>
      </c>
      <c r="C1171" s="1">
        <f>IFERROR(VLOOKUP(1113,'PEDIDO 15'!$C$2:$E$230,3,0),0)</f>
        <v>0</v>
      </c>
      <c r="D1171" s="1">
        <f>IFERROR(VLOOKUP(1114,'PEDIDO 15'!$C$2:$E$230,3,0),0)</f>
        <v>0</v>
      </c>
      <c r="E1171" s="1">
        <f>IFERROR(VLOOKUP(1115,'PEDIDO 15'!$C$2:$E$230,3,0),0)</f>
        <v>0</v>
      </c>
      <c r="F1171" s="1">
        <f>IFERROR(VLOOKUP(1116,'PEDIDO 15'!$C$2:$E$230,3,0),0)</f>
        <v>0</v>
      </c>
      <c r="G1171" s="18">
        <f t="shared" si="28"/>
        <v>0</v>
      </c>
    </row>
    <row r="1172" spans="1:7" ht="15.75" x14ac:dyDescent="0.25">
      <c r="A1172" s="15" t="str">
        <f>'PEDIDO 15'!$B$2</f>
        <v>Manduri-Katia Francisca Zafalao - Me</v>
      </c>
      <c r="B1172" s="12" t="s">
        <v>435</v>
      </c>
      <c r="C1172" s="1">
        <f>IFERROR(VLOOKUP(1117,'PEDIDO 15'!$C$2:$E$230,3,0),0)</f>
        <v>0</v>
      </c>
      <c r="D1172" s="1">
        <f>IFERROR(VLOOKUP(1118,'PEDIDO 15'!$C$2:$E$230,3,0),0)</f>
        <v>0</v>
      </c>
      <c r="E1172" s="1">
        <f>IFERROR(VLOOKUP(1119,'PEDIDO 15'!$C$2:$E$230,3,0),0)</f>
        <v>0</v>
      </c>
      <c r="F1172" s="1">
        <f>IFERROR(VLOOKUP(1120,'PEDIDO 15'!$C$2:$E$230,3,0),0)</f>
        <v>0</v>
      </c>
      <c r="G1172" s="18">
        <f t="shared" si="28"/>
        <v>0</v>
      </c>
    </row>
    <row r="1173" spans="1:7" ht="15.75" x14ac:dyDescent="0.25">
      <c r="A1173" s="15" t="str">
        <f>'PEDIDO 15'!$B$2</f>
        <v>Manduri-Katia Francisca Zafalao - Me</v>
      </c>
      <c r="B1173" s="12" t="s">
        <v>436</v>
      </c>
      <c r="C1173" s="1">
        <f>IFERROR(VLOOKUP(1121,'PEDIDO 15'!$C$2:$E$230,3,0),0)</f>
        <v>0</v>
      </c>
      <c r="D1173" s="1">
        <f>IFERROR(VLOOKUP(1122,'PEDIDO 15'!$C$2:$E$230,3,0),0)</f>
        <v>0</v>
      </c>
      <c r="E1173" s="1">
        <f>IFERROR(VLOOKUP(1123,'PEDIDO 15'!$C$2:$E$230,3,0),0)</f>
        <v>0</v>
      </c>
      <c r="F1173" s="1">
        <f>IFERROR(VLOOKUP(1124,'PEDIDO 15'!$C$2:$E$230,3,0),0)</f>
        <v>0</v>
      </c>
      <c r="G1173" s="18">
        <f t="shared" si="28"/>
        <v>0</v>
      </c>
    </row>
    <row r="1174" spans="1:7" ht="15.75" x14ac:dyDescent="0.25">
      <c r="A1174" s="15" t="str">
        <f>'PEDIDO 15'!$B$2</f>
        <v>Manduri-Katia Francisca Zafalao - Me</v>
      </c>
      <c r="B1174" s="12" t="s">
        <v>437</v>
      </c>
      <c r="C1174" s="1">
        <f>IFERROR(VLOOKUP(1129,'PEDIDO 15'!$C$2:$E$230,3,0),0)</f>
        <v>0</v>
      </c>
      <c r="D1174" s="1">
        <f>IFERROR(VLOOKUP(1130,'PEDIDO 15'!$C$2:$E$230,3,0),0)</f>
        <v>0</v>
      </c>
      <c r="E1174" s="1">
        <f>IFERROR(VLOOKUP(1131,'PEDIDO 15'!$C$2:$E$230,3,0),0)</f>
        <v>0</v>
      </c>
      <c r="F1174" s="1">
        <f>IFERROR(VLOOKUP(1132,'PEDIDO 15'!$C$2:$E$230,3,0),0)</f>
        <v>0</v>
      </c>
      <c r="G1174" s="18">
        <f t="shared" si="28"/>
        <v>0</v>
      </c>
    </row>
    <row r="1175" spans="1:7" ht="15.75" x14ac:dyDescent="0.25">
      <c r="A1175" s="15" t="str">
        <f>'PEDIDO 15'!$B$2</f>
        <v>Manduri-Katia Francisca Zafalao - Me</v>
      </c>
      <c r="B1175" s="12" t="s">
        <v>438</v>
      </c>
      <c r="C1175" s="1">
        <f>IFERROR(VLOOKUP(1137,'PEDIDO 15'!$C$2:$E$230,3,0),0)</f>
        <v>0</v>
      </c>
      <c r="D1175" s="1">
        <f>IFERROR(VLOOKUP(1138,'PEDIDO 15'!$C$2:$E$230,3,0),0)</f>
        <v>0</v>
      </c>
      <c r="E1175" s="1">
        <f>IFERROR(VLOOKUP(1139,'PEDIDO 15'!$C$2:$E$230,3,0),0)</f>
        <v>0</v>
      </c>
      <c r="F1175" s="1">
        <f>IFERROR(VLOOKUP(1140,'PEDIDO 15'!$C$2:$E$230,3,0),0)</f>
        <v>0</v>
      </c>
      <c r="G1175" s="18">
        <f t="shared" si="28"/>
        <v>0</v>
      </c>
    </row>
    <row r="1176" spans="1:7" ht="15.75" x14ac:dyDescent="0.25">
      <c r="A1176" s="15" t="str">
        <f>'PEDIDO 15'!$B$2</f>
        <v>Manduri-Katia Francisca Zafalao - Me</v>
      </c>
      <c r="B1176" s="12" t="s">
        <v>439</v>
      </c>
      <c r="C1176" s="1">
        <f>IFERROR(VLOOKUP(1141,'PEDIDO 15'!$C$2:$E$230,3,0),0)</f>
        <v>0</v>
      </c>
      <c r="D1176" s="1">
        <f>IFERROR(VLOOKUP(1142,'PEDIDO 15'!$C$2:$E$230,3,0),0)</f>
        <v>0</v>
      </c>
      <c r="E1176" s="1">
        <f>IFERROR(VLOOKUP(1143,'PEDIDO 15'!$C$2:$E$230,3,0),0)</f>
        <v>0</v>
      </c>
      <c r="F1176" s="1">
        <f>IFERROR(VLOOKUP(1144,'PEDIDO 15'!$C$2:$E$230,3,0),0)</f>
        <v>0</v>
      </c>
      <c r="G1176" s="18">
        <f t="shared" si="28"/>
        <v>0</v>
      </c>
    </row>
    <row r="1177" spans="1:7" ht="15.75" x14ac:dyDescent="0.25">
      <c r="A1177" s="15" t="str">
        <f>'PEDIDO 15'!$B$2</f>
        <v>Manduri-Katia Francisca Zafalao - Me</v>
      </c>
      <c r="B1177" s="12" t="s">
        <v>440</v>
      </c>
      <c r="C1177" s="1">
        <f>IFERROR(VLOOKUP(1145,'PEDIDO 15'!$C$2:$E$230,3,0),0)</f>
        <v>0</v>
      </c>
      <c r="D1177" s="1">
        <f>IFERROR(VLOOKUP(1146,'PEDIDO 15'!$C$2:$E$230,3,0),0)</f>
        <v>0</v>
      </c>
      <c r="E1177" s="1">
        <f>IFERROR(VLOOKUP(1147,'PEDIDO 15'!$C$2:$E$230,3,0),0)</f>
        <v>0</v>
      </c>
      <c r="F1177" s="1">
        <f>IFERROR(VLOOKUP(1148,'PEDIDO 15'!$C$2:$E$230,3,0),0)</f>
        <v>0</v>
      </c>
      <c r="G1177" s="18">
        <f t="shared" si="28"/>
        <v>0</v>
      </c>
    </row>
    <row r="1178" spans="1:7" ht="15.75" x14ac:dyDescent="0.25">
      <c r="A1178" s="15" t="str">
        <f>'PEDIDO 15'!$B$2</f>
        <v>Manduri-Katia Francisca Zafalao - Me</v>
      </c>
      <c r="B1178" s="12" t="s">
        <v>441</v>
      </c>
      <c r="C1178" s="1">
        <f>IFERROR(VLOOKUP(1149,'PEDIDO 15'!$C$2:$E$230,3,0),0)</f>
        <v>0</v>
      </c>
      <c r="D1178" s="1">
        <f>IFERROR(VLOOKUP(1150,'PEDIDO 15'!$C$2:$E$230,3,0),0)</f>
        <v>0</v>
      </c>
      <c r="E1178" s="1">
        <f>IFERROR(VLOOKUP(1151,'PEDIDO 15'!$C$2:$E$230,3,0),0)</f>
        <v>0</v>
      </c>
      <c r="F1178" s="1">
        <f>IFERROR(VLOOKUP(1152,'PEDIDO 15'!$C$2:$E$230,3,0),0)</f>
        <v>0</v>
      </c>
      <c r="G1178" s="18">
        <f t="shared" si="28"/>
        <v>0</v>
      </c>
    </row>
    <row r="1179" spans="1:7" ht="15.75" x14ac:dyDescent="0.25">
      <c r="A1179" s="15" t="str">
        <f>'PEDIDO 15'!$B$2</f>
        <v>Manduri-Katia Francisca Zafalao - Me</v>
      </c>
      <c r="B1179" s="12" t="s">
        <v>442</v>
      </c>
      <c r="C1179" s="1">
        <f>IFERROR(VLOOKUP(1153,'PEDIDO 15'!$C$2:$E$230,3,0),0)</f>
        <v>0</v>
      </c>
      <c r="D1179" s="1">
        <f>IFERROR(VLOOKUP(1154,'PEDIDO 15'!$C$2:$E$230,3,0),0)</f>
        <v>0</v>
      </c>
      <c r="E1179" s="1">
        <f>IFERROR(VLOOKUP(1155,'PEDIDO 15'!$C$2:$E$230,3,0),0)</f>
        <v>0</v>
      </c>
      <c r="F1179" s="1">
        <f>IFERROR(VLOOKUP(1156,'PEDIDO 15'!$C$2:$E$230,3,0),0)</f>
        <v>0</v>
      </c>
      <c r="G1179" s="18">
        <f t="shared" si="28"/>
        <v>0</v>
      </c>
    </row>
    <row r="1180" spans="1:7" ht="15.75" x14ac:dyDescent="0.25">
      <c r="A1180" s="15" t="str">
        <f>'PEDIDO 15'!$B$2</f>
        <v>Manduri-Katia Francisca Zafalao - Me</v>
      </c>
      <c r="B1180" s="12" t="s">
        <v>443</v>
      </c>
      <c r="C1180" s="1">
        <f>IFERROR(VLOOKUP(1157,'PEDIDO 15'!$C$2:$E$230,3,0),0)</f>
        <v>0</v>
      </c>
      <c r="D1180" s="1">
        <f>IFERROR(VLOOKUP(1158,'PEDIDO 15'!$C$2:$E$230,3,0),0)</f>
        <v>0</v>
      </c>
      <c r="E1180" s="1">
        <f>IFERROR(VLOOKUP(1159,'PEDIDO 15'!$C$2:$E$230,3,0),0)</f>
        <v>0</v>
      </c>
      <c r="F1180" s="1">
        <f>IFERROR(VLOOKUP(1160,'PEDIDO 15'!$C$2:$E$230,3,0),0)</f>
        <v>0</v>
      </c>
      <c r="G1180" s="18">
        <f t="shared" si="28"/>
        <v>0</v>
      </c>
    </row>
    <row r="1181" spans="1:7" ht="15.75" x14ac:dyDescent="0.25">
      <c r="A1181" s="15" t="str">
        <f>'PEDIDO 15'!$B$2</f>
        <v>Manduri-Katia Francisca Zafalao - Me</v>
      </c>
      <c r="B1181" s="12" t="s">
        <v>444</v>
      </c>
      <c r="C1181" s="1">
        <f>IFERROR(VLOOKUP(1161,'PEDIDO 15'!$C$2:$E$230,3,0),0)</f>
        <v>0</v>
      </c>
      <c r="D1181" s="1">
        <f>IFERROR(VLOOKUP(1162,'PEDIDO 15'!$C$2:$E$230,3,0),0)</f>
        <v>0</v>
      </c>
      <c r="E1181" s="1">
        <f>IFERROR(VLOOKUP(1163,'PEDIDO 15'!$C$2:$E$230,3,0),0)</f>
        <v>0</v>
      </c>
      <c r="F1181" s="1">
        <f>IFERROR(VLOOKUP(1164,'PEDIDO 15'!$C$2:$E$230,3,0),0)</f>
        <v>0</v>
      </c>
      <c r="G1181" s="18">
        <f t="shared" si="28"/>
        <v>0</v>
      </c>
    </row>
    <row r="1182" spans="1:7" ht="15.75" x14ac:dyDescent="0.25">
      <c r="A1182" s="15" t="str">
        <f>'PEDIDO 15'!$B$2</f>
        <v>Manduri-Katia Francisca Zafalao - Me</v>
      </c>
      <c r="B1182" s="12" t="s">
        <v>445</v>
      </c>
      <c r="C1182" s="1">
        <f>IFERROR(VLOOKUP(1165,'PEDIDO 15'!$C$2:$E$230,3,0),0)</f>
        <v>0</v>
      </c>
      <c r="D1182" s="1">
        <f>IFERROR(VLOOKUP(1166,'PEDIDO 15'!$C$2:$E$230,3,0),0)</f>
        <v>0</v>
      </c>
      <c r="E1182" s="1">
        <f>IFERROR(VLOOKUP(1167,'PEDIDO 15'!$C$2:$E$230,3,0),0)</f>
        <v>0</v>
      </c>
      <c r="F1182" s="1">
        <f>IFERROR(VLOOKUP(1168,'PEDIDO 15'!$C$2:$E$230,3,0),0)</f>
        <v>0</v>
      </c>
      <c r="G1182" s="18">
        <f t="shared" si="28"/>
        <v>0</v>
      </c>
    </row>
    <row r="1183" spans="1:7" ht="15.75" x14ac:dyDescent="0.25">
      <c r="A1183" s="15" t="str">
        <f>'PEDIDO 15'!$B$2</f>
        <v>Manduri-Katia Francisca Zafalao - Me</v>
      </c>
      <c r="B1183" s="12" t="s">
        <v>446</v>
      </c>
      <c r="C1183" s="1">
        <f>IFERROR(VLOOKUP(1169,'PEDIDO 15'!$C$2:$E$230,3,0),0)</f>
        <v>0</v>
      </c>
      <c r="D1183" s="1">
        <f>IFERROR(VLOOKUP(1170,'PEDIDO 15'!$C$2:$E$230,3,0),0)</f>
        <v>0</v>
      </c>
      <c r="E1183" s="1">
        <f>IFERROR(VLOOKUP(1171,'PEDIDO 15'!$C$2:$E$230,3,0),0)</f>
        <v>0</v>
      </c>
      <c r="F1183" s="1">
        <f>IFERROR(VLOOKUP(1172,'PEDIDO 15'!$C$2:$E$230,3,0),0)</f>
        <v>0</v>
      </c>
      <c r="G1183" s="18">
        <f t="shared" si="28"/>
        <v>0</v>
      </c>
    </row>
    <row r="1184" spans="1:7" ht="15.75" x14ac:dyDescent="0.25">
      <c r="A1184" s="15" t="str">
        <f>'PEDIDO 15'!$B$2</f>
        <v>Manduri-Katia Francisca Zafalao - Me</v>
      </c>
      <c r="B1184" s="12" t="s">
        <v>447</v>
      </c>
      <c r="C1184" s="1">
        <f>IFERROR(VLOOKUP(1173,'PEDIDO 15'!$C$2:$E$230,3,0),0)</f>
        <v>0</v>
      </c>
      <c r="D1184" s="1">
        <f>IFERROR(VLOOKUP(1174,'PEDIDO 15'!$C$2:$E$230,3,0),0)</f>
        <v>0</v>
      </c>
      <c r="E1184" s="1">
        <f>IFERROR(VLOOKUP(1175,'PEDIDO 15'!$C$2:$E$230,3,0),0)</f>
        <v>0</v>
      </c>
      <c r="F1184" s="1">
        <f>IFERROR(VLOOKUP(1176,'PEDIDO 15'!$C$2:$E$230,3,0),0)</f>
        <v>0</v>
      </c>
      <c r="G1184" s="18">
        <f t="shared" si="28"/>
        <v>0</v>
      </c>
    </row>
    <row r="1185" spans="1:7" ht="15.75" x14ac:dyDescent="0.25">
      <c r="A1185" s="15" t="str">
        <f>'PEDIDO 15'!$B$2</f>
        <v>Manduri-Katia Francisca Zafalao - Me</v>
      </c>
      <c r="B1185" s="12" t="s">
        <v>448</v>
      </c>
      <c r="C1185" s="1">
        <f>IFERROR(VLOOKUP(1249,'PEDIDO 15'!$C$2:$E$230,3,0),0)</f>
        <v>0</v>
      </c>
      <c r="D1185" s="1">
        <f>IFERROR(VLOOKUP(1250,'PEDIDO 15'!$C$2:$E$230,3,0),0)</f>
        <v>0</v>
      </c>
      <c r="E1185" s="1">
        <f>IFERROR(VLOOKUP(1251,'PEDIDO 15'!$C$2:$E$230,3,0),0)</f>
        <v>0</v>
      </c>
      <c r="F1185" s="1">
        <f>IFERROR(VLOOKUP(1252,'PEDIDO 15'!$C$2:$E$230,3,0),0)</f>
        <v>0</v>
      </c>
      <c r="G1185" s="18">
        <f t="shared" si="28"/>
        <v>0</v>
      </c>
    </row>
    <row r="1186" spans="1:7" ht="15.75" x14ac:dyDescent="0.25">
      <c r="A1186" s="15" t="str">
        <f>'PEDIDO 15'!$B$2</f>
        <v>Manduri-Katia Francisca Zafalao - Me</v>
      </c>
      <c r="B1186" s="12" t="s">
        <v>449</v>
      </c>
      <c r="C1186" s="1">
        <f>IFERROR(VLOOKUP(1177,'PEDIDO 15'!$C$2:$E$230,3,0),0)</f>
        <v>0</v>
      </c>
      <c r="D1186" s="1">
        <f>IFERROR(VLOOKUP(1178,'PEDIDO 15'!$C$2:$E$230,3,0),0)</f>
        <v>0</v>
      </c>
      <c r="E1186" s="1">
        <f>IFERROR(VLOOKUP(1179,'PEDIDO 15'!$C$2:$E$230,3,0),0)</f>
        <v>0</v>
      </c>
      <c r="F1186" s="1">
        <f>IFERROR(VLOOKUP(1180,'PEDIDO 15'!$C$2:$E$230,3,0),0)</f>
        <v>0</v>
      </c>
      <c r="G1186" s="18">
        <f t="shared" si="28"/>
        <v>0</v>
      </c>
    </row>
    <row r="1187" spans="1:7" ht="15.75" x14ac:dyDescent="0.25">
      <c r="A1187" s="15" t="str">
        <f>'PEDIDO 15'!$B$2</f>
        <v>Manduri-Katia Francisca Zafalao - Me</v>
      </c>
      <c r="B1187" s="12" t="s">
        <v>450</v>
      </c>
      <c r="C1187" s="1">
        <f>IFERROR(VLOOKUP(1181,'PEDIDO 15'!$C$2:$E$230,3,0),0)</f>
        <v>0</v>
      </c>
      <c r="D1187" s="1">
        <f>IFERROR(VLOOKUP(1182,'PEDIDO 15'!$C$2:$E$230,3,0),0)</f>
        <v>0</v>
      </c>
      <c r="E1187" s="1">
        <f>IFERROR(VLOOKUP(1183,'PEDIDO 15'!$C$2:$E$230,3,0),0)</f>
        <v>0</v>
      </c>
      <c r="F1187" s="1">
        <f>IFERROR(VLOOKUP(1184,'PEDIDO 15'!$C$2:$E$230,3,0),0)</f>
        <v>0</v>
      </c>
      <c r="G1187" s="18">
        <f t="shared" si="28"/>
        <v>0</v>
      </c>
    </row>
    <row r="1188" spans="1:7" ht="15.75" x14ac:dyDescent="0.25">
      <c r="A1188" s="15" t="str">
        <f>'PEDIDO 15'!$B$2</f>
        <v>Manduri-Katia Francisca Zafalao - Me</v>
      </c>
      <c r="B1188" s="12" t="s">
        <v>451</v>
      </c>
      <c r="C1188" s="1">
        <f>IFERROR(VLOOKUP(1185,'PEDIDO 15'!$C$2:$E$230,3,0),0)</f>
        <v>0</v>
      </c>
      <c r="D1188" s="1">
        <f>IFERROR(VLOOKUP(1186,'PEDIDO 15'!$C$2:$E$230,3,0),0)</f>
        <v>0</v>
      </c>
      <c r="E1188" s="1">
        <f>IFERROR(VLOOKUP(1187,'PEDIDO 15'!$C$2:$E$230,3,0),0)</f>
        <v>0</v>
      </c>
      <c r="F1188" s="1">
        <f>IFERROR(VLOOKUP(1188,'PEDIDO 15'!$C$2:$E$230,3,0),0)</f>
        <v>0</v>
      </c>
      <c r="G1188" s="18">
        <f t="shared" si="28"/>
        <v>0</v>
      </c>
    </row>
    <row r="1189" spans="1:7" ht="15.75" x14ac:dyDescent="0.25">
      <c r="A1189" s="15" t="str">
        <f>'PEDIDO 15'!$B$2</f>
        <v>Manduri-Katia Francisca Zafalao - Me</v>
      </c>
      <c r="B1189" s="12" t="s">
        <v>452</v>
      </c>
      <c r="C1189" s="1">
        <f>IFERROR(VLOOKUP(1189,'PEDIDO 15'!$C$2:$E$230,3,0),0)</f>
        <v>0</v>
      </c>
      <c r="D1189" s="1">
        <f>IFERROR(VLOOKUP(1190,'PEDIDO 15'!$C$2:$E$230,3,0),0)</f>
        <v>0</v>
      </c>
      <c r="E1189" s="1">
        <f>IFERROR(VLOOKUP(1191,'PEDIDO 15'!$C$2:$E$230,3,0),0)</f>
        <v>0</v>
      </c>
      <c r="F1189" s="1">
        <f>IFERROR(VLOOKUP(1192,'PEDIDO 15'!$C$2:$E$230,3,0),0)</f>
        <v>0</v>
      </c>
      <c r="G1189" s="18">
        <f t="shared" si="28"/>
        <v>0</v>
      </c>
    </row>
    <row r="1190" spans="1:7" ht="15.75" x14ac:dyDescent="0.25">
      <c r="A1190" s="15" t="str">
        <f>'PEDIDO 15'!$B$2</f>
        <v>Manduri-Katia Francisca Zafalao - Me</v>
      </c>
      <c r="B1190" s="12" t="s">
        <v>453</v>
      </c>
      <c r="C1190" s="1">
        <f>IFERROR(VLOOKUP(1193,'PEDIDO 15'!$C$2:$E$230,3,0),0)</f>
        <v>0</v>
      </c>
      <c r="D1190" s="1">
        <f>IFERROR(VLOOKUP(1194,'PEDIDO 15'!$C$2:$E$230,3,0),0)</f>
        <v>0</v>
      </c>
      <c r="E1190" s="1">
        <f>IFERROR(VLOOKUP(1195,'PEDIDO 15'!$C$2:$E$230,3,0),0)</f>
        <v>0</v>
      </c>
      <c r="F1190" s="1">
        <f>IFERROR(VLOOKUP(1196,'PEDIDO 15'!$C$2:$E$230,3,0),0)</f>
        <v>0</v>
      </c>
      <c r="G1190" s="18">
        <f t="shared" si="28"/>
        <v>0</v>
      </c>
    </row>
    <row r="1191" spans="1:7" ht="15.75" x14ac:dyDescent="0.25">
      <c r="A1191" s="15" t="str">
        <f>'PEDIDO 15'!$B$2</f>
        <v>Manduri-Katia Francisca Zafalao - Me</v>
      </c>
      <c r="B1191" s="12" t="s">
        <v>454</v>
      </c>
      <c r="C1191" s="1">
        <f>IFERROR(VLOOKUP(1197,'PEDIDO 15'!$C$2:$E$230,3,0),0)</f>
        <v>0</v>
      </c>
      <c r="D1191" s="1">
        <f>IFERROR(VLOOKUP(1198,'PEDIDO 15'!$C$2:$E$230,3,0),0)</f>
        <v>0</v>
      </c>
      <c r="E1191" s="1">
        <f>IFERROR(VLOOKUP(1199,'PEDIDO 15'!$C$2:$E$230,3,0),0)</f>
        <v>0</v>
      </c>
      <c r="F1191" s="1">
        <f>IFERROR(VLOOKUP(1200,'PEDIDO 15'!$C$2:$E$230,3,0),0)</f>
        <v>0</v>
      </c>
      <c r="G1191" s="18">
        <f t="shared" si="28"/>
        <v>0</v>
      </c>
    </row>
    <row r="1192" spans="1:7" ht="15.75" x14ac:dyDescent="0.25">
      <c r="A1192" s="15" t="str">
        <f>'PEDIDO 15'!$B$2</f>
        <v>Manduri-Katia Francisca Zafalao - Me</v>
      </c>
      <c r="B1192" s="12" t="s">
        <v>455</v>
      </c>
      <c r="C1192" s="1">
        <f>IFERROR(VLOOKUP(1201,'PEDIDO 15'!$C$2:$E$230,3,0),0)</f>
        <v>0</v>
      </c>
      <c r="D1192" s="1">
        <f>IFERROR(VLOOKUP(1202,'PEDIDO 15'!$C$2:$E$230,3,0),0)</f>
        <v>0</v>
      </c>
      <c r="E1192" s="1">
        <f>IFERROR(VLOOKUP(1203,'PEDIDO 15'!$C$2:$E$230,3,0),0)</f>
        <v>0</v>
      </c>
      <c r="F1192" s="1">
        <f>IFERROR(VLOOKUP(1204,'PEDIDO 15'!$C$2:$E$230,3,0),0)</f>
        <v>0</v>
      </c>
      <c r="G1192" s="18">
        <f t="shared" si="28"/>
        <v>0</v>
      </c>
    </row>
    <row r="1193" spans="1:7" ht="15.75" x14ac:dyDescent="0.25">
      <c r="A1193" s="15" t="str">
        <f>'PEDIDO 15'!$B$2</f>
        <v>Manduri-Katia Francisca Zafalao - Me</v>
      </c>
      <c r="B1193" s="12" t="s">
        <v>456</v>
      </c>
      <c r="C1193" s="1">
        <f>IFERROR(VLOOKUP(1205,'PEDIDO 15'!$C$2:$E$230,3,0),0)</f>
        <v>0</v>
      </c>
      <c r="D1193" s="1">
        <f>IFERROR(VLOOKUP(1206,'PEDIDO 15'!$C$2:$E$230,3,0),0)</f>
        <v>0</v>
      </c>
      <c r="E1193" s="1">
        <f>IFERROR(VLOOKUP(1207,'PEDIDO 15'!$C$2:$E$230,3,0),0)</f>
        <v>0</v>
      </c>
      <c r="F1193" s="1">
        <f>IFERROR(VLOOKUP(1208,'PEDIDO 15'!$C$2:$E$230,3,0),0)</f>
        <v>0</v>
      </c>
      <c r="G1193" s="18">
        <f t="shared" si="28"/>
        <v>0</v>
      </c>
    </row>
    <row r="1194" spans="1:7" ht="15.75" x14ac:dyDescent="0.25">
      <c r="A1194" s="15" t="str">
        <f>'PEDIDO 15'!$B$2</f>
        <v>Manduri-Katia Francisca Zafalao - Me</v>
      </c>
      <c r="B1194" s="12" t="s">
        <v>457</v>
      </c>
      <c r="C1194" s="1">
        <f>IFERROR(VLOOKUP(1213,'PEDIDO 15'!$C$2:$E$230,3,0),0)</f>
        <v>0</v>
      </c>
      <c r="D1194" s="1">
        <f>IFERROR(VLOOKUP(1214,'PEDIDO 15'!$C$2:$E$230,3,0),0)</f>
        <v>0</v>
      </c>
      <c r="E1194" s="1">
        <f>IFERROR(VLOOKUP(1215,'PEDIDO 15'!$C$2:$E$230,3,0),0)</f>
        <v>0</v>
      </c>
      <c r="F1194" s="10">
        <f>IFERROR(VLOOKUP(1216,'PEDIDO 15'!$C$2:$E$230,3,0),0)</f>
        <v>0</v>
      </c>
      <c r="G1194" s="18">
        <f t="shared" si="28"/>
        <v>0</v>
      </c>
    </row>
    <row r="1195" spans="1:7" ht="15.75" x14ac:dyDescent="0.25">
      <c r="A1195" s="15" t="str">
        <f>'PEDIDO 15'!$B$2</f>
        <v>Manduri-Katia Francisca Zafalao - Me</v>
      </c>
      <c r="B1195" s="12" t="s">
        <v>458</v>
      </c>
      <c r="C1195" s="1">
        <f>IFERROR(VLOOKUP(1209,'PEDIDO 15'!$C$2:$E$230,3,0),0)</f>
        <v>0</v>
      </c>
      <c r="D1195" s="1">
        <f>IFERROR(VLOOKUP(1210,'PEDIDO 15'!$C$2:$E$230,3,0),0)</f>
        <v>0</v>
      </c>
      <c r="E1195" s="1">
        <f>IFERROR(VLOOKUP(1211,'PEDIDO 15'!$C$2:$E$230,3,0),0)</f>
        <v>0</v>
      </c>
      <c r="F1195" s="1">
        <f>IFERROR(VLOOKUP(1212,'PEDIDO 15'!$C$2:$E$230,3,0),0)</f>
        <v>0</v>
      </c>
      <c r="G1195" s="18">
        <f t="shared" si="28"/>
        <v>0</v>
      </c>
    </row>
    <row r="1196" spans="1:7" ht="15.75" x14ac:dyDescent="0.25">
      <c r="A1196" s="15" t="str">
        <f>'PEDIDO 15'!$B$2</f>
        <v>Manduri-Katia Francisca Zafalao - Me</v>
      </c>
      <c r="B1196" s="12" t="s">
        <v>459</v>
      </c>
      <c r="C1196" s="1">
        <f>IFERROR(VLOOKUP(1217,'PEDIDO 15'!$C$2:$E$230,3,0),0)</f>
        <v>0</v>
      </c>
      <c r="D1196" s="1">
        <f>IFERROR(VLOOKUP(1218,'PEDIDO 15'!$C$2:$E$230,3,0),0)</f>
        <v>0</v>
      </c>
      <c r="E1196" s="1">
        <f>IFERROR(VLOOKUP(1219,'PEDIDO 15'!$C$2:$E$230,3,0),0)</f>
        <v>0</v>
      </c>
      <c r="F1196" s="1">
        <f>IFERROR(VLOOKUP(1220,'PEDIDO 15'!$C$2:$E$230,3,0),0)</f>
        <v>0</v>
      </c>
      <c r="G1196" s="18">
        <f t="shared" si="28"/>
        <v>0</v>
      </c>
    </row>
    <row r="1197" spans="1:7" ht="15.75" x14ac:dyDescent="0.25">
      <c r="A1197" s="15" t="str">
        <f>'PEDIDO 15'!$B$2</f>
        <v>Manduri-Katia Francisca Zafalao - Me</v>
      </c>
      <c r="B1197" s="12" t="s">
        <v>461</v>
      </c>
      <c r="C1197" s="1">
        <f>IFERROR(VLOOKUP(1225,'PEDIDO 15'!$C$2:$E$230,3,0),0)</f>
        <v>0</v>
      </c>
      <c r="D1197" s="1">
        <f>IFERROR(VLOOKUP(1226,'PEDIDO 15'!$C$2:$E$230,3,0),0)</f>
        <v>0</v>
      </c>
      <c r="E1197" s="1">
        <f>IFERROR(VLOOKUP(1227,'PEDIDO 15'!$C$2:$E$230,3,0),0)</f>
        <v>0</v>
      </c>
      <c r="F1197" s="1">
        <f>IFERROR(VLOOKUP(1228,'PEDIDO 15'!$C$2:$E$230,3,0),0)</f>
        <v>0</v>
      </c>
      <c r="G1197" s="18">
        <f t="shared" si="28"/>
        <v>0</v>
      </c>
    </row>
    <row r="1198" spans="1:7" ht="15.75" x14ac:dyDescent="0.25">
      <c r="A1198" s="15" t="str">
        <f>'PEDIDO 15'!$B$2</f>
        <v>Manduri-Katia Francisca Zafalao - Me</v>
      </c>
      <c r="B1198" s="12" t="s">
        <v>462</v>
      </c>
      <c r="C1198" s="1">
        <f>IFERROR(VLOOKUP(1221,'PEDIDO 15'!$C$2:$E$230,3,0),0)</f>
        <v>0</v>
      </c>
      <c r="D1198" s="1">
        <f>IFERROR(VLOOKUP(1222,'PEDIDO 15'!$C$2:$E$230,3,0),0)</f>
        <v>0</v>
      </c>
      <c r="E1198" s="1">
        <f>IFERROR(VLOOKUP(1223,'PEDIDO 15'!$C$2:$E$230,3,0),0)</f>
        <v>0</v>
      </c>
      <c r="F1198" s="1">
        <f>IFERROR(VLOOKUP(1224,'PEDIDO 15'!$C$2:$E$230,3,0),0)</f>
        <v>0</v>
      </c>
      <c r="G1198" s="18">
        <f t="shared" si="28"/>
        <v>0</v>
      </c>
    </row>
    <row r="1199" spans="1:7" ht="15.75" x14ac:dyDescent="0.25">
      <c r="A1199" s="15" t="str">
        <f>'PEDIDO 15'!$B$2</f>
        <v>Manduri-Katia Francisca Zafalao - Me</v>
      </c>
      <c r="B1199" s="12" t="s">
        <v>460</v>
      </c>
      <c r="C1199" s="1">
        <f>IFERROR(VLOOKUP(1229,'PEDIDO 15'!$C$2:$E$230,3,0),0)</f>
        <v>0</v>
      </c>
      <c r="D1199" s="1">
        <f>IFERROR(VLOOKUP(1230,'PEDIDO 15'!$C$2:$E$230,3,0),0)</f>
        <v>0</v>
      </c>
      <c r="E1199" s="1">
        <f>IFERROR(VLOOKUP(1231,'PEDIDO 15'!$C$2:$E$230,3,0),0)</f>
        <v>0</v>
      </c>
      <c r="F1199" s="1">
        <f>IFERROR(VLOOKUP(1232,'PEDIDO 15'!$C$2:$E$230,3,0),0)</f>
        <v>0</v>
      </c>
      <c r="G1199" s="18">
        <f t="shared" si="28"/>
        <v>0</v>
      </c>
    </row>
    <row r="1200" spans="1:7" ht="15.75" x14ac:dyDescent="0.25">
      <c r="A1200" s="15" t="str">
        <f>'PEDIDO 15'!$B$2</f>
        <v>Manduri-Katia Francisca Zafalao - Me</v>
      </c>
      <c r="B1200" s="12" t="s">
        <v>463</v>
      </c>
      <c r="C1200" s="1">
        <f>IFERROR(VLOOKUP(1233,'PEDIDO 15'!$C$2:$E$230,3,0),0)</f>
        <v>0</v>
      </c>
      <c r="D1200" s="1">
        <f>IFERROR(VLOOKUP(1234,'PEDIDO 15'!$C$2:$E$230,3,0),0)</f>
        <v>0</v>
      </c>
      <c r="E1200" s="1">
        <f>IFERROR(VLOOKUP(1235,'PEDIDO 15'!$C$2:$E$230,3,0),0)</f>
        <v>0</v>
      </c>
      <c r="F1200" s="1">
        <f>IFERROR(VLOOKUP(1236,'PEDIDO 15'!$C$2:$E$230,3,0),0)</f>
        <v>0</v>
      </c>
      <c r="G1200" s="18">
        <f t="shared" si="28"/>
        <v>0</v>
      </c>
    </row>
    <row r="1201" spans="1:7" ht="15.75" x14ac:dyDescent="0.25">
      <c r="A1201" s="15" t="str">
        <f>'PEDIDO 15'!$B$2</f>
        <v>Manduri-Katia Francisca Zafalao - Me</v>
      </c>
      <c r="B1201" s="12" t="s">
        <v>464</v>
      </c>
      <c r="C1201" s="1">
        <f>IFERROR(VLOOKUP(1237,'PEDIDO 15'!$C$2:$E$230,3,0),0)</f>
        <v>0</v>
      </c>
      <c r="D1201" s="1">
        <f>IFERROR(VLOOKUP(1238,'PEDIDO 15'!$C$2:$E$230,3,0),0)</f>
        <v>0</v>
      </c>
      <c r="E1201" s="1">
        <f>IFERROR(VLOOKUP(1239,'PEDIDO 15'!$C$2:$E$230,3,0),0)</f>
        <v>0</v>
      </c>
      <c r="F1201" s="1">
        <f>IFERROR(VLOOKUP(1240,'PEDIDO 15'!$C$2:$E$230,3,0),0)</f>
        <v>0</v>
      </c>
      <c r="G1201" s="18">
        <f t="shared" ref="G1201:G1213" si="29">SUM(C1201+D1201+E1201+F1201)</f>
        <v>0</v>
      </c>
    </row>
    <row r="1202" spans="1:7" ht="15.75" x14ac:dyDescent="0.25">
      <c r="A1202" s="15" t="str">
        <f>'PEDIDO 15'!$B$2</f>
        <v>Manduri-Katia Francisca Zafalao - Me</v>
      </c>
      <c r="B1202" s="12" t="s">
        <v>465</v>
      </c>
      <c r="C1202" s="1">
        <f>IFERROR(VLOOKUP(1241,'PEDIDO 15'!$C$2:$E$230,3,0),0)</f>
        <v>0</v>
      </c>
      <c r="D1202" s="1">
        <f>IFERROR(VLOOKUP(1242,'PEDIDO 15'!$C$2:$E$230,3,0),0)</f>
        <v>0</v>
      </c>
      <c r="E1202" s="1">
        <f>IFERROR(VLOOKUP(1243,'PEDIDO 15'!$C$2:$E$230,3,0),0)</f>
        <v>0</v>
      </c>
      <c r="F1202" s="1">
        <f>IFERROR(VLOOKUP(1244,'PEDIDO 15'!$C$2:$E$230,3,0),0)</f>
        <v>0</v>
      </c>
      <c r="G1202" s="18">
        <f t="shared" si="29"/>
        <v>0</v>
      </c>
    </row>
    <row r="1203" spans="1:7" ht="15.75" x14ac:dyDescent="0.25">
      <c r="A1203" s="15" t="str">
        <f>'PEDIDO 15'!$B$2</f>
        <v>Manduri-Katia Francisca Zafalao - Me</v>
      </c>
      <c r="B1203" s="12" t="s">
        <v>466</v>
      </c>
      <c r="C1203" s="1">
        <f>IFERROR(VLOOKUP(1245,'PEDIDO 15'!$C$2:$E$230,3,0),0)</f>
        <v>0</v>
      </c>
      <c r="D1203" s="1">
        <f>IFERROR(VLOOKUP(1246,'PEDIDO 15'!$C$2:$E$230,3,0),0)</f>
        <v>0</v>
      </c>
      <c r="E1203" s="1">
        <f>IFERROR(VLOOKUP(1247,'PEDIDO 15'!$C$2:$E$230,3,0),0)</f>
        <v>0</v>
      </c>
      <c r="F1203" s="1">
        <f>IFERROR(VLOOKUP(1248,'PEDIDO 15'!$C$2:$E$230,3,0),0)</f>
        <v>0</v>
      </c>
      <c r="G1203" s="18">
        <f t="shared" si="29"/>
        <v>0</v>
      </c>
    </row>
    <row r="1204" spans="1:7" ht="15.75" x14ac:dyDescent="0.25">
      <c r="A1204" s="15" t="str">
        <f>'PEDIDO 15'!$B$2</f>
        <v>Manduri-Katia Francisca Zafalao - Me</v>
      </c>
      <c r="B1204" s="12" t="s">
        <v>467</v>
      </c>
      <c r="C1204" s="1">
        <f>IFERROR(VLOOKUP(25714,'PEDIDO 15'!$C$2:$E$230,3,0),0)</f>
        <v>0</v>
      </c>
      <c r="D1204" s="1"/>
      <c r="E1204" s="1"/>
      <c r="F1204" s="1"/>
      <c r="G1204" s="18">
        <f t="shared" si="29"/>
        <v>0</v>
      </c>
    </row>
    <row r="1205" spans="1:7" ht="15.75" x14ac:dyDescent="0.25">
      <c r="A1205" s="15" t="str">
        <f>'PEDIDO 15'!$B$2</f>
        <v>Manduri-Katia Francisca Zafalao - Me</v>
      </c>
      <c r="B1205" s="12" t="s">
        <v>468</v>
      </c>
      <c r="C1205" s="1">
        <f>IFERROR(VLOOKUP(25712,'PEDIDO 15'!$C$2:$E$230,3,0),0)</f>
        <v>0</v>
      </c>
      <c r="D1205" s="1"/>
      <c r="E1205" s="1"/>
      <c r="F1205" s="1"/>
      <c r="G1205" s="18">
        <f t="shared" si="29"/>
        <v>0</v>
      </c>
    </row>
    <row r="1206" spans="1:7" ht="15.75" x14ac:dyDescent="0.25">
      <c r="A1206" s="15" t="str">
        <f>'PEDIDO 15'!$B$2</f>
        <v>Manduri-Katia Francisca Zafalao - Me</v>
      </c>
      <c r="B1206" s="12" t="s">
        <v>469</v>
      </c>
      <c r="C1206" s="1">
        <f>IFERROR(VLOOKUP(25713,'PEDIDO 15'!$C$2:$E$230,3,0),0)</f>
        <v>0</v>
      </c>
      <c r="D1206" s="1"/>
      <c r="E1206" s="1"/>
      <c r="F1206" s="1"/>
      <c r="G1206" s="18">
        <f t="shared" si="29"/>
        <v>0</v>
      </c>
    </row>
    <row r="1207" spans="1:7" ht="15.75" x14ac:dyDescent="0.25">
      <c r="A1207" s="15" t="str">
        <f>'PEDIDO 15'!$B$2</f>
        <v>Manduri-Katia Francisca Zafalao - Me</v>
      </c>
      <c r="B1207" s="12" t="s">
        <v>470</v>
      </c>
      <c r="C1207" s="1">
        <f>IFERROR(VLOOKUP(1260,'PEDIDO 15'!$C$2:$E$230,3,0),0)</f>
        <v>0</v>
      </c>
      <c r="D1207" s="1"/>
      <c r="E1207" s="1"/>
      <c r="F1207" s="1"/>
      <c r="G1207" s="18">
        <f t="shared" si="29"/>
        <v>0</v>
      </c>
    </row>
    <row r="1208" spans="1:7" ht="15.75" x14ac:dyDescent="0.25">
      <c r="A1208" s="15" t="str">
        <f>'PEDIDO 15'!$B$2</f>
        <v>Manduri-Katia Francisca Zafalao - Me</v>
      </c>
      <c r="B1208" s="12" t="s">
        <v>471</v>
      </c>
      <c r="C1208" s="1">
        <f>IFERROR(VLOOKUP(1261,'PEDIDO 15'!$C$2:$E$230,3,0),0)</f>
        <v>0</v>
      </c>
      <c r="D1208" s="1"/>
      <c r="E1208" s="1"/>
      <c r="F1208" s="1"/>
      <c r="G1208" s="18">
        <f t="shared" si="29"/>
        <v>0</v>
      </c>
    </row>
    <row r="1209" spans="1:7" ht="15.75" x14ac:dyDescent="0.25">
      <c r="A1209" s="15" t="str">
        <f>'PEDIDO 15'!$B$2</f>
        <v>Manduri-Katia Francisca Zafalao - Me</v>
      </c>
      <c r="B1209" s="12" t="s">
        <v>472</v>
      </c>
      <c r="C1209" s="1">
        <f>IFERROR(VLOOKUP(1262,'PEDIDO 15'!$C$2:$E$230,3,0),0)</f>
        <v>0</v>
      </c>
      <c r="D1209" s="1"/>
      <c r="E1209" s="1"/>
      <c r="F1209" s="1"/>
      <c r="G1209" s="18">
        <f t="shared" si="29"/>
        <v>0</v>
      </c>
    </row>
    <row r="1210" spans="1:7" ht="15.75" x14ac:dyDescent="0.25">
      <c r="A1210" s="15" t="str">
        <f>'PEDIDO 15'!$B$2</f>
        <v>Manduri-Katia Francisca Zafalao - Me</v>
      </c>
      <c r="B1210" s="12" t="s">
        <v>473</v>
      </c>
      <c r="C1210" s="1">
        <f>IFERROR(VLOOKUP(1263,'PEDIDO 15'!$C$2:$E$230,3,0),0)</f>
        <v>0</v>
      </c>
      <c r="D1210" s="1"/>
      <c r="E1210" s="1"/>
      <c r="F1210" s="1"/>
      <c r="G1210" s="18">
        <f t="shared" si="29"/>
        <v>0</v>
      </c>
    </row>
    <row r="1211" spans="1:7" ht="15.75" x14ac:dyDescent="0.25">
      <c r="A1211" s="15" t="str">
        <f>'PEDIDO 15'!$B$2</f>
        <v>Manduri-Katia Francisca Zafalao - Me</v>
      </c>
      <c r="B1211" s="12" t="s">
        <v>474</v>
      </c>
      <c r="C1211" s="1">
        <f>IFERROR(VLOOKUP(1264,'PEDIDO 15'!$C$2:$E$230,3,0),0)</f>
        <v>0</v>
      </c>
      <c r="D1211" s="1"/>
      <c r="E1211" s="1"/>
      <c r="F1211" s="1"/>
      <c r="G1211" s="18">
        <f t="shared" si="29"/>
        <v>0</v>
      </c>
    </row>
    <row r="1212" spans="1:7" ht="15.75" x14ac:dyDescent="0.25">
      <c r="A1212" s="15" t="str">
        <f>'PEDIDO 15'!$B$2</f>
        <v>Manduri-Katia Francisca Zafalao - Me</v>
      </c>
      <c r="B1212" s="12" t="s">
        <v>475</v>
      </c>
      <c r="C1212" s="1">
        <f>IFERROR(VLOOKUP(1265,'PEDIDO 15'!$C$2:$E$230,3,0),0)</f>
        <v>0</v>
      </c>
      <c r="D1212" s="1"/>
      <c r="E1212" s="1"/>
      <c r="F1212" s="1"/>
      <c r="G1212" s="18">
        <f t="shared" si="29"/>
        <v>0</v>
      </c>
    </row>
    <row r="1213" spans="1:7" ht="15.75" x14ac:dyDescent="0.25">
      <c r="A1213" s="15" t="str">
        <f>'PEDIDO 15'!$B$2</f>
        <v>Manduri-Katia Francisca Zafalao - Me</v>
      </c>
      <c r="B1213" s="12" t="s">
        <v>476</v>
      </c>
      <c r="C1213" s="1">
        <f>IFERROR(VLOOKUP(1266,'PEDIDO 15'!$C$2:$E$230,3,0),0)</f>
        <v>0</v>
      </c>
      <c r="D1213" s="1"/>
      <c r="E1213" s="1"/>
      <c r="F1213" s="1"/>
      <c r="G1213" s="18">
        <f t="shared" si="29"/>
        <v>0</v>
      </c>
    </row>
    <row r="1214" spans="1:7" ht="15.75" x14ac:dyDescent="0.25">
      <c r="A1214" s="15" t="str">
        <f>'PEDIDO 15'!$B$2</f>
        <v>Manduri-Katia Francisca Zafalao - Me</v>
      </c>
      <c r="B1214" s="12" t="s">
        <v>477</v>
      </c>
      <c r="C1214" s="1">
        <f>IFERROR(VLOOKUP(1268,'PEDIDO 15'!$C$2:$E$230,3,0),0)</f>
        <v>0</v>
      </c>
      <c r="D1214" s="1">
        <f>IFERROR(VLOOKUP(1269,'PEDIDO 15'!$C$2:$E$230,3,0),0)</f>
        <v>0</v>
      </c>
      <c r="E1214" s="1">
        <f>IFERROR(VLOOKUP(1270,'PEDIDO 15'!$C$2:$E$230,3,0),0)</f>
        <v>0</v>
      </c>
      <c r="F1214" s="1">
        <f>IFERROR(VLOOKUP(1271,'PEDIDO 15'!$C$2:$E$230,3,0),0)</f>
        <v>0</v>
      </c>
      <c r="G1214" s="18">
        <f>SUM(C1214+D1214+E1214+F1214)</f>
        <v>0</v>
      </c>
    </row>
    <row r="1215" spans="1:7" x14ac:dyDescent="0.25">
      <c r="A1215" s="17"/>
      <c r="B1215" s="13"/>
      <c r="C1215" s="13"/>
      <c r="D1215" s="13"/>
      <c r="E1215" s="13"/>
      <c r="F1215" s="13"/>
      <c r="G1215" s="13"/>
    </row>
    <row r="1216" spans="1:7" x14ac:dyDescent="0.25">
      <c r="A1216" s="17"/>
      <c r="B1216" s="13"/>
      <c r="C1216" s="13"/>
      <c r="D1216" s="13"/>
      <c r="E1216" s="13"/>
      <c r="F1216" s="13"/>
      <c r="G1216" s="13"/>
    </row>
    <row r="1217" spans="1:7" ht="15.75" x14ac:dyDescent="0.25">
      <c r="A1217" s="15" t="str">
        <f>'PEDIDO 16'!$B$2</f>
        <v>Manduri-Katia Francisca Zafalao - Me</v>
      </c>
      <c r="B1217" s="12" t="s">
        <v>399</v>
      </c>
      <c r="C1217" s="1">
        <f>IFERROR(VLOOKUP(1,'PEDIDO 16'!$C$2:$E$230,3,0),0)</f>
        <v>0</v>
      </c>
      <c r="D1217" s="1">
        <f>IFERROR(VLOOKUP(2,'PEDIDO 16'!$C$2:$E$230,3,0),0)</f>
        <v>0</v>
      </c>
      <c r="E1217" s="1">
        <f>IFERROR(VLOOKUP(3,'PEDIDO 16'!$C$2:$E$230,3,0),0)</f>
        <v>0</v>
      </c>
      <c r="F1217" s="1">
        <f>IFERROR(VLOOKUP(282,'PEDIDO 16'!$C$2:$E$230,3,0),0)</f>
        <v>6</v>
      </c>
      <c r="G1217" s="18">
        <f>SUM(C1217+D1217+E1217+F1217)</f>
        <v>6</v>
      </c>
    </row>
    <row r="1218" spans="1:7" ht="15.75" x14ac:dyDescent="0.25">
      <c r="A1218" s="15" t="str">
        <f>'PEDIDO 16'!$B$2</f>
        <v>Manduri-Katia Francisca Zafalao - Me</v>
      </c>
      <c r="B1218" s="12" t="s">
        <v>400</v>
      </c>
      <c r="C1218" s="1">
        <f>IFERROR(VLOOKUP(5,'PEDIDO 16'!$C$2:$E$230,3,0),0)</f>
        <v>0</v>
      </c>
      <c r="D1218" s="1">
        <f>IFERROR(VLOOKUP(6,'PEDIDO 16'!$C$2:$E$230,3,0),0)</f>
        <v>0</v>
      </c>
      <c r="E1218" s="1">
        <f>IFERROR(VLOOKUP(7,'PEDIDO 16'!$C$2:$E$230,3,0),0)</f>
        <v>0</v>
      </c>
      <c r="F1218" s="1">
        <f>IFERROR(VLOOKUP(258,'PEDIDO 16'!$C$2:$E$230,3,0),0)</f>
        <v>6</v>
      </c>
      <c r="G1218" s="18">
        <f t="shared" ref="G1218:G1281" si="30">SUM(C1218+D1218+E1218+F1218)</f>
        <v>6</v>
      </c>
    </row>
    <row r="1219" spans="1:7" ht="15.75" x14ac:dyDescent="0.25">
      <c r="A1219" s="15" t="str">
        <f>'PEDIDO 16'!$B$2</f>
        <v>Manduri-Katia Francisca Zafalao - Me</v>
      </c>
      <c r="B1219" s="12" t="s">
        <v>401</v>
      </c>
      <c r="C1219" s="1">
        <f>IFERROR(VLOOKUP(13,'PEDIDO 16'!$C$2:$E$230,3,0),0)</f>
        <v>0</v>
      </c>
      <c r="D1219" s="1">
        <f>IFERROR(VLOOKUP(14,'PEDIDO 16'!$C$2:$E$230,3,0),0)</f>
        <v>0</v>
      </c>
      <c r="E1219" s="1">
        <f>IFERROR(VLOOKUP(15,'PEDIDO 16'!$C$2:$E$230,3,0),0)</f>
        <v>0</v>
      </c>
      <c r="F1219" s="1">
        <f>IFERROR(VLOOKUP(289,'PEDIDO 16'!$C$2:$E$230,3,0),0)</f>
        <v>0</v>
      </c>
      <c r="G1219" s="18">
        <f t="shared" si="30"/>
        <v>0</v>
      </c>
    </row>
    <row r="1220" spans="1:7" ht="15.75" x14ac:dyDescent="0.25">
      <c r="A1220" s="15" t="str">
        <f>'PEDIDO 16'!$B$2</f>
        <v>Manduri-Katia Francisca Zafalao - Me</v>
      </c>
      <c r="B1220" s="12" t="s">
        <v>402</v>
      </c>
      <c r="C1220" s="1">
        <f>IFERROR(VLOOKUP(267,'PEDIDO 16'!$C$2:$E$230,3,0),0)</f>
        <v>0</v>
      </c>
      <c r="D1220" s="1">
        <f>IFERROR(VLOOKUP(268,'PEDIDO 16'!$C$2:$E$230,3,0),0)</f>
        <v>0</v>
      </c>
      <c r="E1220" s="1">
        <f>IFERROR(VLOOKUP(270,'PEDIDO 16'!$C$2:$E$230,3,0),0)</f>
        <v>0</v>
      </c>
      <c r="F1220" s="1">
        <f>IFERROR(VLOOKUP(269,'PEDIDO 16'!$C$2:$E$230,3,0),0)</f>
        <v>0</v>
      </c>
      <c r="G1220" s="18">
        <f t="shared" si="30"/>
        <v>0</v>
      </c>
    </row>
    <row r="1221" spans="1:7" ht="15.75" x14ac:dyDescent="0.25">
      <c r="A1221" s="15" t="str">
        <f>'PEDIDO 16'!$B$2</f>
        <v>Manduri-Katia Francisca Zafalao - Me</v>
      </c>
      <c r="B1221" s="12" t="s">
        <v>403</v>
      </c>
      <c r="C1221" s="1">
        <f>IFERROR(VLOOKUP(17,'PEDIDO 16'!$C$2:$E$230,3,0),0)</f>
        <v>0</v>
      </c>
      <c r="D1221" s="1">
        <f>IFERROR(VLOOKUP(18,'PEDIDO 16'!$C$2:$E$230,3,0),0)</f>
        <v>0</v>
      </c>
      <c r="E1221" s="1">
        <f>IFERROR(VLOOKUP(19,'PEDIDO 16'!$C$2:$E$230,3,0),0)</f>
        <v>0</v>
      </c>
      <c r="F1221" s="1">
        <f>IFERROR(VLOOKUP(290,'PEDIDO 16'!$C$2:$E$230,3,0),0)</f>
        <v>0</v>
      </c>
      <c r="G1221" s="18">
        <f t="shared" si="30"/>
        <v>0</v>
      </c>
    </row>
    <row r="1222" spans="1:7" ht="15.75" x14ac:dyDescent="0.25">
      <c r="A1222" s="15" t="str">
        <f>'PEDIDO 16'!$B$2</f>
        <v>Manduri-Katia Francisca Zafalao - Me</v>
      </c>
      <c r="B1222" s="12" t="s">
        <v>404</v>
      </c>
      <c r="C1222" s="1">
        <f>IFERROR(VLOOKUP(23,'PEDIDO 16'!$C$2:$E$230,3,0),0)</f>
        <v>0</v>
      </c>
      <c r="D1222" s="1">
        <f>IFERROR(VLOOKUP(24,'PEDIDO 16'!$C$2:$E$230,3,0),0)</f>
        <v>0</v>
      </c>
      <c r="E1222" s="1">
        <f>IFERROR(VLOOKUP(25,'PEDIDO 16'!$C$2:$E$230,3,0),0)</f>
        <v>0</v>
      </c>
      <c r="F1222" s="1">
        <f>IFERROR(VLOOKUP(291,'PEDIDO 16'!$C$2:$E$230,3,0),0)</f>
        <v>0</v>
      </c>
      <c r="G1222" s="18">
        <f t="shared" si="30"/>
        <v>0</v>
      </c>
    </row>
    <row r="1223" spans="1:7" ht="15.75" x14ac:dyDescent="0.25">
      <c r="A1223" s="15" t="str">
        <f>'PEDIDO 16'!$B$2</f>
        <v>Manduri-Katia Francisca Zafalao - Me</v>
      </c>
      <c r="B1223" s="12" t="s">
        <v>405</v>
      </c>
      <c r="C1223" s="1">
        <f>IFERROR(VLOOKUP(27,'PEDIDO 16'!$C$2:$E$230,3,0),0)</f>
        <v>0</v>
      </c>
      <c r="D1223" s="1">
        <f>IFERROR(VLOOKUP(28,'PEDIDO 16'!$C$2:$E$230,3,0),0)</f>
        <v>0</v>
      </c>
      <c r="E1223" s="1">
        <f>IFERROR(VLOOKUP(29,'PEDIDO 16'!$C$2:$E$230,3,0),0)</f>
        <v>0</v>
      </c>
      <c r="F1223" s="1">
        <f>IFERROR(VLOOKUP(292,'PEDIDO 16'!$C$2:$E$230,3,0),0)</f>
        <v>0</v>
      </c>
      <c r="G1223" s="18">
        <f t="shared" si="30"/>
        <v>0</v>
      </c>
    </row>
    <row r="1224" spans="1:7" ht="15.75" x14ac:dyDescent="0.25">
      <c r="A1224" s="15" t="str">
        <f>'PEDIDO 16'!$B$2</f>
        <v>Manduri-Katia Francisca Zafalao - Me</v>
      </c>
      <c r="B1224" s="12" t="s">
        <v>406</v>
      </c>
      <c r="C1224" s="1">
        <f>IFERROR(VLOOKUP(227,'PEDIDO 16'!$C$2:$E$230,3,0),0)</f>
        <v>0</v>
      </c>
      <c r="D1224" s="1">
        <f>IFERROR(VLOOKUP(228,'PEDIDO 16'!$C$2:$E$230,3,0),0)</f>
        <v>0</v>
      </c>
      <c r="E1224" s="1">
        <f>IFERROR(VLOOKUP(229,'PEDIDO 16'!$C$2:$E$230,3,0),0)</f>
        <v>0</v>
      </c>
      <c r="F1224" s="1">
        <f>IFERROR(VLOOKUP(230,'PEDIDO 16'!$C$2:$E$230,3,0),0)</f>
        <v>3</v>
      </c>
      <c r="G1224" s="18">
        <f t="shared" si="30"/>
        <v>3</v>
      </c>
    </row>
    <row r="1225" spans="1:7" ht="15.75" x14ac:dyDescent="0.25">
      <c r="A1225" s="15" t="str">
        <f>'PEDIDO 16'!$B$2</f>
        <v>Manduri-Katia Francisca Zafalao - Me</v>
      </c>
      <c r="B1225" s="12" t="s">
        <v>407</v>
      </c>
      <c r="C1225" s="1">
        <f>IFERROR(VLOOKUP(231,'PEDIDO 16'!$C$2:$E$230,3,0),0)</f>
        <v>0</v>
      </c>
      <c r="D1225" s="1">
        <f>IFERROR(VLOOKUP(232,'PEDIDO 16'!$C$2:$E$230,3,0),0)</f>
        <v>0</v>
      </c>
      <c r="E1225" s="1">
        <f>IFERROR(VLOOKUP(234,'PEDIDO 16'!$C$2:$E$230,3,0),0)</f>
        <v>0</v>
      </c>
      <c r="F1225" s="1">
        <f>IFERROR(VLOOKUP(233,'PEDIDO 16'!$C$2:$E$230,3,0),0)</f>
        <v>0</v>
      </c>
      <c r="G1225" s="18">
        <f t="shared" si="30"/>
        <v>0</v>
      </c>
    </row>
    <row r="1226" spans="1:7" ht="15.75" x14ac:dyDescent="0.25">
      <c r="A1226" s="15" t="str">
        <f>'PEDIDO 16'!$B$2</f>
        <v>Manduri-Katia Francisca Zafalao - Me</v>
      </c>
      <c r="B1226" s="12" t="s">
        <v>408</v>
      </c>
      <c r="C1226" s="1">
        <f>IFERROR(VLOOKUP(237,'PEDIDO 16'!$C$2:$E$230,3,0),0)</f>
        <v>0</v>
      </c>
      <c r="D1226" s="1">
        <f>IFERROR(VLOOKUP(238,'PEDIDO 16'!$C$2:$E$230,3,0),0)</f>
        <v>0</v>
      </c>
      <c r="E1226" s="1">
        <f>IFERROR(VLOOKUP(240,'PEDIDO 16'!$C$2:$E$230,3,0),0)</f>
        <v>0</v>
      </c>
      <c r="F1226" s="1">
        <f>IFERROR(VLOOKUP(239,'PEDIDO 16'!$C$2:$E$230,3,0),0)</f>
        <v>4</v>
      </c>
      <c r="G1226" s="18">
        <f t="shared" si="30"/>
        <v>4</v>
      </c>
    </row>
    <row r="1227" spans="1:7" ht="15.75" x14ac:dyDescent="0.25">
      <c r="A1227" s="15" t="str">
        <f>'PEDIDO 16'!$B$2</f>
        <v>Manduri-Katia Francisca Zafalao - Me</v>
      </c>
      <c r="B1227" s="12" t="s">
        <v>409</v>
      </c>
      <c r="C1227" s="1">
        <f>IFERROR(VLOOKUP(25707,'PEDIDO 16'!$C$2:$E$230,3,0),0)</f>
        <v>0</v>
      </c>
      <c r="D1227" s="1">
        <f>IFERROR(VLOOKUP(25708,'PEDIDO 16'!$C$2:$E$230,3,0),0)</f>
        <v>0</v>
      </c>
      <c r="E1227" s="1">
        <f>IFERROR(VLOOKUP(25710,'PEDIDO 16'!$C$2:$E$230,3,0),0)</f>
        <v>0</v>
      </c>
      <c r="F1227" s="1">
        <f>IFERROR(VLOOKUP(25709,'PEDIDO 16'!$C$2:$E$230,3,0),0)</f>
        <v>0</v>
      </c>
      <c r="G1227" s="18">
        <f t="shared" si="30"/>
        <v>0</v>
      </c>
    </row>
    <row r="1228" spans="1:7" ht="15.75" x14ac:dyDescent="0.25">
      <c r="A1228" s="15" t="str">
        <f>'PEDIDO 16'!$B$2</f>
        <v>Manduri-Katia Francisca Zafalao - Me</v>
      </c>
      <c r="B1228" s="12" t="s">
        <v>410</v>
      </c>
      <c r="C1228" s="1">
        <f>IFERROR(VLOOKUP(25711,'PEDIDO 16'!$C$2:$E$230,3,0),0)</f>
        <v>0</v>
      </c>
      <c r="D1228" s="1"/>
      <c r="E1228" s="1"/>
      <c r="F1228" s="1"/>
      <c r="G1228" s="18">
        <f t="shared" si="30"/>
        <v>0</v>
      </c>
    </row>
    <row r="1229" spans="1:7" ht="15.75" x14ac:dyDescent="0.25">
      <c r="A1229" s="15" t="str">
        <f>'PEDIDO 16'!$B$2</f>
        <v>Manduri-Katia Francisca Zafalao - Me</v>
      </c>
      <c r="B1229" s="12" t="s">
        <v>411</v>
      </c>
      <c r="C1229" s="1">
        <f>IFERROR(VLOOKUP(35,'PEDIDO 16'!$C$2:$E$230,3,0),0)</f>
        <v>0</v>
      </c>
      <c r="D1229" s="1">
        <f>IFERROR(VLOOKUP(36,'PEDIDO 16'!$C$2:$E$230,3,0),0)</f>
        <v>0</v>
      </c>
      <c r="E1229" s="1">
        <f>IFERROR(VLOOKUP(37,'PEDIDO 16'!$C$2:$E$230,3,0),0)</f>
        <v>0</v>
      </c>
      <c r="F1229" s="1">
        <f>IFERROR(VLOOKUP(294,'PEDIDO 16'!$C$2:$E$230,3,0),0)</f>
        <v>0</v>
      </c>
      <c r="G1229" s="18">
        <f t="shared" si="30"/>
        <v>0</v>
      </c>
    </row>
    <row r="1230" spans="1:7" ht="15.75" x14ac:dyDescent="0.25">
      <c r="A1230" s="15" t="str">
        <f>'PEDIDO 16'!$B$2</f>
        <v>Manduri-Katia Francisca Zafalao - Me</v>
      </c>
      <c r="B1230" s="12" t="s">
        <v>412</v>
      </c>
      <c r="C1230" s="1">
        <f>IFERROR(VLOOKUP(39,'PEDIDO 16'!$C$2:$E$230,3,0),0)</f>
        <v>0</v>
      </c>
      <c r="D1230" s="1">
        <f>IFERROR(VLOOKUP(40,'PEDIDO 16'!$C$2:$E$230,3,0),0)</f>
        <v>0</v>
      </c>
      <c r="E1230" s="1">
        <f>IFERROR(VLOOKUP(42,'PEDIDO 16'!$C$2:$E$230,3,0),0)</f>
        <v>0</v>
      </c>
      <c r="F1230" s="1">
        <f>IFERROR(VLOOKUP(295,'PEDIDO 16'!$C$2:$E$230,3,0),0)</f>
        <v>0</v>
      </c>
      <c r="G1230" s="18">
        <f t="shared" si="30"/>
        <v>0</v>
      </c>
    </row>
    <row r="1231" spans="1:7" ht="15.75" x14ac:dyDescent="0.25">
      <c r="A1231" s="15" t="str">
        <f>'PEDIDO 16'!$B$2</f>
        <v>Manduri-Katia Francisca Zafalao - Me</v>
      </c>
      <c r="B1231" s="12" t="s">
        <v>413</v>
      </c>
      <c r="C1231" s="1">
        <f>IFERROR(VLOOKUP(44,'PEDIDO 16'!$C$2:$E$230,3,0),0)</f>
        <v>0</v>
      </c>
      <c r="D1231" s="1">
        <f>IFERROR(VLOOKUP(45,'PEDIDO 16'!$C$2:$E$230,3,0),0)</f>
        <v>0</v>
      </c>
      <c r="E1231" s="1">
        <f>IFERROR(VLOOKUP(46,'PEDIDO 16'!$C$2:$E$230,3,0),0)</f>
        <v>0</v>
      </c>
      <c r="F1231" s="1">
        <f>IFERROR(VLOOKUP(283,'PEDIDO 16'!$C$2:$E$230,3,0),0)</f>
        <v>0</v>
      </c>
      <c r="G1231" s="18">
        <f t="shared" si="30"/>
        <v>0</v>
      </c>
    </row>
    <row r="1232" spans="1:7" ht="15.75" x14ac:dyDescent="0.25">
      <c r="A1232" s="15" t="str">
        <f>'PEDIDO 16'!$B$2</f>
        <v>Manduri-Katia Francisca Zafalao - Me</v>
      </c>
      <c r="B1232" s="12" t="s">
        <v>414</v>
      </c>
      <c r="C1232" s="1">
        <f>IFERROR(VLOOKUP(48,'PEDIDO 16'!$C$2:$E$230,3,0),0)</f>
        <v>0</v>
      </c>
      <c r="D1232" s="1">
        <f>IFERROR(VLOOKUP(49,'PEDIDO 16'!$C$2:$E$230,3,0),0)</f>
        <v>0</v>
      </c>
      <c r="E1232" s="1">
        <f>IFERROR(VLOOKUP(50,'PEDIDO 16'!$C$2:$E$230,3,0),0)</f>
        <v>0</v>
      </c>
      <c r="F1232" s="1">
        <f>IFERROR(VLOOKUP(298,'PEDIDO 16'!$C$2:$E$230,3,0),0)</f>
        <v>2</v>
      </c>
      <c r="G1232" s="18">
        <f t="shared" si="30"/>
        <v>2</v>
      </c>
    </row>
    <row r="1233" spans="1:7" ht="15.75" x14ac:dyDescent="0.25">
      <c r="A1233" s="15" t="str">
        <f>'PEDIDO 16'!$B$2</f>
        <v>Manduri-Katia Francisca Zafalao - Me</v>
      </c>
      <c r="B1233" s="12" t="s">
        <v>415</v>
      </c>
      <c r="C1233" s="1">
        <f>IFERROR(VLOOKUP(52,'PEDIDO 16'!$C$2:$E$230,3,0),0)</f>
        <v>0</v>
      </c>
      <c r="D1233" s="1">
        <f>IFERROR(VLOOKUP(53,'PEDIDO 16'!$C$2:$E$230,3,0),0)</f>
        <v>0</v>
      </c>
      <c r="E1233" s="1">
        <f>IFERROR(VLOOKUP(54,'PEDIDO 16'!$C$2:$E$230,3,0),0)</f>
        <v>0</v>
      </c>
      <c r="F1233" s="1">
        <f>IFERROR(VLOOKUP(299,'PEDIDO 16'!$C$2:$E$230,3,0),0)</f>
        <v>0</v>
      </c>
      <c r="G1233" s="18">
        <f t="shared" si="30"/>
        <v>0</v>
      </c>
    </row>
    <row r="1234" spans="1:7" ht="15.75" x14ac:dyDescent="0.25">
      <c r="A1234" s="15" t="str">
        <f>'PEDIDO 16'!$B$2</f>
        <v>Manduri-Katia Francisca Zafalao - Me</v>
      </c>
      <c r="B1234" s="12" t="s">
        <v>416</v>
      </c>
      <c r="C1234" s="1">
        <f>IFERROR(VLOOKUP(56,'PEDIDO 16'!$C$2:$E$230,3,0),0)</f>
        <v>0</v>
      </c>
      <c r="D1234" s="1">
        <f>IFERROR(VLOOKUP(61,'PEDIDO 16'!$C$2:$E$230,3,0),0)</f>
        <v>0</v>
      </c>
      <c r="E1234" s="1">
        <f>IFERROR(VLOOKUP(58,'PEDIDO 16'!$C$2:$E$230,3,0),0)</f>
        <v>0</v>
      </c>
      <c r="F1234" s="1">
        <f>IFERROR(VLOOKUP(300,'PEDIDO 16'!$C$2:$E$230,3,0),0)</f>
        <v>0</v>
      </c>
      <c r="G1234" s="18">
        <f t="shared" si="30"/>
        <v>0</v>
      </c>
    </row>
    <row r="1235" spans="1:7" ht="15.75" x14ac:dyDescent="0.25">
      <c r="A1235" s="15" t="str">
        <f>'PEDIDO 16'!$B$2</f>
        <v>Manduri-Katia Francisca Zafalao - Me</v>
      </c>
      <c r="B1235" s="12" t="s">
        <v>417</v>
      </c>
      <c r="C1235" s="1">
        <f>IFERROR(VLOOKUP(60,'PEDIDO 16'!$C$2:$E$230,3,0),0)</f>
        <v>0</v>
      </c>
      <c r="D1235" s="1">
        <f>IFERROR(VLOOKUP(120,'PEDIDO 16'!$C$2:$E$230,3,0),0)</f>
        <v>0</v>
      </c>
      <c r="E1235" s="1">
        <f>IFERROR(VLOOKUP(62,'PEDIDO 16'!$C$2:$E$230,3,0),0)</f>
        <v>0</v>
      </c>
      <c r="F1235" s="1">
        <f>IFERROR(VLOOKUP(301,'PEDIDO 16'!$C$2:$E$230,3,0),0)</f>
        <v>0</v>
      </c>
      <c r="G1235" s="18">
        <f t="shared" si="30"/>
        <v>0</v>
      </c>
    </row>
    <row r="1236" spans="1:7" ht="15.75" x14ac:dyDescent="0.25">
      <c r="A1236" s="15" t="str">
        <f>'PEDIDO 16'!$B$2</f>
        <v>Manduri-Katia Francisca Zafalao - Me</v>
      </c>
      <c r="B1236" s="12" t="s">
        <v>426</v>
      </c>
      <c r="C1236" s="1">
        <f>IFERROR(VLOOKUP(112,'PEDIDO 16'!$C$2:$E$230,3,0),0)</f>
        <v>0</v>
      </c>
      <c r="D1236" s="1">
        <f>IFERROR(VLOOKUP(113,'PEDIDO 16'!$C$2:$E$230,3,0),0)</f>
        <v>0</v>
      </c>
      <c r="E1236" s="1">
        <f>IFERROR(VLOOKUP(114,'PEDIDO 16'!$C$2:$E$230,3,0),0)</f>
        <v>0</v>
      </c>
      <c r="F1236" s="1">
        <f>IFERROR(VLOOKUP(296,'PEDIDO 16'!$C$2:$E$230,3,0),0)</f>
        <v>0</v>
      </c>
      <c r="G1236" s="18">
        <f t="shared" si="30"/>
        <v>0</v>
      </c>
    </row>
    <row r="1237" spans="1:7" ht="15.75" x14ac:dyDescent="0.25">
      <c r="A1237" s="15" t="str">
        <f>'PEDIDO 16'!$B$2</f>
        <v>Manduri-Katia Francisca Zafalao - Me</v>
      </c>
      <c r="B1237" s="12" t="s">
        <v>427</v>
      </c>
      <c r="C1237" s="1">
        <f>IFERROR(VLOOKUP(116,'PEDIDO 16'!$C$2:$E$230,3,0),0)</f>
        <v>0</v>
      </c>
      <c r="D1237" s="1">
        <f>IFERROR(VLOOKUP(117,'PEDIDO 16'!$C$2:$E$230,3,0),0)</f>
        <v>0</v>
      </c>
      <c r="E1237" s="1">
        <f>IFERROR(VLOOKUP(118,'PEDIDO 16'!$C$2:$E$230,3,0),0)</f>
        <v>0</v>
      </c>
      <c r="F1237" s="1">
        <f>IFERROR(VLOOKUP(293,'PEDIDO 16'!$C$2:$E$230,3,0),0)</f>
        <v>0</v>
      </c>
      <c r="G1237" s="18">
        <f t="shared" si="30"/>
        <v>0</v>
      </c>
    </row>
    <row r="1238" spans="1:7" ht="15.75" x14ac:dyDescent="0.25">
      <c r="A1238" s="15" t="str">
        <f>'PEDIDO 16'!$B$2</f>
        <v>Manduri-Katia Francisca Zafalao - Me</v>
      </c>
      <c r="B1238" s="12" t="s">
        <v>418</v>
      </c>
      <c r="C1238" s="1">
        <f>IFERROR(VLOOKUP(963,'PEDIDO 16'!$C$2:$E$230,3,0),0)</f>
        <v>0</v>
      </c>
      <c r="D1238" s="1">
        <f>IFERROR(VLOOKUP(965,'PEDIDO 16'!$C$2:$E$230,3,0),0)</f>
        <v>0</v>
      </c>
      <c r="E1238" s="1">
        <f>IFERROR(VLOOKUP(966,'PEDIDO 16'!$C$2:$E$230,3,0),0)</f>
        <v>0</v>
      </c>
      <c r="F1238" s="1">
        <f>IFERROR(VLOOKUP(964,'PEDIDO 16'!$C$2:$E$230,3,0),0)</f>
        <v>0</v>
      </c>
      <c r="G1238" s="18">
        <f t="shared" si="30"/>
        <v>0</v>
      </c>
    </row>
    <row r="1239" spans="1:7" ht="15.75" x14ac:dyDescent="0.25">
      <c r="A1239" s="15" t="str">
        <f>'PEDIDO 16'!$B$2</f>
        <v>Manduri-Katia Francisca Zafalao - Me</v>
      </c>
      <c r="B1239" s="12" t="s">
        <v>419</v>
      </c>
      <c r="C1239" s="1">
        <f>IFERROR(VLOOKUP(2042,'PEDIDO 16'!$C$2:$E$230,3,0),0)</f>
        <v>0</v>
      </c>
      <c r="D1239" s="1">
        <f>IFERROR(VLOOKUP(2041,'PEDIDO 16'!$C$2:$E$230,3,0),0)</f>
        <v>0</v>
      </c>
      <c r="E1239" s="1">
        <f>IFERROR(VLOOKUP(2043,'PEDIDO 16'!$C$2:$E$230,3,0),0)</f>
        <v>0</v>
      </c>
      <c r="F1239" s="1">
        <f>IFERROR(VLOOKUP(2040,'PEDIDO 16'!$C$2:$E$230,3,0),0)</f>
        <v>0</v>
      </c>
      <c r="G1239" s="18">
        <f t="shared" si="30"/>
        <v>0</v>
      </c>
    </row>
    <row r="1240" spans="1:7" ht="15.75" x14ac:dyDescent="0.25">
      <c r="A1240" s="15" t="str">
        <f>'PEDIDO 16'!$B$2</f>
        <v>Manduri-Katia Francisca Zafalao - Me</v>
      </c>
      <c r="B1240" s="12" t="s">
        <v>420</v>
      </c>
      <c r="C1240" s="1">
        <f>IFERROR(VLOOKUP(2045,'PEDIDO 16'!$C$2:$E$230,3,0),0)</f>
        <v>0</v>
      </c>
      <c r="D1240" s="1">
        <f>IFERROR(VLOOKUP(2046,'PEDIDO 16'!$C$2:$E$230,3,0),0)</f>
        <v>0</v>
      </c>
      <c r="E1240" s="1">
        <f>IFERROR(VLOOKUP(2047,'PEDIDO 16'!$C$2:$E$230,3,0),0)</f>
        <v>0</v>
      </c>
      <c r="F1240" s="1">
        <f>IFERROR(VLOOKUP(2048,'PEDIDO 16'!$C$2:$E$230,3,0),0)</f>
        <v>0</v>
      </c>
      <c r="G1240" s="18">
        <f t="shared" si="30"/>
        <v>0</v>
      </c>
    </row>
    <row r="1241" spans="1:7" ht="15.75" x14ac:dyDescent="0.25">
      <c r="A1241" s="15" t="str">
        <f>'PEDIDO 16'!$B$2</f>
        <v>Manduri-Katia Francisca Zafalao - Me</v>
      </c>
      <c r="B1241" s="12" t="s">
        <v>421</v>
      </c>
      <c r="C1241" s="1">
        <f>IFERROR(VLOOKUP(2050,'PEDIDO 16'!$C$2:$E$230,3,0),0)</f>
        <v>0</v>
      </c>
      <c r="D1241" s="1">
        <f>IFERROR(VLOOKUP(2051,'PEDIDO 16'!$C$2:$E$230,3,0),0)</f>
        <v>0</v>
      </c>
      <c r="E1241" s="1">
        <f>IFERROR(VLOOKUP(2052,'PEDIDO 16'!$C$2:$E$230,3,0),0)</f>
        <v>0</v>
      </c>
      <c r="F1241" s="1">
        <f>IFERROR(VLOOKUP(2053,'PEDIDO 16'!$C$2:$E$230,3,0),0)</f>
        <v>0</v>
      </c>
      <c r="G1241" s="18">
        <f t="shared" si="30"/>
        <v>0</v>
      </c>
    </row>
    <row r="1242" spans="1:7" ht="15.75" x14ac:dyDescent="0.25">
      <c r="A1242" s="15" t="str">
        <f>'PEDIDO 16'!$B$2</f>
        <v>Manduri-Katia Francisca Zafalao - Me</v>
      </c>
      <c r="B1242" s="12" t="s">
        <v>422</v>
      </c>
      <c r="C1242" s="1">
        <f>IFERROR(VLOOKUP(216,'PEDIDO 16'!$C$2:$E$230,3,0),0)</f>
        <v>0</v>
      </c>
      <c r="D1242" s="1">
        <f>IFERROR(VLOOKUP(217,'PEDIDO 16'!$C$2:$E$230,3,0),0)</f>
        <v>0</v>
      </c>
      <c r="E1242" s="1">
        <f>IFERROR(VLOOKUP(218,'PEDIDO 16'!$C$2:$E$230,3,0),0)</f>
        <v>0</v>
      </c>
      <c r="F1242" s="1">
        <f>IFERROR(VLOOKUP(305,'PEDIDO 16'!$C$2:$E$230,3,0),0)</f>
        <v>0</v>
      </c>
      <c r="G1242" s="18">
        <f t="shared" si="30"/>
        <v>0</v>
      </c>
    </row>
    <row r="1243" spans="1:7" ht="15.75" x14ac:dyDescent="0.25">
      <c r="A1243" s="15" t="str">
        <f>'PEDIDO 16'!$B$2</f>
        <v>Manduri-Katia Francisca Zafalao - Me</v>
      </c>
      <c r="B1243" s="12" t="s">
        <v>423</v>
      </c>
      <c r="C1243" s="1">
        <f>IFERROR(VLOOKUP(100,'PEDIDO 16'!$C$2:$E$230,3,0),0)</f>
        <v>0</v>
      </c>
      <c r="D1243" s="1">
        <f>IFERROR(VLOOKUP(101,'PEDIDO 16'!$C$2:$E$230,3,0),0)</f>
        <v>0</v>
      </c>
      <c r="E1243" s="1">
        <f>IFERROR(VLOOKUP(102,'PEDIDO 16'!$C$2:$E$230,3,0),0)</f>
        <v>0</v>
      </c>
      <c r="F1243" s="1">
        <f>IFERROR(VLOOKUP(306,'PEDIDO 16'!$C$2:$E$230,3,0),0)</f>
        <v>0</v>
      </c>
      <c r="G1243" s="18">
        <f t="shared" si="30"/>
        <v>0</v>
      </c>
    </row>
    <row r="1244" spans="1:7" ht="15.75" x14ac:dyDescent="0.25">
      <c r="A1244" s="15" t="str">
        <f>'PEDIDO 16'!$B$2</f>
        <v>Manduri-Katia Francisca Zafalao - Me</v>
      </c>
      <c r="B1244" s="12" t="s">
        <v>424</v>
      </c>
      <c r="C1244" s="1">
        <f>IFERROR(VLOOKUP(104,'PEDIDO 16'!$C$2:$E$230,3,0),0)</f>
        <v>0</v>
      </c>
      <c r="D1244" s="1">
        <f>IFERROR(VLOOKUP(105,'PEDIDO 16'!$C$2:$E$230,3,0),0)</f>
        <v>0</v>
      </c>
      <c r="E1244" s="1">
        <f>IFERROR(VLOOKUP(106,'PEDIDO 16'!$C$2:$E$230,3,0),0)</f>
        <v>0</v>
      </c>
      <c r="F1244" s="1">
        <f>IFERROR(VLOOKUP(307,'PEDIDO 16'!$C$2:$E$230,3,0),0)</f>
        <v>0</v>
      </c>
      <c r="G1244" s="18">
        <f t="shared" si="30"/>
        <v>0</v>
      </c>
    </row>
    <row r="1245" spans="1:7" ht="15.75" x14ac:dyDescent="0.25">
      <c r="A1245" s="15" t="str">
        <f>'PEDIDO 16'!$B$2</f>
        <v>Manduri-Katia Francisca Zafalao - Me</v>
      </c>
      <c r="B1245" s="12" t="s">
        <v>425</v>
      </c>
      <c r="C1245" s="1">
        <f>IFERROR(VLOOKUP(400,'PEDIDO 16'!$C$2:$E$230,3,0),0)</f>
        <v>0</v>
      </c>
      <c r="D1245" s="1">
        <f>IFERROR(VLOOKUP(401,'PEDIDO 16'!$C$2:$E$230,3,0),0)</f>
        <v>0</v>
      </c>
      <c r="E1245" s="1">
        <f>IFERROR(VLOOKUP(402,'PEDIDO 16'!$C$2:$E$230,3,0),0)</f>
        <v>0</v>
      </c>
      <c r="F1245" s="1">
        <f>IFERROR(VLOOKUP(403,'PEDIDO 16'!$C$2:$E$230,3,0),0)</f>
        <v>0</v>
      </c>
      <c r="G1245" s="18">
        <f t="shared" si="30"/>
        <v>0</v>
      </c>
    </row>
    <row r="1246" spans="1:7" ht="15.75" x14ac:dyDescent="0.25">
      <c r="A1246" s="15" t="str">
        <f>'PEDIDO 16'!$B$2</f>
        <v>Manduri-Katia Francisca Zafalao - Me</v>
      </c>
      <c r="B1246" s="12" t="s">
        <v>428</v>
      </c>
      <c r="C1246" s="1">
        <f>IFERROR(VLOOKUP(22,'PEDIDO 16'!$C$2:$E$230,3,0),0)</f>
        <v>0</v>
      </c>
      <c r="D1246" s="1"/>
      <c r="E1246" s="1"/>
      <c r="F1246" s="1"/>
      <c r="G1246" s="18">
        <f t="shared" si="30"/>
        <v>0</v>
      </c>
    </row>
    <row r="1247" spans="1:7" ht="15.75" x14ac:dyDescent="0.25">
      <c r="A1247" s="15" t="str">
        <f>'PEDIDO 16'!$B$2</f>
        <v>Manduri-Katia Francisca Zafalao - Me</v>
      </c>
      <c r="B1247" s="12" t="s">
        <v>429</v>
      </c>
      <c r="C1247" s="1">
        <f>IFERROR(VLOOKUP(21,'PEDIDO 16'!$C$2:$E$230,3,0),0)</f>
        <v>0</v>
      </c>
      <c r="D1247" s="1"/>
      <c r="E1247" s="1"/>
      <c r="F1247" s="1"/>
      <c r="G1247" s="18">
        <f t="shared" si="30"/>
        <v>0</v>
      </c>
    </row>
    <row r="1248" spans="1:7" ht="15.75" x14ac:dyDescent="0.25">
      <c r="A1248" s="15" t="str">
        <f>'PEDIDO 16'!$B$2</f>
        <v>Manduri-Katia Francisca Zafalao - Me</v>
      </c>
      <c r="B1248" s="12" t="s">
        <v>430</v>
      </c>
      <c r="C1248" s="1">
        <f>IFERROR(VLOOKUP(1125,'PEDIDO 16'!$C$2:$E$230,3,0),0)</f>
        <v>0</v>
      </c>
      <c r="D1248" s="1">
        <f>IFERROR(VLOOKUP(1126,'PEDIDO 16'!$C$2:$E$230,3,0),0)</f>
        <v>0</v>
      </c>
      <c r="E1248" s="1">
        <f>IFERROR(VLOOKUP(1127,'PEDIDO 16'!$C$2:$E$230,3,0),0)</f>
        <v>0</v>
      </c>
      <c r="F1248" s="1">
        <f>IFERROR(VLOOKUP(1128,'PEDIDO 16'!$C$2:$E$230,3,0),0)</f>
        <v>0</v>
      </c>
      <c r="G1248" s="18">
        <f t="shared" si="30"/>
        <v>0</v>
      </c>
    </row>
    <row r="1249" spans="1:7" ht="15.75" x14ac:dyDescent="0.25">
      <c r="A1249" s="15" t="str">
        <f>'PEDIDO 16'!$B$2</f>
        <v>Manduri-Katia Francisca Zafalao - Me</v>
      </c>
      <c r="B1249" s="12" t="s">
        <v>431</v>
      </c>
      <c r="C1249" s="1">
        <f>IFERROR(VLOOKUP(1133,'PEDIDO 16'!$C$2:$E$230,3,0),0)</f>
        <v>0</v>
      </c>
      <c r="D1249" s="1">
        <f>IFERROR(VLOOKUP(1134,'PEDIDO 16'!$C$2:$E$230,3,0),0)</f>
        <v>0</v>
      </c>
      <c r="E1249" s="1">
        <f>IFERROR(VLOOKUP(1135,'PEDIDO 16'!$C$2:$E$230,3,0),0)</f>
        <v>0</v>
      </c>
      <c r="F1249" s="1">
        <f>IFERROR(VLOOKUP(1136,'PEDIDO 16'!$C$2:$E$230,3,0),0)</f>
        <v>0</v>
      </c>
      <c r="G1249" s="18">
        <f t="shared" si="30"/>
        <v>0</v>
      </c>
    </row>
    <row r="1250" spans="1:7" ht="15.75" x14ac:dyDescent="0.25">
      <c r="A1250" s="15" t="str">
        <f>'PEDIDO 16'!$B$2</f>
        <v>Manduri-Katia Francisca Zafalao - Me</v>
      </c>
      <c r="B1250" s="12" t="s">
        <v>432</v>
      </c>
      <c r="C1250" s="1">
        <f>IFERROR(VLOOKUP(1105,'PEDIDO 16'!$C$2:$E$230,3,0),0)</f>
        <v>0</v>
      </c>
      <c r="D1250" s="1">
        <f>IFERROR(VLOOKUP(1106,'PEDIDO 16'!$C$2:$E$230,3,0),0)</f>
        <v>0</v>
      </c>
      <c r="E1250" s="1">
        <f>IFERROR(VLOOKUP(1107,'PEDIDO 16'!$C$2:$E$230,3,0),0)</f>
        <v>0</v>
      </c>
      <c r="F1250" s="1">
        <f>IFERROR(VLOOKUP(1108,'PEDIDO 16'!$C$2:$E$230,3,0),0)</f>
        <v>0</v>
      </c>
      <c r="G1250" s="18">
        <f t="shared" si="30"/>
        <v>0</v>
      </c>
    </row>
    <row r="1251" spans="1:7" ht="15.75" x14ac:dyDescent="0.25">
      <c r="A1251" s="15" t="str">
        <f>'PEDIDO 16'!$B$2</f>
        <v>Manduri-Katia Francisca Zafalao - Me</v>
      </c>
      <c r="B1251" s="12" t="s">
        <v>433</v>
      </c>
      <c r="C1251" s="1">
        <f>IFERROR(VLOOKUP(1109,'PEDIDO 16'!$C$2:$E$230,3,0),0)</f>
        <v>0</v>
      </c>
      <c r="D1251" s="1">
        <f>IFERROR(VLOOKUP(1110,'PEDIDO 16'!$C$2:$E$230,3,0),0)</f>
        <v>0</v>
      </c>
      <c r="E1251" s="1">
        <f>IFERROR(VLOOKUP(1111,'PEDIDO 16'!$C$2:$E$230,3,0),0)</f>
        <v>0</v>
      </c>
      <c r="F1251" s="1">
        <f>IFERROR(VLOOKUP(1112,'PEDIDO 16'!$C$2:$E$230,3,0),0)</f>
        <v>0</v>
      </c>
      <c r="G1251" s="18">
        <f t="shared" si="30"/>
        <v>0</v>
      </c>
    </row>
    <row r="1252" spans="1:7" ht="15.75" x14ac:dyDescent="0.25">
      <c r="A1252" s="15" t="str">
        <f>'PEDIDO 16'!$B$2</f>
        <v>Manduri-Katia Francisca Zafalao - Me</v>
      </c>
      <c r="B1252" s="12" t="s">
        <v>434</v>
      </c>
      <c r="C1252" s="1">
        <f>IFERROR(VLOOKUP(1113,'PEDIDO 16'!$C$2:$E$230,3,0),0)</f>
        <v>0</v>
      </c>
      <c r="D1252" s="1">
        <f>IFERROR(VLOOKUP(1114,'PEDIDO 16'!$C$2:$E$230,3,0),0)</f>
        <v>0</v>
      </c>
      <c r="E1252" s="1">
        <f>IFERROR(VLOOKUP(1115,'PEDIDO 16'!$C$2:$E$230,3,0),0)</f>
        <v>0</v>
      </c>
      <c r="F1252" s="1">
        <f>IFERROR(VLOOKUP(1116,'PEDIDO 16'!$C$2:$E$230,3,0),0)</f>
        <v>0</v>
      </c>
      <c r="G1252" s="18">
        <f t="shared" si="30"/>
        <v>0</v>
      </c>
    </row>
    <row r="1253" spans="1:7" ht="15.75" x14ac:dyDescent="0.25">
      <c r="A1253" s="15" t="str">
        <f>'PEDIDO 16'!$B$2</f>
        <v>Manduri-Katia Francisca Zafalao - Me</v>
      </c>
      <c r="B1253" s="12" t="s">
        <v>435</v>
      </c>
      <c r="C1253" s="1">
        <f>IFERROR(VLOOKUP(1117,'PEDIDO 16'!$C$2:$E$230,3,0),0)</f>
        <v>0</v>
      </c>
      <c r="D1253" s="1">
        <f>IFERROR(VLOOKUP(1118,'PEDIDO 16'!$C$2:$E$230,3,0),0)</f>
        <v>0</v>
      </c>
      <c r="E1253" s="1">
        <f>IFERROR(VLOOKUP(1119,'PEDIDO 16'!$C$2:$E$230,3,0),0)</f>
        <v>0</v>
      </c>
      <c r="F1253" s="1">
        <f>IFERROR(VLOOKUP(1120,'PEDIDO 16'!$C$2:$E$230,3,0),0)</f>
        <v>0</v>
      </c>
      <c r="G1253" s="18">
        <f t="shared" si="30"/>
        <v>0</v>
      </c>
    </row>
    <row r="1254" spans="1:7" ht="15.75" x14ac:dyDescent="0.25">
      <c r="A1254" s="15" t="str">
        <f>'PEDIDO 16'!$B$2</f>
        <v>Manduri-Katia Francisca Zafalao - Me</v>
      </c>
      <c r="B1254" s="12" t="s">
        <v>436</v>
      </c>
      <c r="C1254" s="1">
        <f>IFERROR(VLOOKUP(1121,'PEDIDO 16'!$C$2:$E$230,3,0),0)</f>
        <v>0</v>
      </c>
      <c r="D1254" s="1">
        <f>IFERROR(VLOOKUP(1122,'PEDIDO 16'!$C$2:$E$230,3,0),0)</f>
        <v>0</v>
      </c>
      <c r="E1254" s="1">
        <f>IFERROR(VLOOKUP(1123,'PEDIDO 16'!$C$2:$E$230,3,0),0)</f>
        <v>0</v>
      </c>
      <c r="F1254" s="1">
        <f>IFERROR(VLOOKUP(1124,'PEDIDO 16'!$C$2:$E$230,3,0),0)</f>
        <v>0</v>
      </c>
      <c r="G1254" s="18">
        <f t="shared" si="30"/>
        <v>0</v>
      </c>
    </row>
    <row r="1255" spans="1:7" ht="15.75" x14ac:dyDescent="0.25">
      <c r="A1255" s="15" t="str">
        <f>'PEDIDO 16'!$B$2</f>
        <v>Manduri-Katia Francisca Zafalao - Me</v>
      </c>
      <c r="B1255" s="12" t="s">
        <v>437</v>
      </c>
      <c r="C1255" s="1">
        <f>IFERROR(VLOOKUP(1129,'PEDIDO 16'!$C$2:$E$230,3,0),0)</f>
        <v>0</v>
      </c>
      <c r="D1255" s="1">
        <f>IFERROR(VLOOKUP(1130,'PEDIDO 16'!$C$2:$E$230,3,0),0)</f>
        <v>0</v>
      </c>
      <c r="E1255" s="1">
        <f>IFERROR(VLOOKUP(1131,'PEDIDO 16'!$C$2:$E$230,3,0),0)</f>
        <v>0</v>
      </c>
      <c r="F1255" s="1">
        <f>IFERROR(VLOOKUP(1132,'PEDIDO 16'!$C$2:$E$230,3,0),0)</f>
        <v>0</v>
      </c>
      <c r="G1255" s="18">
        <f t="shared" si="30"/>
        <v>0</v>
      </c>
    </row>
    <row r="1256" spans="1:7" ht="15.75" x14ac:dyDescent="0.25">
      <c r="A1256" s="15" t="str">
        <f>'PEDIDO 16'!$B$2</f>
        <v>Manduri-Katia Francisca Zafalao - Me</v>
      </c>
      <c r="B1256" s="12" t="s">
        <v>438</v>
      </c>
      <c r="C1256" s="1">
        <f>IFERROR(VLOOKUP(1137,'PEDIDO 16'!$C$2:$E$230,3,0),0)</f>
        <v>0</v>
      </c>
      <c r="D1256" s="1">
        <f>IFERROR(VLOOKUP(1138,'PEDIDO 16'!$C$2:$E$230,3,0),0)</f>
        <v>0</v>
      </c>
      <c r="E1256" s="1">
        <f>IFERROR(VLOOKUP(1139,'PEDIDO 16'!$C$2:$E$230,3,0),0)</f>
        <v>0</v>
      </c>
      <c r="F1256" s="1">
        <f>IFERROR(VLOOKUP(1140,'PEDIDO 16'!$C$2:$E$230,3,0),0)</f>
        <v>0</v>
      </c>
      <c r="G1256" s="18">
        <f t="shared" si="30"/>
        <v>0</v>
      </c>
    </row>
    <row r="1257" spans="1:7" ht="15.75" x14ac:dyDescent="0.25">
      <c r="A1257" s="15" t="str">
        <f>'PEDIDO 16'!$B$2</f>
        <v>Manduri-Katia Francisca Zafalao - Me</v>
      </c>
      <c r="B1257" s="12" t="s">
        <v>439</v>
      </c>
      <c r="C1257" s="1">
        <f>IFERROR(VLOOKUP(1141,'PEDIDO 16'!$C$2:$E$230,3,0),0)</f>
        <v>0</v>
      </c>
      <c r="D1257" s="1">
        <f>IFERROR(VLOOKUP(1142,'PEDIDO 16'!$C$2:$E$230,3,0),0)</f>
        <v>0</v>
      </c>
      <c r="E1257" s="1">
        <f>IFERROR(VLOOKUP(1143,'PEDIDO 16'!$C$2:$E$230,3,0),0)</f>
        <v>0</v>
      </c>
      <c r="F1257" s="1">
        <f>IFERROR(VLOOKUP(1144,'PEDIDO 16'!$C$2:$E$230,3,0),0)</f>
        <v>0</v>
      </c>
      <c r="G1257" s="18">
        <f t="shared" si="30"/>
        <v>0</v>
      </c>
    </row>
    <row r="1258" spans="1:7" ht="15.75" x14ac:dyDescent="0.25">
      <c r="A1258" s="15" t="str">
        <f>'PEDIDO 16'!$B$2</f>
        <v>Manduri-Katia Francisca Zafalao - Me</v>
      </c>
      <c r="B1258" s="12" t="s">
        <v>440</v>
      </c>
      <c r="C1258" s="1">
        <f>IFERROR(VLOOKUP(1145,'PEDIDO 16'!$C$2:$E$230,3,0),0)</f>
        <v>0</v>
      </c>
      <c r="D1258" s="1">
        <f>IFERROR(VLOOKUP(1146,'PEDIDO 16'!$C$2:$E$230,3,0),0)</f>
        <v>0</v>
      </c>
      <c r="E1258" s="1">
        <f>IFERROR(VLOOKUP(1147,'PEDIDO 16'!$C$2:$E$230,3,0),0)</f>
        <v>0</v>
      </c>
      <c r="F1258" s="1">
        <f>IFERROR(VLOOKUP(1148,'PEDIDO 16'!$C$2:$E$230,3,0),0)</f>
        <v>0</v>
      </c>
      <c r="G1258" s="18">
        <f t="shared" si="30"/>
        <v>0</v>
      </c>
    </row>
    <row r="1259" spans="1:7" ht="15.75" x14ac:dyDescent="0.25">
      <c r="A1259" s="15" t="str">
        <f>'PEDIDO 16'!$B$2</f>
        <v>Manduri-Katia Francisca Zafalao - Me</v>
      </c>
      <c r="B1259" s="12" t="s">
        <v>441</v>
      </c>
      <c r="C1259" s="1">
        <f>IFERROR(VLOOKUP(1149,'PEDIDO 16'!$C$2:$E$230,3,0),0)</f>
        <v>0</v>
      </c>
      <c r="D1259" s="1">
        <f>IFERROR(VLOOKUP(1150,'PEDIDO 16'!$C$2:$E$230,3,0),0)</f>
        <v>0</v>
      </c>
      <c r="E1259" s="1">
        <f>IFERROR(VLOOKUP(1151,'PEDIDO 16'!$C$2:$E$230,3,0),0)</f>
        <v>0</v>
      </c>
      <c r="F1259" s="1">
        <f>IFERROR(VLOOKUP(1152,'PEDIDO 16'!$C$2:$E$230,3,0),0)</f>
        <v>0</v>
      </c>
      <c r="G1259" s="18">
        <f t="shared" si="30"/>
        <v>0</v>
      </c>
    </row>
    <row r="1260" spans="1:7" ht="15.75" x14ac:dyDescent="0.25">
      <c r="A1260" s="15" t="str">
        <f>'PEDIDO 16'!$B$2</f>
        <v>Manduri-Katia Francisca Zafalao - Me</v>
      </c>
      <c r="B1260" s="12" t="s">
        <v>442</v>
      </c>
      <c r="C1260" s="1">
        <f>IFERROR(VLOOKUP(1153,'PEDIDO 16'!$C$2:$E$230,3,0),0)</f>
        <v>0</v>
      </c>
      <c r="D1260" s="1">
        <f>IFERROR(VLOOKUP(1154,'PEDIDO 16'!$C$2:$E$230,3,0),0)</f>
        <v>0</v>
      </c>
      <c r="E1260" s="1">
        <f>IFERROR(VLOOKUP(1155,'PEDIDO 16'!$C$2:$E$230,3,0),0)</f>
        <v>0</v>
      </c>
      <c r="F1260" s="1">
        <f>IFERROR(VLOOKUP(1156,'PEDIDO 16'!$C$2:$E$230,3,0),0)</f>
        <v>0</v>
      </c>
      <c r="G1260" s="18">
        <f t="shared" si="30"/>
        <v>0</v>
      </c>
    </row>
    <row r="1261" spans="1:7" ht="15.75" x14ac:dyDescent="0.25">
      <c r="A1261" s="15" t="str">
        <f>'PEDIDO 16'!$B$2</f>
        <v>Manduri-Katia Francisca Zafalao - Me</v>
      </c>
      <c r="B1261" s="12" t="s">
        <v>443</v>
      </c>
      <c r="C1261" s="1">
        <f>IFERROR(VLOOKUP(1157,'PEDIDO 16'!$C$2:$E$230,3,0),0)</f>
        <v>0</v>
      </c>
      <c r="D1261" s="1">
        <f>IFERROR(VLOOKUP(1158,'PEDIDO 16'!$C$2:$E$230,3,0),0)</f>
        <v>0</v>
      </c>
      <c r="E1261" s="1">
        <f>IFERROR(VLOOKUP(1159,'PEDIDO 16'!$C$2:$E$230,3,0),0)</f>
        <v>0</v>
      </c>
      <c r="F1261" s="1">
        <f>IFERROR(VLOOKUP(1160,'PEDIDO 16'!$C$2:$E$230,3,0),0)</f>
        <v>0</v>
      </c>
      <c r="G1261" s="18">
        <f t="shared" si="30"/>
        <v>0</v>
      </c>
    </row>
    <row r="1262" spans="1:7" ht="15.75" x14ac:dyDescent="0.25">
      <c r="A1262" s="15" t="str">
        <f>'PEDIDO 16'!$B$2</f>
        <v>Manduri-Katia Francisca Zafalao - Me</v>
      </c>
      <c r="B1262" s="12" t="s">
        <v>444</v>
      </c>
      <c r="C1262" s="1">
        <f>IFERROR(VLOOKUP(1161,'PEDIDO 16'!$C$2:$E$230,3,0),0)</f>
        <v>0</v>
      </c>
      <c r="D1262" s="1">
        <f>IFERROR(VLOOKUP(1162,'PEDIDO 16'!$C$2:$E$230,3,0),0)</f>
        <v>0</v>
      </c>
      <c r="E1262" s="1">
        <f>IFERROR(VLOOKUP(1163,'PEDIDO 16'!$C$2:$E$230,3,0),0)</f>
        <v>0</v>
      </c>
      <c r="F1262" s="1">
        <f>IFERROR(VLOOKUP(1164,'PEDIDO 16'!$C$2:$E$230,3,0),0)</f>
        <v>0</v>
      </c>
      <c r="G1262" s="18">
        <f t="shared" si="30"/>
        <v>0</v>
      </c>
    </row>
    <row r="1263" spans="1:7" ht="15.75" x14ac:dyDescent="0.25">
      <c r="A1263" s="15" t="str">
        <f>'PEDIDO 16'!$B$2</f>
        <v>Manduri-Katia Francisca Zafalao - Me</v>
      </c>
      <c r="B1263" s="12" t="s">
        <v>445</v>
      </c>
      <c r="C1263" s="1">
        <f>IFERROR(VLOOKUP(1165,'PEDIDO 16'!$C$2:$E$230,3,0),0)</f>
        <v>0</v>
      </c>
      <c r="D1263" s="1">
        <f>IFERROR(VLOOKUP(1166,'PEDIDO 16'!$C$2:$E$230,3,0),0)</f>
        <v>0</v>
      </c>
      <c r="E1263" s="1">
        <f>IFERROR(VLOOKUP(1167,'PEDIDO 16'!$C$2:$E$230,3,0),0)</f>
        <v>0</v>
      </c>
      <c r="F1263" s="1">
        <f>IFERROR(VLOOKUP(1168,'PEDIDO 16'!$C$2:$E$230,3,0),0)</f>
        <v>0</v>
      </c>
      <c r="G1263" s="18">
        <f t="shared" si="30"/>
        <v>0</v>
      </c>
    </row>
    <row r="1264" spans="1:7" ht="15.75" x14ac:dyDescent="0.25">
      <c r="A1264" s="15" t="str">
        <f>'PEDIDO 16'!$B$2</f>
        <v>Manduri-Katia Francisca Zafalao - Me</v>
      </c>
      <c r="B1264" s="12" t="s">
        <v>446</v>
      </c>
      <c r="C1264" s="1">
        <f>IFERROR(VLOOKUP(1169,'PEDIDO 16'!$C$2:$E$230,3,0),0)</f>
        <v>0</v>
      </c>
      <c r="D1264" s="1">
        <f>IFERROR(VLOOKUP(1170,'PEDIDO 16'!$C$2:$E$230,3,0),0)</f>
        <v>0</v>
      </c>
      <c r="E1264" s="1">
        <f>IFERROR(VLOOKUP(1171,'PEDIDO 16'!$C$2:$E$230,3,0),0)</f>
        <v>0</v>
      </c>
      <c r="F1264" s="1">
        <f>IFERROR(VLOOKUP(1172,'PEDIDO 16'!$C$2:$E$230,3,0),0)</f>
        <v>0</v>
      </c>
      <c r="G1264" s="18">
        <f t="shared" si="30"/>
        <v>0</v>
      </c>
    </row>
    <row r="1265" spans="1:7" ht="15.75" x14ac:dyDescent="0.25">
      <c r="A1265" s="15" t="str">
        <f>'PEDIDO 16'!$B$2</f>
        <v>Manduri-Katia Francisca Zafalao - Me</v>
      </c>
      <c r="B1265" s="12" t="s">
        <v>447</v>
      </c>
      <c r="C1265" s="1">
        <f>IFERROR(VLOOKUP(1173,'PEDIDO 16'!$C$2:$E$230,3,0),0)</f>
        <v>0</v>
      </c>
      <c r="D1265" s="1">
        <f>IFERROR(VLOOKUP(1174,'PEDIDO 16'!$C$2:$E$230,3,0),0)</f>
        <v>0</v>
      </c>
      <c r="E1265" s="1">
        <f>IFERROR(VLOOKUP(1175,'PEDIDO 16'!$C$2:$E$230,3,0),0)</f>
        <v>0</v>
      </c>
      <c r="F1265" s="1">
        <f>IFERROR(VLOOKUP(1176,'PEDIDO 16'!$C$2:$E$230,3,0),0)</f>
        <v>0</v>
      </c>
      <c r="G1265" s="18">
        <f t="shared" si="30"/>
        <v>0</v>
      </c>
    </row>
    <row r="1266" spans="1:7" ht="15.75" x14ac:dyDescent="0.25">
      <c r="A1266" s="15" t="str">
        <f>'PEDIDO 16'!$B$2</f>
        <v>Manduri-Katia Francisca Zafalao - Me</v>
      </c>
      <c r="B1266" s="12" t="s">
        <v>448</v>
      </c>
      <c r="C1266" s="1">
        <f>IFERROR(VLOOKUP(1249,'PEDIDO 16'!$C$2:$E$230,3,0),0)</f>
        <v>0</v>
      </c>
      <c r="D1266" s="1">
        <f>IFERROR(VLOOKUP(1250,'PEDIDO 16'!$C$2:$E$230,3,0),0)</f>
        <v>0</v>
      </c>
      <c r="E1266" s="1">
        <f>IFERROR(VLOOKUP(1251,'PEDIDO 16'!$C$2:$E$230,3,0),0)</f>
        <v>0</v>
      </c>
      <c r="F1266" s="1">
        <f>IFERROR(VLOOKUP(1252,'PEDIDO 16'!$C$2:$E$230,3,0),0)</f>
        <v>0</v>
      </c>
      <c r="G1266" s="18">
        <f t="shared" si="30"/>
        <v>0</v>
      </c>
    </row>
    <row r="1267" spans="1:7" ht="15.75" x14ac:dyDescent="0.25">
      <c r="A1267" s="15" t="str">
        <f>'PEDIDO 16'!$B$2</f>
        <v>Manduri-Katia Francisca Zafalao - Me</v>
      </c>
      <c r="B1267" s="12" t="s">
        <v>449</v>
      </c>
      <c r="C1267" s="1">
        <f>IFERROR(VLOOKUP(1177,'PEDIDO 16'!$C$2:$E$230,3,0),0)</f>
        <v>0</v>
      </c>
      <c r="D1267" s="1">
        <f>IFERROR(VLOOKUP(1178,'PEDIDO 16'!$C$2:$E$230,3,0),0)</f>
        <v>0</v>
      </c>
      <c r="E1267" s="1">
        <f>IFERROR(VLOOKUP(1179,'PEDIDO 16'!$C$2:$E$230,3,0),0)</f>
        <v>0</v>
      </c>
      <c r="F1267" s="1">
        <f>IFERROR(VLOOKUP(1180,'PEDIDO 16'!$C$2:$E$230,3,0),0)</f>
        <v>0</v>
      </c>
      <c r="G1267" s="18">
        <f t="shared" si="30"/>
        <v>0</v>
      </c>
    </row>
    <row r="1268" spans="1:7" ht="15.75" x14ac:dyDescent="0.25">
      <c r="A1268" s="15" t="str">
        <f>'PEDIDO 16'!$B$2</f>
        <v>Manduri-Katia Francisca Zafalao - Me</v>
      </c>
      <c r="B1268" s="12" t="s">
        <v>450</v>
      </c>
      <c r="C1268" s="1">
        <f>IFERROR(VLOOKUP(1181,'PEDIDO 16'!$C$2:$E$230,3,0),0)</f>
        <v>0</v>
      </c>
      <c r="D1268" s="1">
        <f>IFERROR(VLOOKUP(1182,'PEDIDO 16'!$C$2:$E$230,3,0),0)</f>
        <v>0</v>
      </c>
      <c r="E1268" s="1">
        <f>IFERROR(VLOOKUP(1183,'PEDIDO 16'!$C$2:$E$230,3,0),0)</f>
        <v>0</v>
      </c>
      <c r="F1268" s="1">
        <f>IFERROR(VLOOKUP(1184,'PEDIDO 16'!$C$2:$E$230,3,0),0)</f>
        <v>0</v>
      </c>
      <c r="G1268" s="18">
        <f t="shared" si="30"/>
        <v>0</v>
      </c>
    </row>
    <row r="1269" spans="1:7" ht="15.75" x14ac:dyDescent="0.25">
      <c r="A1269" s="15" t="str">
        <f>'PEDIDO 16'!$B$2</f>
        <v>Manduri-Katia Francisca Zafalao - Me</v>
      </c>
      <c r="B1269" s="12" t="s">
        <v>451</v>
      </c>
      <c r="C1269" s="1">
        <f>IFERROR(VLOOKUP(1185,'PEDIDO 16'!$C$2:$E$230,3,0),0)</f>
        <v>0</v>
      </c>
      <c r="D1269" s="1">
        <f>IFERROR(VLOOKUP(1186,'PEDIDO 16'!$C$2:$E$230,3,0),0)</f>
        <v>0</v>
      </c>
      <c r="E1269" s="1">
        <f>IFERROR(VLOOKUP(1187,'PEDIDO 16'!$C$2:$E$230,3,0),0)</f>
        <v>0</v>
      </c>
      <c r="F1269" s="1">
        <f>IFERROR(VLOOKUP(1188,'PEDIDO 16'!$C$2:$E$230,3,0),0)</f>
        <v>0</v>
      </c>
      <c r="G1269" s="18">
        <f t="shared" si="30"/>
        <v>0</v>
      </c>
    </row>
    <row r="1270" spans="1:7" ht="15.75" x14ac:dyDescent="0.25">
      <c r="A1270" s="15" t="str">
        <f>'PEDIDO 16'!$B$2</f>
        <v>Manduri-Katia Francisca Zafalao - Me</v>
      </c>
      <c r="B1270" s="12" t="s">
        <v>452</v>
      </c>
      <c r="C1270" s="1">
        <f>IFERROR(VLOOKUP(1189,'PEDIDO 16'!$C$2:$E$230,3,0),0)</f>
        <v>0</v>
      </c>
      <c r="D1270" s="1">
        <f>IFERROR(VLOOKUP(1190,'PEDIDO 16'!$C$2:$E$230,3,0),0)</f>
        <v>0</v>
      </c>
      <c r="E1270" s="1">
        <f>IFERROR(VLOOKUP(1191,'PEDIDO 16'!$C$2:$E$230,3,0),0)</f>
        <v>0</v>
      </c>
      <c r="F1270" s="1">
        <f>IFERROR(VLOOKUP(1192,'PEDIDO 16'!$C$2:$E$230,3,0),0)</f>
        <v>0</v>
      </c>
      <c r="G1270" s="18">
        <f t="shared" si="30"/>
        <v>0</v>
      </c>
    </row>
    <row r="1271" spans="1:7" ht="15.75" x14ac:dyDescent="0.25">
      <c r="A1271" s="15" t="str">
        <f>'PEDIDO 16'!$B$2</f>
        <v>Manduri-Katia Francisca Zafalao - Me</v>
      </c>
      <c r="B1271" s="12" t="s">
        <v>453</v>
      </c>
      <c r="C1271" s="1">
        <f>IFERROR(VLOOKUP(1193,'PEDIDO 16'!$C$2:$E$230,3,0),0)</f>
        <v>0</v>
      </c>
      <c r="D1271" s="1">
        <f>IFERROR(VLOOKUP(1194,'PEDIDO 16'!$C$2:$E$230,3,0),0)</f>
        <v>0</v>
      </c>
      <c r="E1271" s="1">
        <f>IFERROR(VLOOKUP(1195,'PEDIDO 16'!$C$2:$E$230,3,0),0)</f>
        <v>0</v>
      </c>
      <c r="F1271" s="1">
        <f>IFERROR(VLOOKUP(1196,'PEDIDO 16'!$C$2:$E$230,3,0),0)</f>
        <v>0</v>
      </c>
      <c r="G1271" s="18">
        <f t="shared" si="30"/>
        <v>0</v>
      </c>
    </row>
    <row r="1272" spans="1:7" ht="15.75" x14ac:dyDescent="0.25">
      <c r="A1272" s="15" t="str">
        <f>'PEDIDO 16'!$B$2</f>
        <v>Manduri-Katia Francisca Zafalao - Me</v>
      </c>
      <c r="B1272" s="12" t="s">
        <v>454</v>
      </c>
      <c r="C1272" s="1">
        <f>IFERROR(VLOOKUP(1197,'PEDIDO 16'!$C$2:$E$230,3,0),0)</f>
        <v>0</v>
      </c>
      <c r="D1272" s="1">
        <f>IFERROR(VLOOKUP(1198,'PEDIDO 16'!$C$2:$E$230,3,0),0)</f>
        <v>0</v>
      </c>
      <c r="E1272" s="1">
        <f>IFERROR(VLOOKUP(1199,'PEDIDO 16'!$C$2:$E$230,3,0),0)</f>
        <v>0</v>
      </c>
      <c r="F1272" s="1">
        <f>IFERROR(VLOOKUP(1200,'PEDIDO 16'!$C$2:$E$230,3,0),0)</f>
        <v>0</v>
      </c>
      <c r="G1272" s="18">
        <f t="shared" si="30"/>
        <v>0</v>
      </c>
    </row>
    <row r="1273" spans="1:7" ht="15.75" x14ac:dyDescent="0.25">
      <c r="A1273" s="15" t="str">
        <f>'PEDIDO 16'!$B$2</f>
        <v>Manduri-Katia Francisca Zafalao - Me</v>
      </c>
      <c r="B1273" s="12" t="s">
        <v>455</v>
      </c>
      <c r="C1273" s="1">
        <f>IFERROR(VLOOKUP(1201,'PEDIDO 16'!$C$2:$E$230,3,0),0)</f>
        <v>0</v>
      </c>
      <c r="D1273" s="1">
        <f>IFERROR(VLOOKUP(1202,'PEDIDO 16'!$C$2:$E$230,3,0),0)</f>
        <v>0</v>
      </c>
      <c r="E1273" s="1">
        <f>IFERROR(VLOOKUP(1203,'PEDIDO 16'!$C$2:$E$230,3,0),0)</f>
        <v>0</v>
      </c>
      <c r="F1273" s="1">
        <f>IFERROR(VLOOKUP(1204,'PEDIDO 16'!$C$2:$E$230,3,0),0)</f>
        <v>0</v>
      </c>
      <c r="G1273" s="18">
        <f t="shared" si="30"/>
        <v>0</v>
      </c>
    </row>
    <row r="1274" spans="1:7" ht="15.75" x14ac:dyDescent="0.25">
      <c r="A1274" s="15" t="str">
        <f>'PEDIDO 16'!$B$2</f>
        <v>Manduri-Katia Francisca Zafalao - Me</v>
      </c>
      <c r="B1274" s="12" t="s">
        <v>456</v>
      </c>
      <c r="C1274" s="1">
        <f>IFERROR(VLOOKUP(1205,'PEDIDO 16'!$C$2:$E$230,3,0),0)</f>
        <v>0</v>
      </c>
      <c r="D1274" s="1">
        <f>IFERROR(VLOOKUP(1206,'PEDIDO 16'!$C$2:$E$230,3,0),0)</f>
        <v>0</v>
      </c>
      <c r="E1274" s="1">
        <f>IFERROR(VLOOKUP(1207,'PEDIDO 16'!$C$2:$E$230,3,0),0)</f>
        <v>0</v>
      </c>
      <c r="F1274" s="1">
        <f>IFERROR(VLOOKUP(1208,'PEDIDO 16'!$C$2:$E$230,3,0),0)</f>
        <v>0</v>
      </c>
      <c r="G1274" s="18">
        <f t="shared" si="30"/>
        <v>0</v>
      </c>
    </row>
    <row r="1275" spans="1:7" ht="15.75" x14ac:dyDescent="0.25">
      <c r="A1275" s="15" t="str">
        <f>'PEDIDO 16'!$B$2</f>
        <v>Manduri-Katia Francisca Zafalao - Me</v>
      </c>
      <c r="B1275" s="12" t="s">
        <v>457</v>
      </c>
      <c r="C1275" s="1">
        <f>IFERROR(VLOOKUP(1213,'PEDIDO 16'!$C$2:$E$230,3,0),0)</f>
        <v>0</v>
      </c>
      <c r="D1275" s="1">
        <f>IFERROR(VLOOKUP(1214,'PEDIDO 16'!$C$2:$E$230,3,0),0)</f>
        <v>0</v>
      </c>
      <c r="E1275" s="1">
        <f>IFERROR(VLOOKUP(1215,'PEDIDO 16'!$C$2:$E$230,3,0),0)</f>
        <v>0</v>
      </c>
      <c r="F1275" s="10">
        <f>IFERROR(VLOOKUP(1216,'PEDIDO 16'!$C$2:$E$230,3,0),0)</f>
        <v>0</v>
      </c>
      <c r="G1275" s="18">
        <f t="shared" si="30"/>
        <v>0</v>
      </c>
    </row>
    <row r="1276" spans="1:7" ht="15.75" x14ac:dyDescent="0.25">
      <c r="A1276" s="15" t="str">
        <f>'PEDIDO 16'!$B$2</f>
        <v>Manduri-Katia Francisca Zafalao - Me</v>
      </c>
      <c r="B1276" s="12" t="s">
        <v>458</v>
      </c>
      <c r="C1276" s="1">
        <f>IFERROR(VLOOKUP(1209,'PEDIDO 16'!$C$2:$E$230,3,0),0)</f>
        <v>0</v>
      </c>
      <c r="D1276" s="1">
        <f>IFERROR(VLOOKUP(1210,'PEDIDO 16'!$C$2:$E$230,3,0),0)</f>
        <v>0</v>
      </c>
      <c r="E1276" s="1">
        <f>IFERROR(VLOOKUP(1211,'PEDIDO 16'!$C$2:$E$230,3,0),0)</f>
        <v>0</v>
      </c>
      <c r="F1276" s="1">
        <f>IFERROR(VLOOKUP(1212,'PEDIDO 16'!$C$2:$E$230,3,0),0)</f>
        <v>0</v>
      </c>
      <c r="G1276" s="18">
        <f t="shared" si="30"/>
        <v>0</v>
      </c>
    </row>
    <row r="1277" spans="1:7" ht="15.75" x14ac:dyDescent="0.25">
      <c r="A1277" s="15" t="str">
        <f>'PEDIDO 16'!$B$2</f>
        <v>Manduri-Katia Francisca Zafalao - Me</v>
      </c>
      <c r="B1277" s="12" t="s">
        <v>459</v>
      </c>
      <c r="C1277" s="1">
        <f>IFERROR(VLOOKUP(1217,'PEDIDO 16'!$C$2:$E$230,3,0),0)</f>
        <v>0</v>
      </c>
      <c r="D1277" s="1">
        <f>IFERROR(VLOOKUP(1218,'PEDIDO 16'!$C$2:$E$230,3,0),0)</f>
        <v>0</v>
      </c>
      <c r="E1277" s="1">
        <f>IFERROR(VLOOKUP(1219,'PEDIDO 16'!$C$2:$E$230,3,0),0)</f>
        <v>0</v>
      </c>
      <c r="F1277" s="1">
        <f>IFERROR(VLOOKUP(1220,'PEDIDO 16'!$C$2:$E$230,3,0),0)</f>
        <v>0</v>
      </c>
      <c r="G1277" s="18">
        <f t="shared" si="30"/>
        <v>0</v>
      </c>
    </row>
    <row r="1278" spans="1:7" ht="15.75" x14ac:dyDescent="0.25">
      <c r="A1278" s="15" t="str">
        <f>'PEDIDO 16'!$B$2</f>
        <v>Manduri-Katia Francisca Zafalao - Me</v>
      </c>
      <c r="B1278" s="12" t="s">
        <v>461</v>
      </c>
      <c r="C1278" s="1">
        <f>IFERROR(VLOOKUP(1225,'PEDIDO 16'!$C$2:$E$230,3,0),0)</f>
        <v>0</v>
      </c>
      <c r="D1278" s="1">
        <f>IFERROR(VLOOKUP(1226,'PEDIDO 16'!$C$2:$E$230,3,0),0)</f>
        <v>0</v>
      </c>
      <c r="E1278" s="1">
        <f>IFERROR(VLOOKUP(1227,'PEDIDO 16'!$C$2:$E$230,3,0),0)</f>
        <v>0</v>
      </c>
      <c r="F1278" s="1">
        <f>IFERROR(VLOOKUP(1228,'PEDIDO 16'!$C$2:$E$230,3,0),0)</f>
        <v>0</v>
      </c>
      <c r="G1278" s="18">
        <f t="shared" si="30"/>
        <v>0</v>
      </c>
    </row>
    <row r="1279" spans="1:7" ht="15.75" x14ac:dyDescent="0.25">
      <c r="A1279" s="15" t="str">
        <f>'PEDIDO 16'!$B$2</f>
        <v>Manduri-Katia Francisca Zafalao - Me</v>
      </c>
      <c r="B1279" s="12" t="s">
        <v>462</v>
      </c>
      <c r="C1279" s="1">
        <f>IFERROR(VLOOKUP(1221,'PEDIDO 16'!$C$2:$E$230,3,0),0)</f>
        <v>0</v>
      </c>
      <c r="D1279" s="1">
        <f>IFERROR(VLOOKUP(1222,'PEDIDO 16'!$C$2:$E$230,3,0),0)</f>
        <v>0</v>
      </c>
      <c r="E1279" s="1">
        <f>IFERROR(VLOOKUP(1223,'PEDIDO 16'!$C$2:$E$230,3,0),0)</f>
        <v>0</v>
      </c>
      <c r="F1279" s="1">
        <f>IFERROR(VLOOKUP(1224,'PEDIDO 16'!$C$2:$E$230,3,0),0)</f>
        <v>0</v>
      </c>
      <c r="G1279" s="18">
        <f t="shared" si="30"/>
        <v>0</v>
      </c>
    </row>
    <row r="1280" spans="1:7" ht="15.75" x14ac:dyDescent="0.25">
      <c r="A1280" s="15" t="str">
        <f>'PEDIDO 16'!$B$2</f>
        <v>Manduri-Katia Francisca Zafalao - Me</v>
      </c>
      <c r="B1280" s="12" t="s">
        <v>460</v>
      </c>
      <c r="C1280" s="1">
        <f>IFERROR(VLOOKUP(1229,'PEDIDO 16'!$C$2:$E$230,3,0),0)</f>
        <v>0</v>
      </c>
      <c r="D1280" s="1">
        <f>IFERROR(VLOOKUP(1230,'PEDIDO 16'!$C$2:$E$230,3,0),0)</f>
        <v>0</v>
      </c>
      <c r="E1280" s="1">
        <f>IFERROR(VLOOKUP(1231,'PEDIDO 16'!$C$2:$E$230,3,0),0)</f>
        <v>0</v>
      </c>
      <c r="F1280" s="1">
        <f>IFERROR(VLOOKUP(1232,'PEDIDO 16'!$C$2:$E$230,3,0),0)</f>
        <v>0</v>
      </c>
      <c r="G1280" s="18">
        <f t="shared" si="30"/>
        <v>0</v>
      </c>
    </row>
    <row r="1281" spans="1:7" ht="15.75" x14ac:dyDescent="0.25">
      <c r="A1281" s="15" t="str">
        <f>'PEDIDO 16'!$B$2</f>
        <v>Manduri-Katia Francisca Zafalao - Me</v>
      </c>
      <c r="B1281" s="12" t="s">
        <v>463</v>
      </c>
      <c r="C1281" s="1">
        <f>IFERROR(VLOOKUP(1233,'PEDIDO 16'!$C$2:$E$230,3,0),0)</f>
        <v>0</v>
      </c>
      <c r="D1281" s="1">
        <f>IFERROR(VLOOKUP(1234,'PEDIDO 16'!$C$2:$E$230,3,0),0)</f>
        <v>0</v>
      </c>
      <c r="E1281" s="1">
        <f>IFERROR(VLOOKUP(1235,'PEDIDO 16'!$C$2:$E$230,3,0),0)</f>
        <v>0</v>
      </c>
      <c r="F1281" s="1">
        <f>IFERROR(VLOOKUP(1236,'PEDIDO 16'!$C$2:$E$230,3,0),0)</f>
        <v>0</v>
      </c>
      <c r="G1281" s="18">
        <f t="shared" si="30"/>
        <v>0</v>
      </c>
    </row>
    <row r="1282" spans="1:7" ht="15.75" x14ac:dyDescent="0.25">
      <c r="A1282" s="15" t="str">
        <f>'PEDIDO 16'!$B$2</f>
        <v>Manduri-Katia Francisca Zafalao - Me</v>
      </c>
      <c r="B1282" s="12" t="s">
        <v>464</v>
      </c>
      <c r="C1282" s="1">
        <f>IFERROR(VLOOKUP(1237,'PEDIDO 16'!$C$2:$E$230,3,0),0)</f>
        <v>0</v>
      </c>
      <c r="D1282" s="1">
        <f>IFERROR(VLOOKUP(1238,'PEDIDO 16'!$C$2:$E$230,3,0),0)</f>
        <v>0</v>
      </c>
      <c r="E1282" s="1">
        <f>IFERROR(VLOOKUP(1239,'PEDIDO 16'!$C$2:$E$230,3,0),0)</f>
        <v>0</v>
      </c>
      <c r="F1282" s="1">
        <f>IFERROR(VLOOKUP(1240,'PEDIDO 16'!$C$2:$E$230,3,0),0)</f>
        <v>0</v>
      </c>
      <c r="G1282" s="18">
        <f t="shared" ref="G1282:G1294" si="31">SUM(C1282+D1282+E1282+F1282)</f>
        <v>0</v>
      </c>
    </row>
    <row r="1283" spans="1:7" ht="15.75" x14ac:dyDescent="0.25">
      <c r="A1283" s="15" t="str">
        <f>'PEDIDO 16'!$B$2</f>
        <v>Manduri-Katia Francisca Zafalao - Me</v>
      </c>
      <c r="B1283" s="12" t="s">
        <v>465</v>
      </c>
      <c r="C1283" s="1">
        <f>IFERROR(VLOOKUP(1241,'PEDIDO 16'!$C$2:$E$230,3,0),0)</f>
        <v>0</v>
      </c>
      <c r="D1283" s="1">
        <f>IFERROR(VLOOKUP(1242,'PEDIDO 16'!$C$2:$E$230,3,0),0)</f>
        <v>0</v>
      </c>
      <c r="E1283" s="1">
        <f>IFERROR(VLOOKUP(1243,'PEDIDO 16'!$C$2:$E$230,3,0),0)</f>
        <v>0</v>
      </c>
      <c r="F1283" s="1">
        <f>IFERROR(VLOOKUP(1244,'PEDIDO 16'!$C$2:$E$230,3,0),0)</f>
        <v>0</v>
      </c>
      <c r="G1283" s="18">
        <f t="shared" si="31"/>
        <v>0</v>
      </c>
    </row>
    <row r="1284" spans="1:7" ht="15.75" x14ac:dyDescent="0.25">
      <c r="A1284" s="15" t="str">
        <f>'PEDIDO 16'!$B$2</f>
        <v>Manduri-Katia Francisca Zafalao - Me</v>
      </c>
      <c r="B1284" s="12" t="s">
        <v>466</v>
      </c>
      <c r="C1284" s="1">
        <f>IFERROR(VLOOKUP(1245,'PEDIDO 16'!$C$2:$E$230,3,0),0)</f>
        <v>0</v>
      </c>
      <c r="D1284" s="1">
        <f>IFERROR(VLOOKUP(1246,'PEDIDO 16'!$C$2:$E$230,3,0),0)</f>
        <v>0</v>
      </c>
      <c r="E1284" s="1">
        <f>IFERROR(VLOOKUP(1247,'PEDIDO 16'!$C$2:$E$230,3,0),0)</f>
        <v>0</v>
      </c>
      <c r="F1284" s="1">
        <f>IFERROR(VLOOKUP(1248,'PEDIDO 16'!$C$2:$E$230,3,0),0)</f>
        <v>0</v>
      </c>
      <c r="G1284" s="18">
        <f t="shared" si="31"/>
        <v>0</v>
      </c>
    </row>
    <row r="1285" spans="1:7" ht="15.75" x14ac:dyDescent="0.25">
      <c r="A1285" s="15" t="str">
        <f>'PEDIDO 16'!$B$2</f>
        <v>Manduri-Katia Francisca Zafalao - Me</v>
      </c>
      <c r="B1285" s="12" t="s">
        <v>467</v>
      </c>
      <c r="C1285" s="1">
        <f>IFERROR(VLOOKUP(25714,'PEDIDO 16'!$C$2:$E$230,3,0),0)</f>
        <v>0</v>
      </c>
      <c r="D1285" s="1"/>
      <c r="E1285" s="1"/>
      <c r="F1285" s="1"/>
      <c r="G1285" s="18">
        <f t="shared" si="31"/>
        <v>0</v>
      </c>
    </row>
    <row r="1286" spans="1:7" ht="15.75" x14ac:dyDescent="0.25">
      <c r="A1286" s="15" t="str">
        <f>'PEDIDO 16'!$B$2</f>
        <v>Manduri-Katia Francisca Zafalao - Me</v>
      </c>
      <c r="B1286" s="12" t="s">
        <v>468</v>
      </c>
      <c r="C1286" s="1">
        <f>IFERROR(VLOOKUP(25712,'PEDIDO 16'!$C$2:$E$230,3,0),0)</f>
        <v>0</v>
      </c>
      <c r="D1286" s="1"/>
      <c r="E1286" s="1"/>
      <c r="F1286" s="1"/>
      <c r="G1286" s="18">
        <f t="shared" si="31"/>
        <v>0</v>
      </c>
    </row>
    <row r="1287" spans="1:7" ht="15.75" x14ac:dyDescent="0.25">
      <c r="A1287" s="15" t="str">
        <f>'PEDIDO 16'!$B$2</f>
        <v>Manduri-Katia Francisca Zafalao - Me</v>
      </c>
      <c r="B1287" s="12" t="s">
        <v>469</v>
      </c>
      <c r="C1287" s="1">
        <f>IFERROR(VLOOKUP(25713,'PEDIDO 16'!$C$2:$E$230,3,0),0)</f>
        <v>0</v>
      </c>
      <c r="D1287" s="1"/>
      <c r="E1287" s="1"/>
      <c r="F1287" s="1"/>
      <c r="G1287" s="18">
        <f t="shared" si="31"/>
        <v>0</v>
      </c>
    </row>
    <row r="1288" spans="1:7" ht="15.75" x14ac:dyDescent="0.25">
      <c r="A1288" s="15" t="str">
        <f>'PEDIDO 16'!$B$2</f>
        <v>Manduri-Katia Francisca Zafalao - Me</v>
      </c>
      <c r="B1288" s="12" t="s">
        <v>470</v>
      </c>
      <c r="C1288" s="1">
        <f>IFERROR(VLOOKUP(1260,'PEDIDO 16'!$C$2:$E$230,3,0),0)</f>
        <v>0</v>
      </c>
      <c r="D1288" s="1"/>
      <c r="E1288" s="1"/>
      <c r="F1288" s="1"/>
      <c r="G1288" s="18">
        <f t="shared" si="31"/>
        <v>0</v>
      </c>
    </row>
    <row r="1289" spans="1:7" ht="15.75" x14ac:dyDescent="0.25">
      <c r="A1289" s="15" t="str">
        <f>'PEDIDO 16'!$B$2</f>
        <v>Manduri-Katia Francisca Zafalao - Me</v>
      </c>
      <c r="B1289" s="12" t="s">
        <v>471</v>
      </c>
      <c r="C1289" s="1">
        <f>IFERROR(VLOOKUP(1261,'PEDIDO 16'!$C$2:$E$230,3,0),0)</f>
        <v>0</v>
      </c>
      <c r="D1289" s="1"/>
      <c r="E1289" s="1"/>
      <c r="F1289" s="1"/>
      <c r="G1289" s="18">
        <f t="shared" si="31"/>
        <v>0</v>
      </c>
    </row>
    <row r="1290" spans="1:7" ht="15.75" x14ac:dyDescent="0.25">
      <c r="A1290" s="15" t="str">
        <f>'PEDIDO 16'!$B$2</f>
        <v>Manduri-Katia Francisca Zafalao - Me</v>
      </c>
      <c r="B1290" s="12" t="s">
        <v>472</v>
      </c>
      <c r="C1290" s="1">
        <f>IFERROR(VLOOKUP(1262,'PEDIDO 16'!$C$2:$E$230,3,0),0)</f>
        <v>0</v>
      </c>
      <c r="D1290" s="1"/>
      <c r="E1290" s="1"/>
      <c r="F1290" s="1"/>
      <c r="G1290" s="18">
        <f t="shared" si="31"/>
        <v>0</v>
      </c>
    </row>
    <row r="1291" spans="1:7" ht="15.75" x14ac:dyDescent="0.25">
      <c r="A1291" s="15" t="str">
        <f>'PEDIDO 16'!$B$2</f>
        <v>Manduri-Katia Francisca Zafalao - Me</v>
      </c>
      <c r="B1291" s="12" t="s">
        <v>473</v>
      </c>
      <c r="C1291" s="1">
        <f>IFERROR(VLOOKUP(1263,'PEDIDO 16'!$C$2:$E$230,3,0),0)</f>
        <v>0</v>
      </c>
      <c r="D1291" s="1"/>
      <c r="E1291" s="1"/>
      <c r="F1291" s="1"/>
      <c r="G1291" s="18">
        <f t="shared" si="31"/>
        <v>0</v>
      </c>
    </row>
    <row r="1292" spans="1:7" ht="15.75" x14ac:dyDescent="0.25">
      <c r="A1292" s="15" t="str">
        <f>'PEDIDO 16'!$B$2</f>
        <v>Manduri-Katia Francisca Zafalao - Me</v>
      </c>
      <c r="B1292" s="12" t="s">
        <v>474</v>
      </c>
      <c r="C1292" s="1">
        <f>IFERROR(VLOOKUP(1264,'PEDIDO 16'!$C$2:$E$230,3,0),0)</f>
        <v>0</v>
      </c>
      <c r="D1292" s="1"/>
      <c r="E1292" s="1"/>
      <c r="F1292" s="1"/>
      <c r="G1292" s="18">
        <f t="shared" si="31"/>
        <v>0</v>
      </c>
    </row>
    <row r="1293" spans="1:7" ht="15.75" x14ac:dyDescent="0.25">
      <c r="A1293" s="15" t="str">
        <f>'PEDIDO 16'!$B$2</f>
        <v>Manduri-Katia Francisca Zafalao - Me</v>
      </c>
      <c r="B1293" s="12" t="s">
        <v>475</v>
      </c>
      <c r="C1293" s="1">
        <f>IFERROR(VLOOKUP(1265,'PEDIDO 16'!$C$2:$E$230,3,0),0)</f>
        <v>0</v>
      </c>
      <c r="D1293" s="1"/>
      <c r="E1293" s="1"/>
      <c r="F1293" s="1"/>
      <c r="G1293" s="18">
        <f t="shared" si="31"/>
        <v>0</v>
      </c>
    </row>
    <row r="1294" spans="1:7" ht="15.75" x14ac:dyDescent="0.25">
      <c r="A1294" s="15" t="str">
        <f>'PEDIDO 16'!$B$2</f>
        <v>Manduri-Katia Francisca Zafalao - Me</v>
      </c>
      <c r="B1294" s="12" t="s">
        <v>476</v>
      </c>
      <c r="C1294" s="1">
        <f>IFERROR(VLOOKUP(1266,'PEDIDO 16'!$C$2:$E$230,3,0),0)</f>
        <v>0</v>
      </c>
      <c r="D1294" s="1"/>
      <c r="E1294" s="1"/>
      <c r="F1294" s="1"/>
      <c r="G1294" s="18">
        <f t="shared" si="31"/>
        <v>0</v>
      </c>
    </row>
    <row r="1295" spans="1:7" ht="15.75" x14ac:dyDescent="0.25">
      <c r="A1295" s="15" t="str">
        <f>'PEDIDO 16'!$B$2</f>
        <v>Manduri-Katia Francisca Zafalao - Me</v>
      </c>
      <c r="B1295" s="12" t="s">
        <v>477</v>
      </c>
      <c r="C1295" s="1">
        <f>IFERROR(VLOOKUP(1268,'PEDIDO 16'!$C$2:$E$230,3,0),0)</f>
        <v>0</v>
      </c>
      <c r="D1295" s="1">
        <f>IFERROR(VLOOKUP(1269,'PEDIDO 16'!$C$2:$E$230,3,0),0)</f>
        <v>0</v>
      </c>
      <c r="E1295" s="1">
        <f>IFERROR(VLOOKUP(1270,'PEDIDO 16'!$C$2:$E$230,3,0),0)</f>
        <v>0</v>
      </c>
      <c r="F1295" s="1">
        <f>IFERROR(VLOOKUP(1271,'PEDIDO 16'!$C$2:$E$230,3,0),0)</f>
        <v>0</v>
      </c>
      <c r="G1295" s="18">
        <f>SUM(C1295+D1295+E1295+F1295)</f>
        <v>0</v>
      </c>
    </row>
    <row r="1296" spans="1:7" x14ac:dyDescent="0.25">
      <c r="A1296" s="17"/>
      <c r="B1296" s="13"/>
      <c r="C1296" s="13"/>
      <c r="D1296" s="13"/>
      <c r="E1296" s="13"/>
      <c r="F1296" s="13"/>
      <c r="G1296" s="13"/>
    </row>
    <row r="1297" spans="1:7" x14ac:dyDescent="0.25">
      <c r="A1297" s="17"/>
      <c r="B1297" s="13"/>
      <c r="C1297" s="13"/>
      <c r="D1297" s="13"/>
      <c r="E1297" s="13"/>
      <c r="F1297" s="13"/>
      <c r="G1297" s="13"/>
    </row>
    <row r="1298" spans="1:7" ht="15.75" x14ac:dyDescent="0.25">
      <c r="A1298" s="15" t="str">
        <f>'PEDIDO 17'!$B$2</f>
        <v>Bernardino De Campos-Cogo E Poma Cia Ltda</v>
      </c>
      <c r="B1298" s="12" t="s">
        <v>399</v>
      </c>
      <c r="C1298" s="1">
        <f>IFERROR(VLOOKUP(1,'PEDIDO 17'!$C$2:$E$230,3,0),0)</f>
        <v>0</v>
      </c>
      <c r="D1298" s="1">
        <f>IFERROR(VLOOKUP(2,'PEDIDO 17'!$C$2:$E$230,3,0),0)</f>
        <v>0</v>
      </c>
      <c r="E1298" s="1">
        <f>IFERROR(VLOOKUP(3,'PEDIDO 17'!$C$2:$E$230,3,0),0)</f>
        <v>0</v>
      </c>
      <c r="F1298" s="1">
        <f>IFERROR(VLOOKUP(282,'PEDIDO 17'!$C$2:$E$230,3,0),0)</f>
        <v>0</v>
      </c>
      <c r="G1298" s="18">
        <f>SUM(C1298+D1298+E1298+F1298)</f>
        <v>0</v>
      </c>
    </row>
    <row r="1299" spans="1:7" ht="15.75" x14ac:dyDescent="0.25">
      <c r="A1299" s="15" t="str">
        <f>'PEDIDO 17'!$B$2</f>
        <v>Bernardino De Campos-Cogo E Poma Cia Ltda</v>
      </c>
      <c r="B1299" s="12" t="s">
        <v>400</v>
      </c>
      <c r="C1299" s="1">
        <f>IFERROR(VLOOKUP(5,'PEDIDO 17'!$C$2:$E$230,3,0),0)</f>
        <v>0</v>
      </c>
      <c r="D1299" s="1">
        <f>IFERROR(VLOOKUP(6,'PEDIDO 17'!$C$2:$E$230,3,0),0)</f>
        <v>0</v>
      </c>
      <c r="E1299" s="1">
        <f>IFERROR(VLOOKUP(7,'PEDIDO 17'!$C$2:$E$230,3,0),0)</f>
        <v>0</v>
      </c>
      <c r="F1299" s="1">
        <f>IFERROR(VLOOKUP(258,'PEDIDO 17'!$C$2:$E$230,3,0),0)</f>
        <v>0</v>
      </c>
      <c r="G1299" s="18">
        <f t="shared" ref="G1299:G1362" si="32">SUM(C1299+D1299+E1299+F1299)</f>
        <v>0</v>
      </c>
    </row>
    <row r="1300" spans="1:7" ht="15.75" x14ac:dyDescent="0.25">
      <c r="A1300" s="15" t="str">
        <f>'PEDIDO 17'!$B$2</f>
        <v>Bernardino De Campos-Cogo E Poma Cia Ltda</v>
      </c>
      <c r="B1300" s="12" t="s">
        <v>401</v>
      </c>
      <c r="C1300" s="1">
        <f>IFERROR(VLOOKUP(13,'PEDIDO 17'!$C$2:$E$230,3,0),0)</f>
        <v>0</v>
      </c>
      <c r="D1300" s="1">
        <f>IFERROR(VLOOKUP(14,'PEDIDO 17'!$C$2:$E$230,3,0),0)</f>
        <v>0</v>
      </c>
      <c r="E1300" s="1">
        <f>IFERROR(VLOOKUP(15,'PEDIDO 17'!$C$2:$E$230,3,0),0)</f>
        <v>0</v>
      </c>
      <c r="F1300" s="1">
        <f>IFERROR(VLOOKUP(289,'PEDIDO 17'!$C$2:$E$230,3,0),0)</f>
        <v>0</v>
      </c>
      <c r="G1300" s="18">
        <f t="shared" si="32"/>
        <v>0</v>
      </c>
    </row>
    <row r="1301" spans="1:7" ht="15.75" x14ac:dyDescent="0.25">
      <c r="A1301" s="15" t="str">
        <f>'PEDIDO 17'!$B$2</f>
        <v>Bernardino De Campos-Cogo E Poma Cia Ltda</v>
      </c>
      <c r="B1301" s="12" t="s">
        <v>402</v>
      </c>
      <c r="C1301" s="1">
        <f>IFERROR(VLOOKUP(267,'PEDIDO 17'!$C$2:$E$230,3,0),0)</f>
        <v>0</v>
      </c>
      <c r="D1301" s="1">
        <f>IFERROR(VLOOKUP(268,'PEDIDO 17'!$C$2:$E$230,3,0),0)</f>
        <v>0</v>
      </c>
      <c r="E1301" s="1">
        <f>IFERROR(VLOOKUP(270,'PEDIDO 17'!$C$2:$E$230,3,0),0)</f>
        <v>0</v>
      </c>
      <c r="F1301" s="1">
        <f>IFERROR(VLOOKUP(269,'PEDIDO 17'!$C$2:$E$230,3,0),0)</f>
        <v>0</v>
      </c>
      <c r="G1301" s="18">
        <f t="shared" si="32"/>
        <v>0</v>
      </c>
    </row>
    <row r="1302" spans="1:7" ht="15.75" x14ac:dyDescent="0.25">
      <c r="A1302" s="15" t="str">
        <f>'PEDIDO 17'!$B$2</f>
        <v>Bernardino De Campos-Cogo E Poma Cia Ltda</v>
      </c>
      <c r="B1302" s="12" t="s">
        <v>403</v>
      </c>
      <c r="C1302" s="1">
        <f>IFERROR(VLOOKUP(17,'PEDIDO 17'!$C$2:$E$230,3,0),0)</f>
        <v>0</v>
      </c>
      <c r="D1302" s="1">
        <f>IFERROR(VLOOKUP(18,'PEDIDO 17'!$C$2:$E$230,3,0),0)</f>
        <v>0</v>
      </c>
      <c r="E1302" s="1">
        <f>IFERROR(VLOOKUP(19,'PEDIDO 17'!$C$2:$E$230,3,0),0)</f>
        <v>0</v>
      </c>
      <c r="F1302" s="1">
        <f>IFERROR(VLOOKUP(290,'PEDIDO 17'!$C$2:$E$230,3,0),0)</f>
        <v>0</v>
      </c>
      <c r="G1302" s="18">
        <f t="shared" si="32"/>
        <v>0</v>
      </c>
    </row>
    <row r="1303" spans="1:7" ht="15.75" x14ac:dyDescent="0.25">
      <c r="A1303" s="15" t="str">
        <f>'PEDIDO 17'!$B$2</f>
        <v>Bernardino De Campos-Cogo E Poma Cia Ltda</v>
      </c>
      <c r="B1303" s="12" t="s">
        <v>404</v>
      </c>
      <c r="C1303" s="1">
        <f>IFERROR(VLOOKUP(23,'PEDIDO 17'!$C$2:$E$230,3,0),0)</f>
        <v>0</v>
      </c>
      <c r="D1303" s="1">
        <f>IFERROR(VLOOKUP(24,'PEDIDO 17'!$C$2:$E$230,3,0),0)</f>
        <v>0</v>
      </c>
      <c r="E1303" s="1">
        <f>IFERROR(VLOOKUP(25,'PEDIDO 17'!$C$2:$E$230,3,0),0)</f>
        <v>0</v>
      </c>
      <c r="F1303" s="1">
        <f>IFERROR(VLOOKUP(291,'PEDIDO 17'!$C$2:$E$230,3,0),0)</f>
        <v>0</v>
      </c>
      <c r="G1303" s="18">
        <f t="shared" si="32"/>
        <v>0</v>
      </c>
    </row>
    <row r="1304" spans="1:7" ht="15.75" x14ac:dyDescent="0.25">
      <c r="A1304" s="15" t="str">
        <f>'PEDIDO 17'!$B$2</f>
        <v>Bernardino De Campos-Cogo E Poma Cia Ltda</v>
      </c>
      <c r="B1304" s="12" t="s">
        <v>405</v>
      </c>
      <c r="C1304" s="1">
        <f>IFERROR(VLOOKUP(27,'PEDIDO 17'!$C$2:$E$230,3,0),0)</f>
        <v>0</v>
      </c>
      <c r="D1304" s="1">
        <f>IFERROR(VLOOKUP(28,'PEDIDO 17'!$C$2:$E$230,3,0),0)</f>
        <v>0</v>
      </c>
      <c r="E1304" s="1">
        <f>IFERROR(VLOOKUP(29,'PEDIDO 17'!$C$2:$E$230,3,0),0)</f>
        <v>0</v>
      </c>
      <c r="F1304" s="1">
        <f>IFERROR(VLOOKUP(292,'PEDIDO 17'!$C$2:$E$230,3,0),0)</f>
        <v>0</v>
      </c>
      <c r="G1304" s="18">
        <f t="shared" si="32"/>
        <v>0</v>
      </c>
    </row>
    <row r="1305" spans="1:7" ht="15.75" x14ac:dyDescent="0.25">
      <c r="A1305" s="15" t="str">
        <f>'PEDIDO 17'!$B$2</f>
        <v>Bernardino De Campos-Cogo E Poma Cia Ltda</v>
      </c>
      <c r="B1305" s="12" t="s">
        <v>406</v>
      </c>
      <c r="C1305" s="1">
        <f>IFERROR(VLOOKUP(227,'PEDIDO 17'!$C$2:$E$230,3,0),0)</f>
        <v>0</v>
      </c>
      <c r="D1305" s="1">
        <f>IFERROR(VLOOKUP(228,'PEDIDO 17'!$C$2:$E$230,3,0),0)</f>
        <v>0</v>
      </c>
      <c r="E1305" s="1">
        <f>IFERROR(VLOOKUP(229,'PEDIDO 17'!$C$2:$E$230,3,0),0)</f>
        <v>0</v>
      </c>
      <c r="F1305" s="1">
        <f>IFERROR(VLOOKUP(230,'PEDIDO 17'!$C$2:$E$230,3,0),0)</f>
        <v>0</v>
      </c>
      <c r="G1305" s="18">
        <f t="shared" si="32"/>
        <v>0</v>
      </c>
    </row>
    <row r="1306" spans="1:7" ht="15.75" x14ac:dyDescent="0.25">
      <c r="A1306" s="15" t="str">
        <f>'PEDIDO 17'!$B$2</f>
        <v>Bernardino De Campos-Cogo E Poma Cia Ltda</v>
      </c>
      <c r="B1306" s="12" t="s">
        <v>407</v>
      </c>
      <c r="C1306" s="1">
        <f>IFERROR(VLOOKUP(231,'PEDIDO 17'!$C$2:$E$230,3,0),0)</f>
        <v>0</v>
      </c>
      <c r="D1306" s="1">
        <f>IFERROR(VLOOKUP(232,'PEDIDO 17'!$C$2:$E$230,3,0),0)</f>
        <v>0</v>
      </c>
      <c r="E1306" s="1">
        <f>IFERROR(VLOOKUP(234,'PEDIDO 17'!$C$2:$E$230,3,0),0)</f>
        <v>0</v>
      </c>
      <c r="F1306" s="1">
        <f>IFERROR(VLOOKUP(233,'PEDIDO 17'!$C$2:$E$230,3,0),0)</f>
        <v>0</v>
      </c>
      <c r="G1306" s="18">
        <f t="shared" si="32"/>
        <v>0</v>
      </c>
    </row>
    <row r="1307" spans="1:7" ht="15.75" x14ac:dyDescent="0.25">
      <c r="A1307" s="15" t="str">
        <f>'PEDIDO 17'!$B$2</f>
        <v>Bernardino De Campos-Cogo E Poma Cia Ltda</v>
      </c>
      <c r="B1307" s="12" t="s">
        <v>408</v>
      </c>
      <c r="C1307" s="1">
        <f>IFERROR(VLOOKUP(237,'PEDIDO 17'!$C$2:$E$230,3,0),0)</f>
        <v>0</v>
      </c>
      <c r="D1307" s="1">
        <f>IFERROR(VLOOKUP(238,'PEDIDO 17'!$C$2:$E$230,3,0),0)</f>
        <v>0</v>
      </c>
      <c r="E1307" s="1">
        <f>IFERROR(VLOOKUP(240,'PEDIDO 17'!$C$2:$E$230,3,0),0)</f>
        <v>0</v>
      </c>
      <c r="F1307" s="1">
        <f>IFERROR(VLOOKUP(239,'PEDIDO 17'!$C$2:$E$230,3,0),0)</f>
        <v>0</v>
      </c>
      <c r="G1307" s="18">
        <f t="shared" si="32"/>
        <v>0</v>
      </c>
    </row>
    <row r="1308" spans="1:7" ht="15.75" x14ac:dyDescent="0.25">
      <c r="A1308" s="15" t="str">
        <f>'PEDIDO 17'!$B$2</f>
        <v>Bernardino De Campos-Cogo E Poma Cia Ltda</v>
      </c>
      <c r="B1308" s="12" t="s">
        <v>409</v>
      </c>
      <c r="C1308" s="1">
        <f>IFERROR(VLOOKUP(25707,'PEDIDO 17'!$C$2:$E$230,3,0),0)</f>
        <v>0</v>
      </c>
      <c r="D1308" s="1">
        <f>IFERROR(VLOOKUP(25708,'PEDIDO 17'!$C$2:$E$230,3,0),0)</f>
        <v>0</v>
      </c>
      <c r="E1308" s="1">
        <f>IFERROR(VLOOKUP(25710,'PEDIDO 17'!$C$2:$E$230,3,0),0)</f>
        <v>0</v>
      </c>
      <c r="F1308" s="1">
        <f>IFERROR(VLOOKUP(25709,'PEDIDO 17'!$C$2:$E$230,3,0),0)</f>
        <v>0</v>
      </c>
      <c r="G1308" s="18">
        <f t="shared" si="32"/>
        <v>0</v>
      </c>
    </row>
    <row r="1309" spans="1:7" ht="15.75" x14ac:dyDescent="0.25">
      <c r="A1309" s="15" t="str">
        <f>'PEDIDO 17'!$B$2</f>
        <v>Bernardino De Campos-Cogo E Poma Cia Ltda</v>
      </c>
      <c r="B1309" s="12" t="s">
        <v>410</v>
      </c>
      <c r="C1309" s="1">
        <f>IFERROR(VLOOKUP(25711,'PEDIDO 17'!$C$2:$E$230,3,0),0)</f>
        <v>0</v>
      </c>
      <c r="D1309" s="1"/>
      <c r="E1309" s="1"/>
      <c r="F1309" s="1"/>
      <c r="G1309" s="18">
        <f t="shared" si="32"/>
        <v>0</v>
      </c>
    </row>
    <row r="1310" spans="1:7" ht="15.75" x14ac:dyDescent="0.25">
      <c r="A1310" s="15" t="str">
        <f>'PEDIDO 17'!$B$2</f>
        <v>Bernardino De Campos-Cogo E Poma Cia Ltda</v>
      </c>
      <c r="B1310" s="12" t="s">
        <v>411</v>
      </c>
      <c r="C1310" s="1">
        <f>IFERROR(VLOOKUP(35,'PEDIDO 17'!$C$2:$E$230,3,0),0)</f>
        <v>0</v>
      </c>
      <c r="D1310" s="1">
        <f>IFERROR(VLOOKUP(36,'PEDIDO 17'!$C$2:$E$230,3,0),0)</f>
        <v>0</v>
      </c>
      <c r="E1310" s="1">
        <f>IFERROR(VLOOKUP(37,'PEDIDO 17'!$C$2:$E$230,3,0),0)</f>
        <v>0</v>
      </c>
      <c r="F1310" s="1">
        <f>IFERROR(VLOOKUP(294,'PEDIDO 17'!$C$2:$E$230,3,0),0)</f>
        <v>0</v>
      </c>
      <c r="G1310" s="18">
        <f t="shared" si="32"/>
        <v>0</v>
      </c>
    </row>
    <row r="1311" spans="1:7" ht="15.75" x14ac:dyDescent="0.25">
      <c r="A1311" s="15" t="str">
        <f>'PEDIDO 17'!$B$2</f>
        <v>Bernardino De Campos-Cogo E Poma Cia Ltda</v>
      </c>
      <c r="B1311" s="12" t="s">
        <v>412</v>
      </c>
      <c r="C1311" s="1">
        <f>IFERROR(VLOOKUP(39,'PEDIDO 17'!$C$2:$E$230,3,0),0)</f>
        <v>0</v>
      </c>
      <c r="D1311" s="1">
        <f>IFERROR(VLOOKUP(40,'PEDIDO 17'!$C$2:$E$230,3,0),0)</f>
        <v>0</v>
      </c>
      <c r="E1311" s="1">
        <f>IFERROR(VLOOKUP(42,'PEDIDO 17'!$C$2:$E$230,3,0),0)</f>
        <v>0</v>
      </c>
      <c r="F1311" s="1">
        <f>IFERROR(VLOOKUP(295,'PEDIDO 17'!$C$2:$E$230,3,0),0)</f>
        <v>0</v>
      </c>
      <c r="G1311" s="18">
        <f t="shared" si="32"/>
        <v>0</v>
      </c>
    </row>
    <row r="1312" spans="1:7" ht="15.75" x14ac:dyDescent="0.25">
      <c r="A1312" s="15" t="str">
        <f>'PEDIDO 17'!$B$2</f>
        <v>Bernardino De Campos-Cogo E Poma Cia Ltda</v>
      </c>
      <c r="B1312" s="12" t="s">
        <v>413</v>
      </c>
      <c r="C1312" s="1">
        <f>IFERROR(VLOOKUP(44,'PEDIDO 17'!$C$2:$E$230,3,0),0)</f>
        <v>0</v>
      </c>
      <c r="D1312" s="1">
        <f>IFERROR(VLOOKUP(45,'PEDIDO 17'!$C$2:$E$230,3,0),0)</f>
        <v>0</v>
      </c>
      <c r="E1312" s="1">
        <f>IFERROR(VLOOKUP(46,'PEDIDO 17'!$C$2:$E$230,3,0),0)</f>
        <v>0</v>
      </c>
      <c r="F1312" s="1">
        <f>IFERROR(VLOOKUP(283,'PEDIDO 17'!$C$2:$E$230,3,0),0)</f>
        <v>0</v>
      </c>
      <c r="G1312" s="18">
        <f t="shared" si="32"/>
        <v>0</v>
      </c>
    </row>
    <row r="1313" spans="1:7" ht="15.75" x14ac:dyDescent="0.25">
      <c r="A1313" s="15" t="str">
        <f>'PEDIDO 17'!$B$2</f>
        <v>Bernardino De Campos-Cogo E Poma Cia Ltda</v>
      </c>
      <c r="B1313" s="12" t="s">
        <v>414</v>
      </c>
      <c r="C1313" s="1">
        <f>IFERROR(VLOOKUP(48,'PEDIDO 17'!$C$2:$E$230,3,0),0)</f>
        <v>0</v>
      </c>
      <c r="D1313" s="1">
        <f>IFERROR(VLOOKUP(49,'PEDIDO 17'!$C$2:$E$230,3,0),0)</f>
        <v>0</v>
      </c>
      <c r="E1313" s="1">
        <f>IFERROR(VLOOKUP(50,'PEDIDO 17'!$C$2:$E$230,3,0),0)</f>
        <v>0</v>
      </c>
      <c r="F1313" s="1">
        <f>IFERROR(VLOOKUP(298,'PEDIDO 17'!$C$2:$E$230,3,0),0)</f>
        <v>0</v>
      </c>
      <c r="G1313" s="18">
        <f t="shared" si="32"/>
        <v>0</v>
      </c>
    </row>
    <row r="1314" spans="1:7" ht="15.75" x14ac:dyDescent="0.25">
      <c r="A1314" s="15" t="str">
        <f>'PEDIDO 17'!$B$2</f>
        <v>Bernardino De Campos-Cogo E Poma Cia Ltda</v>
      </c>
      <c r="B1314" s="12" t="s">
        <v>415</v>
      </c>
      <c r="C1314" s="1">
        <f>IFERROR(VLOOKUP(52,'PEDIDO 17'!$C$2:$E$230,3,0),0)</f>
        <v>0</v>
      </c>
      <c r="D1314" s="1">
        <f>IFERROR(VLOOKUP(53,'PEDIDO 17'!$C$2:$E$230,3,0),0)</f>
        <v>0</v>
      </c>
      <c r="E1314" s="1">
        <f>IFERROR(VLOOKUP(54,'PEDIDO 17'!$C$2:$E$230,3,0),0)</f>
        <v>0</v>
      </c>
      <c r="F1314" s="1">
        <f>IFERROR(VLOOKUP(299,'PEDIDO 17'!$C$2:$E$230,3,0),0)</f>
        <v>0</v>
      </c>
      <c r="G1314" s="18">
        <f t="shared" si="32"/>
        <v>0</v>
      </c>
    </row>
    <row r="1315" spans="1:7" ht="15.75" x14ac:dyDescent="0.25">
      <c r="A1315" s="15" t="str">
        <f>'PEDIDO 17'!$B$2</f>
        <v>Bernardino De Campos-Cogo E Poma Cia Ltda</v>
      </c>
      <c r="B1315" s="12" t="s">
        <v>416</v>
      </c>
      <c r="C1315" s="1">
        <f>IFERROR(VLOOKUP(56,'PEDIDO 17'!$C$2:$E$230,3,0),0)</f>
        <v>0</v>
      </c>
      <c r="D1315" s="1">
        <f>IFERROR(VLOOKUP(61,'PEDIDO 17'!$C$2:$E$230,3,0),0)</f>
        <v>0</v>
      </c>
      <c r="E1315" s="1">
        <f>IFERROR(VLOOKUP(58,'PEDIDO 17'!$C$2:$E$230,3,0),0)</f>
        <v>0</v>
      </c>
      <c r="F1315" s="1">
        <f>IFERROR(VLOOKUP(300,'PEDIDO 17'!$C$2:$E$230,3,0),0)</f>
        <v>0</v>
      </c>
      <c r="G1315" s="18">
        <f t="shared" si="32"/>
        <v>0</v>
      </c>
    </row>
    <row r="1316" spans="1:7" ht="15.75" x14ac:dyDescent="0.25">
      <c r="A1316" s="15" t="str">
        <f>'PEDIDO 17'!$B$2</f>
        <v>Bernardino De Campos-Cogo E Poma Cia Ltda</v>
      </c>
      <c r="B1316" s="12" t="s">
        <v>417</v>
      </c>
      <c r="C1316" s="1">
        <f>IFERROR(VLOOKUP(60,'PEDIDO 17'!$C$2:$E$230,3,0),0)</f>
        <v>0</v>
      </c>
      <c r="D1316" s="1">
        <f>IFERROR(VLOOKUP(120,'PEDIDO 17'!$C$2:$E$230,3,0),0)</f>
        <v>0</v>
      </c>
      <c r="E1316" s="1">
        <f>IFERROR(VLOOKUP(62,'PEDIDO 17'!$C$2:$E$230,3,0),0)</f>
        <v>0</v>
      </c>
      <c r="F1316" s="1">
        <f>IFERROR(VLOOKUP(301,'PEDIDO 17'!$C$2:$E$230,3,0),0)</f>
        <v>0</v>
      </c>
      <c r="G1316" s="18">
        <f t="shared" si="32"/>
        <v>0</v>
      </c>
    </row>
    <row r="1317" spans="1:7" ht="15.75" x14ac:dyDescent="0.25">
      <c r="A1317" s="15" t="str">
        <f>'PEDIDO 17'!$B$2</f>
        <v>Bernardino De Campos-Cogo E Poma Cia Ltda</v>
      </c>
      <c r="B1317" s="12" t="s">
        <v>426</v>
      </c>
      <c r="C1317" s="1">
        <f>IFERROR(VLOOKUP(112,'PEDIDO 17'!$C$2:$E$230,3,0),0)</f>
        <v>0</v>
      </c>
      <c r="D1317" s="1">
        <f>IFERROR(VLOOKUP(113,'PEDIDO 17'!$C$2:$E$230,3,0),0)</f>
        <v>0</v>
      </c>
      <c r="E1317" s="1">
        <f>IFERROR(VLOOKUP(114,'PEDIDO 17'!$C$2:$E$230,3,0),0)</f>
        <v>0</v>
      </c>
      <c r="F1317" s="1">
        <f>IFERROR(VLOOKUP(296,'PEDIDO 17'!$C$2:$E$230,3,0),0)</f>
        <v>0</v>
      </c>
      <c r="G1317" s="18">
        <f t="shared" si="32"/>
        <v>0</v>
      </c>
    </row>
    <row r="1318" spans="1:7" ht="15.75" x14ac:dyDescent="0.25">
      <c r="A1318" s="15" t="str">
        <f>'PEDIDO 17'!$B$2</f>
        <v>Bernardino De Campos-Cogo E Poma Cia Ltda</v>
      </c>
      <c r="B1318" s="12" t="s">
        <v>427</v>
      </c>
      <c r="C1318" s="1">
        <f>IFERROR(VLOOKUP(116,'PEDIDO 17'!$C$2:$E$230,3,0),0)</f>
        <v>0</v>
      </c>
      <c r="D1318" s="1">
        <f>IFERROR(VLOOKUP(117,'PEDIDO 17'!$C$2:$E$230,3,0),0)</f>
        <v>0</v>
      </c>
      <c r="E1318" s="1">
        <f>IFERROR(VLOOKUP(118,'PEDIDO 17'!$C$2:$E$230,3,0),0)</f>
        <v>0</v>
      </c>
      <c r="F1318" s="1">
        <f>IFERROR(VLOOKUP(293,'PEDIDO 17'!$C$2:$E$230,3,0),0)</f>
        <v>0</v>
      </c>
      <c r="G1318" s="18">
        <f t="shared" si="32"/>
        <v>0</v>
      </c>
    </row>
    <row r="1319" spans="1:7" ht="15.75" x14ac:dyDescent="0.25">
      <c r="A1319" s="15" t="str">
        <f>'PEDIDO 17'!$B$2</f>
        <v>Bernardino De Campos-Cogo E Poma Cia Ltda</v>
      </c>
      <c r="B1319" s="12" t="s">
        <v>418</v>
      </c>
      <c r="C1319" s="1">
        <f>IFERROR(VLOOKUP(963,'PEDIDO 17'!$C$2:$E$230,3,0),0)</f>
        <v>0</v>
      </c>
      <c r="D1319" s="1">
        <f>IFERROR(VLOOKUP(965,'PEDIDO 17'!$C$2:$E$230,3,0),0)</f>
        <v>0</v>
      </c>
      <c r="E1319" s="1">
        <f>IFERROR(VLOOKUP(966,'PEDIDO 17'!$C$2:$E$230,3,0),0)</f>
        <v>0</v>
      </c>
      <c r="F1319" s="1">
        <f>IFERROR(VLOOKUP(964,'PEDIDO 17'!$C$2:$E$230,3,0),0)</f>
        <v>0</v>
      </c>
      <c r="G1319" s="18">
        <f t="shared" si="32"/>
        <v>0</v>
      </c>
    </row>
    <row r="1320" spans="1:7" ht="15.75" x14ac:dyDescent="0.25">
      <c r="A1320" s="15" t="str">
        <f>'PEDIDO 17'!$B$2</f>
        <v>Bernardino De Campos-Cogo E Poma Cia Ltda</v>
      </c>
      <c r="B1320" s="12" t="s">
        <v>419</v>
      </c>
      <c r="C1320" s="1">
        <f>IFERROR(VLOOKUP(2042,'PEDIDO 17'!$C$2:$E$230,3,0),0)</f>
        <v>0</v>
      </c>
      <c r="D1320" s="1">
        <f>IFERROR(VLOOKUP(2041,'PEDIDO 17'!$C$2:$E$230,3,0),0)</f>
        <v>0</v>
      </c>
      <c r="E1320" s="1">
        <f>IFERROR(VLOOKUP(2043,'PEDIDO 17'!$C$2:$E$230,3,0),0)</f>
        <v>0</v>
      </c>
      <c r="F1320" s="1">
        <f>IFERROR(VLOOKUP(2040,'PEDIDO 17'!$C$2:$E$230,3,0),0)</f>
        <v>0</v>
      </c>
      <c r="G1320" s="18">
        <f t="shared" si="32"/>
        <v>0</v>
      </c>
    </row>
    <row r="1321" spans="1:7" ht="15.75" x14ac:dyDescent="0.25">
      <c r="A1321" s="15" t="str">
        <f>'PEDIDO 17'!$B$2</f>
        <v>Bernardino De Campos-Cogo E Poma Cia Ltda</v>
      </c>
      <c r="B1321" s="12" t="s">
        <v>420</v>
      </c>
      <c r="C1321" s="1">
        <f>IFERROR(VLOOKUP(2045,'PEDIDO 17'!$C$2:$E$230,3,0),0)</f>
        <v>0</v>
      </c>
      <c r="D1321" s="1">
        <f>IFERROR(VLOOKUP(2046,'PEDIDO 17'!$C$2:$E$230,3,0),0)</f>
        <v>0</v>
      </c>
      <c r="E1321" s="1">
        <f>IFERROR(VLOOKUP(2047,'PEDIDO 17'!$C$2:$E$230,3,0),0)</f>
        <v>0</v>
      </c>
      <c r="F1321" s="1">
        <f>IFERROR(VLOOKUP(2048,'PEDIDO 17'!$C$2:$E$230,3,0),0)</f>
        <v>0</v>
      </c>
      <c r="G1321" s="18">
        <f t="shared" si="32"/>
        <v>0</v>
      </c>
    </row>
    <row r="1322" spans="1:7" ht="15.75" x14ac:dyDescent="0.25">
      <c r="A1322" s="15" t="str">
        <f>'PEDIDO 17'!$B$2</f>
        <v>Bernardino De Campos-Cogo E Poma Cia Ltda</v>
      </c>
      <c r="B1322" s="12" t="s">
        <v>421</v>
      </c>
      <c r="C1322" s="1">
        <f>IFERROR(VLOOKUP(2050,'PEDIDO 17'!$C$2:$E$230,3,0),0)</f>
        <v>0</v>
      </c>
      <c r="D1322" s="1">
        <f>IFERROR(VLOOKUP(2051,'PEDIDO 17'!$C$2:$E$230,3,0),0)</f>
        <v>0</v>
      </c>
      <c r="E1322" s="1">
        <f>IFERROR(VLOOKUP(2052,'PEDIDO 17'!$C$2:$E$230,3,0),0)</f>
        <v>0</v>
      </c>
      <c r="F1322" s="1">
        <f>IFERROR(VLOOKUP(2053,'PEDIDO 17'!$C$2:$E$230,3,0),0)</f>
        <v>0</v>
      </c>
      <c r="G1322" s="18">
        <f t="shared" si="32"/>
        <v>0</v>
      </c>
    </row>
    <row r="1323" spans="1:7" ht="15.75" x14ac:dyDescent="0.25">
      <c r="A1323" s="15" t="str">
        <f>'PEDIDO 17'!$B$2</f>
        <v>Bernardino De Campos-Cogo E Poma Cia Ltda</v>
      </c>
      <c r="B1323" s="12" t="s">
        <v>422</v>
      </c>
      <c r="C1323" s="1">
        <f>IFERROR(VLOOKUP(216,'PEDIDO 17'!$C$2:$E$230,3,0),0)</f>
        <v>0</v>
      </c>
      <c r="D1323" s="1">
        <f>IFERROR(VLOOKUP(217,'PEDIDO 17'!$C$2:$E$230,3,0),0)</f>
        <v>0</v>
      </c>
      <c r="E1323" s="1">
        <f>IFERROR(VLOOKUP(218,'PEDIDO 17'!$C$2:$E$230,3,0),0)</f>
        <v>0</v>
      </c>
      <c r="F1323" s="1">
        <f>IFERROR(VLOOKUP(305,'PEDIDO 17'!$C$2:$E$230,3,0),0)</f>
        <v>0</v>
      </c>
      <c r="G1323" s="18">
        <f t="shared" si="32"/>
        <v>0</v>
      </c>
    </row>
    <row r="1324" spans="1:7" ht="15.75" x14ac:dyDescent="0.25">
      <c r="A1324" s="15" t="str">
        <f>'PEDIDO 17'!$B$2</f>
        <v>Bernardino De Campos-Cogo E Poma Cia Ltda</v>
      </c>
      <c r="B1324" s="12" t="s">
        <v>423</v>
      </c>
      <c r="C1324" s="1">
        <f>IFERROR(VLOOKUP(100,'PEDIDO 17'!$C$2:$E$230,3,0),0)</f>
        <v>0</v>
      </c>
      <c r="D1324" s="1">
        <f>IFERROR(VLOOKUP(101,'PEDIDO 17'!$C$2:$E$230,3,0),0)</f>
        <v>0</v>
      </c>
      <c r="E1324" s="1">
        <f>IFERROR(VLOOKUP(102,'PEDIDO 17'!$C$2:$E$230,3,0),0)</f>
        <v>0</v>
      </c>
      <c r="F1324" s="1">
        <f>IFERROR(VLOOKUP(306,'PEDIDO 17'!$C$2:$E$230,3,0),0)</f>
        <v>0</v>
      </c>
      <c r="G1324" s="18">
        <f t="shared" si="32"/>
        <v>0</v>
      </c>
    </row>
    <row r="1325" spans="1:7" ht="15.75" x14ac:dyDescent="0.25">
      <c r="A1325" s="15" t="str">
        <f>'PEDIDO 17'!$B$2</f>
        <v>Bernardino De Campos-Cogo E Poma Cia Ltda</v>
      </c>
      <c r="B1325" s="12" t="s">
        <v>424</v>
      </c>
      <c r="C1325" s="1">
        <f>IFERROR(VLOOKUP(104,'PEDIDO 17'!$C$2:$E$230,3,0),0)</f>
        <v>0</v>
      </c>
      <c r="D1325" s="1">
        <f>IFERROR(VLOOKUP(105,'PEDIDO 17'!$C$2:$E$230,3,0),0)</f>
        <v>0</v>
      </c>
      <c r="E1325" s="1">
        <f>IFERROR(VLOOKUP(106,'PEDIDO 17'!$C$2:$E$230,3,0),0)</f>
        <v>0</v>
      </c>
      <c r="F1325" s="1">
        <f>IFERROR(VLOOKUP(307,'PEDIDO 17'!$C$2:$E$230,3,0),0)</f>
        <v>0</v>
      </c>
      <c r="G1325" s="18">
        <f t="shared" si="32"/>
        <v>0</v>
      </c>
    </row>
    <row r="1326" spans="1:7" ht="15.75" x14ac:dyDescent="0.25">
      <c r="A1326" s="15" t="str">
        <f>'PEDIDO 17'!$B$2</f>
        <v>Bernardino De Campos-Cogo E Poma Cia Ltda</v>
      </c>
      <c r="B1326" s="12" t="s">
        <v>425</v>
      </c>
      <c r="C1326" s="1">
        <f>IFERROR(VLOOKUP(400,'PEDIDO 17'!$C$2:$E$230,3,0),0)</f>
        <v>0</v>
      </c>
      <c r="D1326" s="1">
        <f>IFERROR(VLOOKUP(401,'PEDIDO 17'!$C$2:$E$230,3,0),0)</f>
        <v>0</v>
      </c>
      <c r="E1326" s="1">
        <f>IFERROR(VLOOKUP(402,'PEDIDO 17'!$C$2:$E$230,3,0),0)</f>
        <v>0</v>
      </c>
      <c r="F1326" s="1">
        <f>IFERROR(VLOOKUP(403,'PEDIDO 17'!$C$2:$E$230,3,0),0)</f>
        <v>0</v>
      </c>
      <c r="G1326" s="18">
        <f t="shared" si="32"/>
        <v>0</v>
      </c>
    </row>
    <row r="1327" spans="1:7" ht="15.75" x14ac:dyDescent="0.25">
      <c r="A1327" s="15" t="str">
        <f>'PEDIDO 17'!$B$2</f>
        <v>Bernardino De Campos-Cogo E Poma Cia Ltda</v>
      </c>
      <c r="B1327" s="12" t="s">
        <v>428</v>
      </c>
      <c r="C1327" s="1">
        <f>IFERROR(VLOOKUP(22,'PEDIDO 17'!$C$2:$E$230,3,0),0)</f>
        <v>0</v>
      </c>
      <c r="D1327" s="1"/>
      <c r="E1327" s="1"/>
      <c r="F1327" s="1"/>
      <c r="G1327" s="18">
        <f t="shared" si="32"/>
        <v>0</v>
      </c>
    </row>
    <row r="1328" spans="1:7" ht="15.75" x14ac:dyDescent="0.25">
      <c r="A1328" s="15" t="str">
        <f>'PEDIDO 17'!$B$2</f>
        <v>Bernardino De Campos-Cogo E Poma Cia Ltda</v>
      </c>
      <c r="B1328" s="12" t="s">
        <v>429</v>
      </c>
      <c r="C1328" s="1">
        <f>IFERROR(VLOOKUP(21,'PEDIDO 17'!$C$2:$E$230,3,0),0)</f>
        <v>0</v>
      </c>
      <c r="D1328" s="1"/>
      <c r="E1328" s="1"/>
      <c r="F1328" s="1"/>
      <c r="G1328" s="18">
        <f t="shared" si="32"/>
        <v>0</v>
      </c>
    </row>
    <row r="1329" spans="1:7" ht="15.75" x14ac:dyDescent="0.25">
      <c r="A1329" s="15" t="str">
        <f>'PEDIDO 17'!$B$2</f>
        <v>Bernardino De Campos-Cogo E Poma Cia Ltda</v>
      </c>
      <c r="B1329" s="12" t="s">
        <v>430</v>
      </c>
      <c r="C1329" s="1">
        <f>IFERROR(VLOOKUP(1125,'PEDIDO 17'!$C$2:$E$230,3,0),0)</f>
        <v>0</v>
      </c>
      <c r="D1329" s="1">
        <f>IFERROR(VLOOKUP(1126,'PEDIDO 17'!$C$2:$E$230,3,0),0)</f>
        <v>0</v>
      </c>
      <c r="E1329" s="1">
        <f>IFERROR(VLOOKUP(1127,'PEDIDO 17'!$C$2:$E$230,3,0),0)</f>
        <v>0</v>
      </c>
      <c r="F1329" s="1">
        <f>IFERROR(VLOOKUP(1128,'PEDIDO 17'!$C$2:$E$230,3,0),0)</f>
        <v>0</v>
      </c>
      <c r="G1329" s="18">
        <f t="shared" si="32"/>
        <v>0</v>
      </c>
    </row>
    <row r="1330" spans="1:7" ht="15.75" x14ac:dyDescent="0.25">
      <c r="A1330" s="15" t="str">
        <f>'PEDIDO 17'!$B$2</f>
        <v>Bernardino De Campos-Cogo E Poma Cia Ltda</v>
      </c>
      <c r="B1330" s="12" t="s">
        <v>431</v>
      </c>
      <c r="C1330" s="1">
        <f>IFERROR(VLOOKUP(1133,'PEDIDO 17'!$C$2:$E$230,3,0),0)</f>
        <v>0</v>
      </c>
      <c r="D1330" s="1">
        <f>IFERROR(VLOOKUP(1134,'PEDIDO 17'!$C$2:$E$230,3,0),0)</f>
        <v>0</v>
      </c>
      <c r="E1330" s="1">
        <f>IFERROR(VLOOKUP(1135,'PEDIDO 17'!$C$2:$E$230,3,0),0)</f>
        <v>0</v>
      </c>
      <c r="F1330" s="1">
        <f>IFERROR(VLOOKUP(1136,'PEDIDO 17'!$C$2:$E$230,3,0),0)</f>
        <v>0</v>
      </c>
      <c r="G1330" s="18">
        <f t="shared" si="32"/>
        <v>0</v>
      </c>
    </row>
    <row r="1331" spans="1:7" ht="15.75" x14ac:dyDescent="0.25">
      <c r="A1331" s="15" t="str">
        <f>'PEDIDO 17'!$B$2</f>
        <v>Bernardino De Campos-Cogo E Poma Cia Ltda</v>
      </c>
      <c r="B1331" s="12" t="s">
        <v>432</v>
      </c>
      <c r="C1331" s="1">
        <f>IFERROR(VLOOKUP(1105,'PEDIDO 17'!$C$2:$E$230,3,0),0)</f>
        <v>0</v>
      </c>
      <c r="D1331" s="1">
        <f>IFERROR(VLOOKUP(1106,'PEDIDO 17'!$C$2:$E$230,3,0),0)</f>
        <v>0</v>
      </c>
      <c r="E1331" s="1">
        <f>IFERROR(VLOOKUP(1107,'PEDIDO 17'!$C$2:$E$230,3,0),0)</f>
        <v>0</v>
      </c>
      <c r="F1331" s="1">
        <f>IFERROR(VLOOKUP(1108,'PEDIDO 17'!$C$2:$E$230,3,0),0)</f>
        <v>0</v>
      </c>
      <c r="G1331" s="18">
        <f t="shared" si="32"/>
        <v>0</v>
      </c>
    </row>
    <row r="1332" spans="1:7" ht="15.75" x14ac:dyDescent="0.25">
      <c r="A1332" s="15" t="str">
        <f>'PEDIDO 17'!$B$2</f>
        <v>Bernardino De Campos-Cogo E Poma Cia Ltda</v>
      </c>
      <c r="B1332" s="12" t="s">
        <v>433</v>
      </c>
      <c r="C1332" s="1">
        <f>IFERROR(VLOOKUP(1109,'PEDIDO 17'!$C$2:$E$230,3,0),0)</f>
        <v>0</v>
      </c>
      <c r="D1332" s="1">
        <f>IFERROR(VLOOKUP(1110,'PEDIDO 17'!$C$2:$E$230,3,0),0)</f>
        <v>0</v>
      </c>
      <c r="E1332" s="1">
        <f>IFERROR(VLOOKUP(1111,'PEDIDO 17'!$C$2:$E$230,3,0),0)</f>
        <v>0</v>
      </c>
      <c r="F1332" s="1">
        <f>IFERROR(VLOOKUP(1112,'PEDIDO 17'!$C$2:$E$230,3,0),0)</f>
        <v>0</v>
      </c>
      <c r="G1332" s="18">
        <f t="shared" si="32"/>
        <v>0</v>
      </c>
    </row>
    <row r="1333" spans="1:7" ht="15.75" x14ac:dyDescent="0.25">
      <c r="A1333" s="15" t="str">
        <f>'PEDIDO 17'!$B$2</f>
        <v>Bernardino De Campos-Cogo E Poma Cia Ltda</v>
      </c>
      <c r="B1333" s="12" t="s">
        <v>434</v>
      </c>
      <c r="C1333" s="1">
        <f>IFERROR(VLOOKUP(1113,'PEDIDO 17'!$C$2:$E$230,3,0),0)</f>
        <v>0</v>
      </c>
      <c r="D1333" s="1">
        <f>IFERROR(VLOOKUP(1114,'PEDIDO 17'!$C$2:$E$230,3,0),0)</f>
        <v>0</v>
      </c>
      <c r="E1333" s="1">
        <f>IFERROR(VLOOKUP(1115,'PEDIDO 17'!$C$2:$E$230,3,0),0)</f>
        <v>0</v>
      </c>
      <c r="F1333" s="1">
        <f>IFERROR(VLOOKUP(1116,'PEDIDO 17'!$C$2:$E$230,3,0),0)</f>
        <v>0</v>
      </c>
      <c r="G1333" s="18">
        <f t="shared" si="32"/>
        <v>0</v>
      </c>
    </row>
    <row r="1334" spans="1:7" ht="15.75" x14ac:dyDescent="0.25">
      <c r="A1334" s="15" t="str">
        <f>'PEDIDO 17'!$B$2</f>
        <v>Bernardino De Campos-Cogo E Poma Cia Ltda</v>
      </c>
      <c r="B1334" s="12" t="s">
        <v>435</v>
      </c>
      <c r="C1334" s="1">
        <f>IFERROR(VLOOKUP(1117,'PEDIDO 17'!$C$2:$E$230,3,0),0)</f>
        <v>0</v>
      </c>
      <c r="D1334" s="1">
        <f>IFERROR(VLOOKUP(1118,'PEDIDO 17'!$C$2:$E$230,3,0),0)</f>
        <v>0</v>
      </c>
      <c r="E1334" s="1">
        <f>IFERROR(VLOOKUP(1119,'PEDIDO 17'!$C$2:$E$230,3,0),0)</f>
        <v>0</v>
      </c>
      <c r="F1334" s="1">
        <f>IFERROR(VLOOKUP(1120,'PEDIDO 17'!$C$2:$E$230,3,0),0)</f>
        <v>0</v>
      </c>
      <c r="G1334" s="18">
        <f t="shared" si="32"/>
        <v>0</v>
      </c>
    </row>
    <row r="1335" spans="1:7" ht="15.75" x14ac:dyDescent="0.25">
      <c r="A1335" s="15" t="str">
        <f>'PEDIDO 17'!$B$2</f>
        <v>Bernardino De Campos-Cogo E Poma Cia Ltda</v>
      </c>
      <c r="B1335" s="12" t="s">
        <v>436</v>
      </c>
      <c r="C1335" s="1">
        <f>IFERROR(VLOOKUP(1121,'PEDIDO 17'!$C$2:$E$230,3,0),0)</f>
        <v>0</v>
      </c>
      <c r="D1335" s="1">
        <f>IFERROR(VLOOKUP(1122,'PEDIDO 17'!$C$2:$E$230,3,0),0)</f>
        <v>0</v>
      </c>
      <c r="E1335" s="1">
        <f>IFERROR(VLOOKUP(1123,'PEDIDO 17'!$C$2:$E$230,3,0),0)</f>
        <v>0</v>
      </c>
      <c r="F1335" s="1">
        <f>IFERROR(VLOOKUP(1124,'PEDIDO 17'!$C$2:$E$230,3,0),0)</f>
        <v>0</v>
      </c>
      <c r="G1335" s="18">
        <f t="shared" si="32"/>
        <v>0</v>
      </c>
    </row>
    <row r="1336" spans="1:7" ht="15.75" x14ac:dyDescent="0.25">
      <c r="A1336" s="15" t="str">
        <f>'PEDIDO 17'!$B$2</f>
        <v>Bernardino De Campos-Cogo E Poma Cia Ltda</v>
      </c>
      <c r="B1336" s="12" t="s">
        <v>437</v>
      </c>
      <c r="C1336" s="1">
        <f>IFERROR(VLOOKUP(1129,'PEDIDO 17'!$C$2:$E$230,3,0),0)</f>
        <v>0</v>
      </c>
      <c r="D1336" s="1">
        <f>IFERROR(VLOOKUP(1130,'PEDIDO 17'!$C$2:$E$230,3,0),0)</f>
        <v>0</v>
      </c>
      <c r="E1336" s="1">
        <f>IFERROR(VLOOKUP(1131,'PEDIDO 17'!$C$2:$E$230,3,0),0)</f>
        <v>0</v>
      </c>
      <c r="F1336" s="1">
        <f>IFERROR(VLOOKUP(1132,'PEDIDO 17'!$C$2:$E$230,3,0),0)</f>
        <v>0</v>
      </c>
      <c r="G1336" s="18">
        <f t="shared" si="32"/>
        <v>0</v>
      </c>
    </row>
    <row r="1337" spans="1:7" ht="15.75" x14ac:dyDescent="0.25">
      <c r="A1337" s="15" t="str">
        <f>'PEDIDO 17'!$B$2</f>
        <v>Bernardino De Campos-Cogo E Poma Cia Ltda</v>
      </c>
      <c r="B1337" s="12" t="s">
        <v>438</v>
      </c>
      <c r="C1337" s="1">
        <f>IFERROR(VLOOKUP(1137,'PEDIDO 17'!$C$2:$E$230,3,0),0)</f>
        <v>0</v>
      </c>
      <c r="D1337" s="1">
        <f>IFERROR(VLOOKUP(1138,'PEDIDO 17'!$C$2:$E$230,3,0),0)</f>
        <v>0</v>
      </c>
      <c r="E1337" s="1">
        <f>IFERROR(VLOOKUP(1139,'PEDIDO 17'!$C$2:$E$230,3,0),0)</f>
        <v>0</v>
      </c>
      <c r="F1337" s="1">
        <f>IFERROR(VLOOKUP(1140,'PEDIDO 17'!$C$2:$E$230,3,0),0)</f>
        <v>0</v>
      </c>
      <c r="G1337" s="18">
        <f t="shared" si="32"/>
        <v>0</v>
      </c>
    </row>
    <row r="1338" spans="1:7" ht="15.75" x14ac:dyDescent="0.25">
      <c r="A1338" s="15" t="str">
        <f>'PEDIDO 17'!$B$2</f>
        <v>Bernardino De Campos-Cogo E Poma Cia Ltda</v>
      </c>
      <c r="B1338" s="12" t="s">
        <v>439</v>
      </c>
      <c r="C1338" s="1">
        <f>IFERROR(VLOOKUP(1141,'PEDIDO 17'!$C$2:$E$230,3,0),0)</f>
        <v>0</v>
      </c>
      <c r="D1338" s="1">
        <f>IFERROR(VLOOKUP(1142,'PEDIDO 17'!$C$2:$E$230,3,0),0)</f>
        <v>0</v>
      </c>
      <c r="E1338" s="1">
        <f>IFERROR(VLOOKUP(1143,'PEDIDO 17'!$C$2:$E$230,3,0),0)</f>
        <v>0</v>
      </c>
      <c r="F1338" s="1">
        <f>IFERROR(VLOOKUP(1144,'PEDIDO 17'!$C$2:$E$230,3,0),0)</f>
        <v>0</v>
      </c>
      <c r="G1338" s="18">
        <f t="shared" si="32"/>
        <v>0</v>
      </c>
    </row>
    <row r="1339" spans="1:7" ht="15.75" x14ac:dyDescent="0.25">
      <c r="A1339" s="15" t="str">
        <f>'PEDIDO 17'!$B$2</f>
        <v>Bernardino De Campos-Cogo E Poma Cia Ltda</v>
      </c>
      <c r="B1339" s="12" t="s">
        <v>440</v>
      </c>
      <c r="C1339" s="1">
        <f>IFERROR(VLOOKUP(1145,'PEDIDO 17'!$C$2:$E$230,3,0),0)</f>
        <v>0</v>
      </c>
      <c r="D1339" s="1">
        <f>IFERROR(VLOOKUP(1146,'PEDIDO 17'!$C$2:$E$230,3,0),0)</f>
        <v>0</v>
      </c>
      <c r="E1339" s="1">
        <f>IFERROR(VLOOKUP(1147,'PEDIDO 17'!$C$2:$E$230,3,0),0)</f>
        <v>0</v>
      </c>
      <c r="F1339" s="1">
        <f>IFERROR(VLOOKUP(1148,'PEDIDO 17'!$C$2:$E$230,3,0),0)</f>
        <v>0</v>
      </c>
      <c r="G1339" s="18">
        <f t="shared" si="32"/>
        <v>0</v>
      </c>
    </row>
    <row r="1340" spans="1:7" ht="15.75" x14ac:dyDescent="0.25">
      <c r="A1340" s="15" t="str">
        <f>'PEDIDO 17'!$B$2</f>
        <v>Bernardino De Campos-Cogo E Poma Cia Ltda</v>
      </c>
      <c r="B1340" s="12" t="s">
        <v>441</v>
      </c>
      <c r="C1340" s="1">
        <f>IFERROR(VLOOKUP(1149,'PEDIDO 17'!$C$2:$E$230,3,0),0)</f>
        <v>0</v>
      </c>
      <c r="D1340" s="1">
        <f>IFERROR(VLOOKUP(1150,'PEDIDO 17'!$C$2:$E$230,3,0),0)</f>
        <v>0</v>
      </c>
      <c r="E1340" s="1">
        <f>IFERROR(VLOOKUP(1151,'PEDIDO 17'!$C$2:$E$230,3,0),0)</f>
        <v>0</v>
      </c>
      <c r="F1340" s="1">
        <f>IFERROR(VLOOKUP(1152,'PEDIDO 17'!$C$2:$E$230,3,0),0)</f>
        <v>0</v>
      </c>
      <c r="G1340" s="18">
        <f t="shared" si="32"/>
        <v>0</v>
      </c>
    </row>
    <row r="1341" spans="1:7" ht="15.75" x14ac:dyDescent="0.25">
      <c r="A1341" s="15" t="str">
        <f>'PEDIDO 17'!$B$2</f>
        <v>Bernardino De Campos-Cogo E Poma Cia Ltda</v>
      </c>
      <c r="B1341" s="12" t="s">
        <v>442</v>
      </c>
      <c r="C1341" s="1">
        <f>IFERROR(VLOOKUP(1153,'PEDIDO 17'!$C$2:$E$230,3,0),0)</f>
        <v>0</v>
      </c>
      <c r="D1341" s="1">
        <f>IFERROR(VLOOKUP(1154,'PEDIDO 17'!$C$2:$E$230,3,0),0)</f>
        <v>0</v>
      </c>
      <c r="E1341" s="1">
        <f>IFERROR(VLOOKUP(1155,'PEDIDO 17'!$C$2:$E$230,3,0),0)</f>
        <v>0</v>
      </c>
      <c r="F1341" s="1">
        <f>IFERROR(VLOOKUP(1156,'PEDIDO 17'!$C$2:$E$230,3,0),0)</f>
        <v>0</v>
      </c>
      <c r="G1341" s="18">
        <f t="shared" si="32"/>
        <v>0</v>
      </c>
    </row>
    <row r="1342" spans="1:7" ht="15.75" x14ac:dyDescent="0.25">
      <c r="A1342" s="15" t="str">
        <f>'PEDIDO 17'!$B$2</f>
        <v>Bernardino De Campos-Cogo E Poma Cia Ltda</v>
      </c>
      <c r="B1342" s="12" t="s">
        <v>443</v>
      </c>
      <c r="C1342" s="1">
        <f>IFERROR(VLOOKUP(1157,'PEDIDO 17'!$C$2:$E$230,3,0),0)</f>
        <v>0</v>
      </c>
      <c r="D1342" s="1">
        <f>IFERROR(VLOOKUP(1158,'PEDIDO 17'!$C$2:$E$230,3,0),0)</f>
        <v>0</v>
      </c>
      <c r="E1342" s="1">
        <f>IFERROR(VLOOKUP(1159,'PEDIDO 17'!$C$2:$E$230,3,0),0)</f>
        <v>0</v>
      </c>
      <c r="F1342" s="1">
        <f>IFERROR(VLOOKUP(1160,'PEDIDO 17'!$C$2:$E$230,3,0),0)</f>
        <v>0</v>
      </c>
      <c r="G1342" s="18">
        <f t="shared" si="32"/>
        <v>0</v>
      </c>
    </row>
    <row r="1343" spans="1:7" ht="15.75" x14ac:dyDescent="0.25">
      <c r="A1343" s="15" t="str">
        <f>'PEDIDO 17'!$B$2</f>
        <v>Bernardino De Campos-Cogo E Poma Cia Ltda</v>
      </c>
      <c r="B1343" s="12" t="s">
        <v>444</v>
      </c>
      <c r="C1343" s="1">
        <f>IFERROR(VLOOKUP(1161,'PEDIDO 17'!$C$2:$E$230,3,0),0)</f>
        <v>0</v>
      </c>
      <c r="D1343" s="1">
        <f>IFERROR(VLOOKUP(1162,'PEDIDO 17'!$C$2:$E$230,3,0),0)</f>
        <v>0</v>
      </c>
      <c r="E1343" s="1">
        <f>IFERROR(VLOOKUP(1163,'PEDIDO 17'!$C$2:$E$230,3,0),0)</f>
        <v>0</v>
      </c>
      <c r="F1343" s="1">
        <f>IFERROR(VLOOKUP(1164,'PEDIDO 17'!$C$2:$E$230,3,0),0)</f>
        <v>0</v>
      </c>
      <c r="G1343" s="18">
        <f t="shared" si="32"/>
        <v>0</v>
      </c>
    </row>
    <row r="1344" spans="1:7" ht="15.75" x14ac:dyDescent="0.25">
      <c r="A1344" s="15" t="str">
        <f>'PEDIDO 17'!$B$2</f>
        <v>Bernardino De Campos-Cogo E Poma Cia Ltda</v>
      </c>
      <c r="B1344" s="12" t="s">
        <v>445</v>
      </c>
      <c r="C1344" s="1">
        <f>IFERROR(VLOOKUP(1165,'PEDIDO 17'!$C$2:$E$230,3,0),0)</f>
        <v>0</v>
      </c>
      <c r="D1344" s="1">
        <f>IFERROR(VLOOKUP(1166,'PEDIDO 17'!$C$2:$E$230,3,0),0)</f>
        <v>0</v>
      </c>
      <c r="E1344" s="1">
        <f>IFERROR(VLOOKUP(1167,'PEDIDO 17'!$C$2:$E$230,3,0),0)</f>
        <v>0</v>
      </c>
      <c r="F1344" s="1">
        <f>IFERROR(VLOOKUP(1168,'PEDIDO 17'!$C$2:$E$230,3,0),0)</f>
        <v>0</v>
      </c>
      <c r="G1344" s="18">
        <f t="shared" si="32"/>
        <v>0</v>
      </c>
    </row>
    <row r="1345" spans="1:7" ht="15.75" x14ac:dyDescent="0.25">
      <c r="A1345" s="15" t="str">
        <f>'PEDIDO 17'!$B$2</f>
        <v>Bernardino De Campos-Cogo E Poma Cia Ltda</v>
      </c>
      <c r="B1345" s="12" t="s">
        <v>446</v>
      </c>
      <c r="C1345" s="1">
        <f>IFERROR(VLOOKUP(1169,'PEDIDO 17'!$C$2:$E$230,3,0),0)</f>
        <v>0</v>
      </c>
      <c r="D1345" s="1">
        <f>IFERROR(VLOOKUP(1170,'PEDIDO 17'!$C$2:$E$230,3,0),0)</f>
        <v>0</v>
      </c>
      <c r="E1345" s="1">
        <f>IFERROR(VLOOKUP(1171,'PEDIDO 17'!$C$2:$E$230,3,0),0)</f>
        <v>0</v>
      </c>
      <c r="F1345" s="1">
        <f>IFERROR(VLOOKUP(1172,'PEDIDO 17'!$C$2:$E$230,3,0),0)</f>
        <v>0</v>
      </c>
      <c r="G1345" s="18">
        <f t="shared" si="32"/>
        <v>0</v>
      </c>
    </row>
    <row r="1346" spans="1:7" ht="15.75" x14ac:dyDescent="0.25">
      <c r="A1346" s="15" t="str">
        <f>'PEDIDO 17'!$B$2</f>
        <v>Bernardino De Campos-Cogo E Poma Cia Ltda</v>
      </c>
      <c r="B1346" s="12" t="s">
        <v>447</v>
      </c>
      <c r="C1346" s="1">
        <f>IFERROR(VLOOKUP(1173,'PEDIDO 17'!$C$2:$E$230,3,0),0)</f>
        <v>0</v>
      </c>
      <c r="D1346" s="1">
        <f>IFERROR(VLOOKUP(1174,'PEDIDO 17'!$C$2:$E$230,3,0),0)</f>
        <v>0</v>
      </c>
      <c r="E1346" s="1">
        <f>IFERROR(VLOOKUP(1175,'PEDIDO 17'!$C$2:$E$230,3,0),0)</f>
        <v>0</v>
      </c>
      <c r="F1346" s="1">
        <f>IFERROR(VLOOKUP(1176,'PEDIDO 17'!$C$2:$E$230,3,0),0)</f>
        <v>0</v>
      </c>
      <c r="G1346" s="18">
        <f t="shared" si="32"/>
        <v>0</v>
      </c>
    </row>
    <row r="1347" spans="1:7" ht="15.75" x14ac:dyDescent="0.25">
      <c r="A1347" s="15" t="str">
        <f>'PEDIDO 17'!$B$2</f>
        <v>Bernardino De Campos-Cogo E Poma Cia Ltda</v>
      </c>
      <c r="B1347" s="12" t="s">
        <v>448</v>
      </c>
      <c r="C1347" s="1">
        <f>IFERROR(VLOOKUP(1249,'PEDIDO 17'!$C$2:$E$230,3,0),0)</f>
        <v>0</v>
      </c>
      <c r="D1347" s="1">
        <f>IFERROR(VLOOKUP(1250,'PEDIDO 17'!$C$2:$E$230,3,0),0)</f>
        <v>0</v>
      </c>
      <c r="E1347" s="1">
        <f>IFERROR(VLOOKUP(1251,'PEDIDO 17'!$C$2:$E$230,3,0),0)</f>
        <v>0</v>
      </c>
      <c r="F1347" s="1">
        <f>IFERROR(VLOOKUP(1252,'PEDIDO 17'!$C$2:$E$230,3,0),0)</f>
        <v>0</v>
      </c>
      <c r="G1347" s="18">
        <f t="shared" si="32"/>
        <v>0</v>
      </c>
    </row>
    <row r="1348" spans="1:7" ht="15.75" x14ac:dyDescent="0.25">
      <c r="A1348" s="15" t="str">
        <f>'PEDIDO 17'!$B$2</f>
        <v>Bernardino De Campos-Cogo E Poma Cia Ltda</v>
      </c>
      <c r="B1348" s="12" t="s">
        <v>449</v>
      </c>
      <c r="C1348" s="1">
        <f>IFERROR(VLOOKUP(1177,'PEDIDO 17'!$C$2:$E$230,3,0),0)</f>
        <v>0</v>
      </c>
      <c r="D1348" s="1">
        <f>IFERROR(VLOOKUP(1178,'PEDIDO 17'!$C$2:$E$230,3,0),0)</f>
        <v>0</v>
      </c>
      <c r="E1348" s="1">
        <f>IFERROR(VLOOKUP(1179,'PEDIDO 17'!$C$2:$E$230,3,0),0)</f>
        <v>0</v>
      </c>
      <c r="F1348" s="1">
        <f>IFERROR(VLOOKUP(1180,'PEDIDO 17'!$C$2:$E$230,3,0),0)</f>
        <v>0</v>
      </c>
      <c r="G1348" s="18">
        <f t="shared" si="32"/>
        <v>0</v>
      </c>
    </row>
    <row r="1349" spans="1:7" ht="15.75" x14ac:dyDescent="0.25">
      <c r="A1349" s="15" t="str">
        <f>'PEDIDO 17'!$B$2</f>
        <v>Bernardino De Campos-Cogo E Poma Cia Ltda</v>
      </c>
      <c r="B1349" s="12" t="s">
        <v>450</v>
      </c>
      <c r="C1349" s="1">
        <f>IFERROR(VLOOKUP(1181,'PEDIDO 17'!$C$2:$E$230,3,0),0)</f>
        <v>0</v>
      </c>
      <c r="D1349" s="1">
        <f>IFERROR(VLOOKUP(1182,'PEDIDO 17'!$C$2:$E$230,3,0),0)</f>
        <v>0</v>
      </c>
      <c r="E1349" s="1">
        <f>IFERROR(VLOOKUP(1183,'PEDIDO 17'!$C$2:$E$230,3,0),0)</f>
        <v>0</v>
      </c>
      <c r="F1349" s="1">
        <f>IFERROR(VLOOKUP(1184,'PEDIDO 17'!$C$2:$E$230,3,0),0)</f>
        <v>0</v>
      </c>
      <c r="G1349" s="18">
        <f t="shared" si="32"/>
        <v>0</v>
      </c>
    </row>
    <row r="1350" spans="1:7" ht="15.75" x14ac:dyDescent="0.25">
      <c r="A1350" s="15" t="str">
        <f>'PEDIDO 17'!$B$2</f>
        <v>Bernardino De Campos-Cogo E Poma Cia Ltda</v>
      </c>
      <c r="B1350" s="12" t="s">
        <v>451</v>
      </c>
      <c r="C1350" s="1">
        <f>IFERROR(VLOOKUP(1185,'PEDIDO 17'!$C$2:$E$230,3,0),0)</f>
        <v>0</v>
      </c>
      <c r="D1350" s="1">
        <f>IFERROR(VLOOKUP(1186,'PEDIDO 17'!$C$2:$E$230,3,0),0)</f>
        <v>0</v>
      </c>
      <c r="E1350" s="1">
        <f>IFERROR(VLOOKUP(1187,'PEDIDO 17'!$C$2:$E$230,3,0),0)</f>
        <v>0</v>
      </c>
      <c r="F1350" s="1">
        <f>IFERROR(VLOOKUP(1188,'PEDIDO 17'!$C$2:$E$230,3,0),0)</f>
        <v>0</v>
      </c>
      <c r="G1350" s="18">
        <f t="shared" si="32"/>
        <v>0</v>
      </c>
    </row>
    <row r="1351" spans="1:7" ht="15.75" x14ac:dyDescent="0.25">
      <c r="A1351" s="15" t="str">
        <f>'PEDIDO 17'!$B$2</f>
        <v>Bernardino De Campos-Cogo E Poma Cia Ltda</v>
      </c>
      <c r="B1351" s="12" t="s">
        <v>452</v>
      </c>
      <c r="C1351" s="1">
        <f>IFERROR(VLOOKUP(1189,'PEDIDO 17'!$C$2:$E$230,3,0),0)</f>
        <v>0</v>
      </c>
      <c r="D1351" s="1">
        <f>IFERROR(VLOOKUP(1190,'PEDIDO 17'!$C$2:$E$230,3,0),0)</f>
        <v>0</v>
      </c>
      <c r="E1351" s="1">
        <f>IFERROR(VLOOKUP(1191,'PEDIDO 17'!$C$2:$E$230,3,0),0)</f>
        <v>0</v>
      </c>
      <c r="F1351" s="1">
        <f>IFERROR(VLOOKUP(1192,'PEDIDO 17'!$C$2:$E$230,3,0),0)</f>
        <v>0</v>
      </c>
      <c r="G1351" s="18">
        <f t="shared" si="32"/>
        <v>0</v>
      </c>
    </row>
    <row r="1352" spans="1:7" ht="15.75" x14ac:dyDescent="0.25">
      <c r="A1352" s="15" t="str">
        <f>'PEDIDO 17'!$B$2</f>
        <v>Bernardino De Campos-Cogo E Poma Cia Ltda</v>
      </c>
      <c r="B1352" s="12" t="s">
        <v>453</v>
      </c>
      <c r="C1352" s="1">
        <f>IFERROR(VLOOKUP(1193,'PEDIDO 17'!$C$2:$E$230,3,0),0)</f>
        <v>0</v>
      </c>
      <c r="D1352" s="1">
        <f>IFERROR(VLOOKUP(1194,'PEDIDO 17'!$C$2:$E$230,3,0),0)</f>
        <v>0</v>
      </c>
      <c r="E1352" s="1">
        <f>IFERROR(VLOOKUP(1195,'PEDIDO 17'!$C$2:$E$230,3,0),0)</f>
        <v>0</v>
      </c>
      <c r="F1352" s="1">
        <f>IFERROR(VLOOKUP(1196,'PEDIDO 17'!$C$2:$E$230,3,0),0)</f>
        <v>0</v>
      </c>
      <c r="G1352" s="18">
        <f t="shared" si="32"/>
        <v>0</v>
      </c>
    </row>
    <row r="1353" spans="1:7" ht="15.75" x14ac:dyDescent="0.25">
      <c r="A1353" s="15" t="str">
        <f>'PEDIDO 17'!$B$2</f>
        <v>Bernardino De Campos-Cogo E Poma Cia Ltda</v>
      </c>
      <c r="B1353" s="12" t="s">
        <v>454</v>
      </c>
      <c r="C1353" s="1">
        <f>IFERROR(VLOOKUP(1197,'PEDIDO 17'!$C$2:$E$230,3,0),0)</f>
        <v>0</v>
      </c>
      <c r="D1353" s="1">
        <f>IFERROR(VLOOKUP(1198,'PEDIDO 17'!$C$2:$E$230,3,0),0)</f>
        <v>0</v>
      </c>
      <c r="E1353" s="1">
        <f>IFERROR(VLOOKUP(1199,'PEDIDO 17'!$C$2:$E$230,3,0),0)</f>
        <v>0</v>
      </c>
      <c r="F1353" s="1">
        <f>IFERROR(VLOOKUP(1200,'PEDIDO 17'!$C$2:$E$230,3,0),0)</f>
        <v>0</v>
      </c>
      <c r="G1353" s="18">
        <f t="shared" si="32"/>
        <v>0</v>
      </c>
    </row>
    <row r="1354" spans="1:7" ht="15.75" x14ac:dyDescent="0.25">
      <c r="A1354" s="15" t="str">
        <f>'PEDIDO 17'!$B$2</f>
        <v>Bernardino De Campos-Cogo E Poma Cia Ltda</v>
      </c>
      <c r="B1354" s="12" t="s">
        <v>455</v>
      </c>
      <c r="C1354" s="1">
        <f>IFERROR(VLOOKUP(1201,'PEDIDO 17'!$C$2:$E$230,3,0),0)</f>
        <v>0</v>
      </c>
      <c r="D1354" s="1">
        <f>IFERROR(VLOOKUP(1202,'PEDIDO 17'!$C$2:$E$230,3,0),0)</f>
        <v>0</v>
      </c>
      <c r="E1354" s="1">
        <f>IFERROR(VLOOKUP(1203,'PEDIDO 17'!$C$2:$E$230,3,0),0)</f>
        <v>0</v>
      </c>
      <c r="F1354" s="1">
        <f>IFERROR(VLOOKUP(1204,'PEDIDO 17'!$C$2:$E$230,3,0),0)</f>
        <v>0</v>
      </c>
      <c r="G1354" s="18">
        <f t="shared" si="32"/>
        <v>0</v>
      </c>
    </row>
    <row r="1355" spans="1:7" ht="15.75" x14ac:dyDescent="0.25">
      <c r="A1355" s="15" t="str">
        <f>'PEDIDO 17'!$B$2</f>
        <v>Bernardino De Campos-Cogo E Poma Cia Ltda</v>
      </c>
      <c r="B1355" s="12" t="s">
        <v>456</v>
      </c>
      <c r="C1355" s="1">
        <f>IFERROR(VLOOKUP(1205,'PEDIDO 17'!$C$2:$E$230,3,0),0)</f>
        <v>0</v>
      </c>
      <c r="D1355" s="1">
        <f>IFERROR(VLOOKUP(1206,'PEDIDO 17'!$C$2:$E$230,3,0),0)</f>
        <v>0</v>
      </c>
      <c r="E1355" s="1">
        <f>IFERROR(VLOOKUP(1207,'PEDIDO 17'!$C$2:$E$230,3,0),0)</f>
        <v>0</v>
      </c>
      <c r="F1355" s="1">
        <f>IFERROR(VLOOKUP(1208,'PEDIDO 17'!$C$2:$E$230,3,0),0)</f>
        <v>0</v>
      </c>
      <c r="G1355" s="18">
        <f t="shared" si="32"/>
        <v>0</v>
      </c>
    </row>
    <row r="1356" spans="1:7" ht="15.75" x14ac:dyDescent="0.25">
      <c r="A1356" s="15" t="str">
        <f>'PEDIDO 17'!$B$2</f>
        <v>Bernardino De Campos-Cogo E Poma Cia Ltda</v>
      </c>
      <c r="B1356" s="12" t="s">
        <v>457</v>
      </c>
      <c r="C1356" s="1">
        <f>IFERROR(VLOOKUP(1213,'PEDIDO 17'!$C$2:$E$230,3,0),0)</f>
        <v>0</v>
      </c>
      <c r="D1356" s="1">
        <f>IFERROR(VLOOKUP(1214,'PEDIDO 17'!$C$2:$E$230,3,0),0)</f>
        <v>0</v>
      </c>
      <c r="E1356" s="1">
        <f>IFERROR(VLOOKUP(1215,'PEDIDO 17'!$C$2:$E$230,3,0),0)</f>
        <v>0</v>
      </c>
      <c r="F1356" s="10">
        <f>IFERROR(VLOOKUP(1216,'PEDIDO 17'!$C$2:$E$230,3,0),0)</f>
        <v>1</v>
      </c>
      <c r="G1356" s="18">
        <f t="shared" si="32"/>
        <v>1</v>
      </c>
    </row>
    <row r="1357" spans="1:7" ht="15.75" x14ac:dyDescent="0.25">
      <c r="A1357" s="15" t="str">
        <f>'PEDIDO 17'!$B$2</f>
        <v>Bernardino De Campos-Cogo E Poma Cia Ltda</v>
      </c>
      <c r="B1357" s="12" t="s">
        <v>458</v>
      </c>
      <c r="C1357" s="1">
        <f>IFERROR(VLOOKUP(1209,'PEDIDO 17'!$C$2:$E$230,3,0),0)</f>
        <v>0</v>
      </c>
      <c r="D1357" s="1">
        <f>IFERROR(VLOOKUP(1210,'PEDIDO 17'!$C$2:$E$230,3,0),0)</f>
        <v>0</v>
      </c>
      <c r="E1357" s="1">
        <f>IFERROR(VLOOKUP(1211,'PEDIDO 17'!$C$2:$E$230,3,0),0)</f>
        <v>0</v>
      </c>
      <c r="F1357" s="1">
        <f>IFERROR(VLOOKUP(1212,'PEDIDO 17'!$C$2:$E$230,3,0),0)</f>
        <v>0</v>
      </c>
      <c r="G1357" s="18">
        <f t="shared" si="32"/>
        <v>0</v>
      </c>
    </row>
    <row r="1358" spans="1:7" ht="15.75" x14ac:dyDescent="0.25">
      <c r="A1358" s="15" t="str">
        <f>'PEDIDO 17'!$B$2</f>
        <v>Bernardino De Campos-Cogo E Poma Cia Ltda</v>
      </c>
      <c r="B1358" s="12" t="s">
        <v>459</v>
      </c>
      <c r="C1358" s="1">
        <f>IFERROR(VLOOKUP(1217,'PEDIDO 17'!$C$2:$E$230,3,0),0)</f>
        <v>0</v>
      </c>
      <c r="D1358" s="1">
        <f>IFERROR(VLOOKUP(1218,'PEDIDO 17'!$C$2:$E$230,3,0),0)</f>
        <v>0</v>
      </c>
      <c r="E1358" s="1">
        <f>IFERROR(VLOOKUP(1219,'PEDIDO 17'!$C$2:$E$230,3,0),0)</f>
        <v>0</v>
      </c>
      <c r="F1358" s="1">
        <f>IFERROR(VLOOKUP(1220,'PEDIDO 17'!$C$2:$E$230,3,0),0)</f>
        <v>0</v>
      </c>
      <c r="G1358" s="18">
        <f t="shared" si="32"/>
        <v>0</v>
      </c>
    </row>
    <row r="1359" spans="1:7" ht="15.75" x14ac:dyDescent="0.25">
      <c r="A1359" s="15" t="str">
        <f>'PEDIDO 17'!$B$2</f>
        <v>Bernardino De Campos-Cogo E Poma Cia Ltda</v>
      </c>
      <c r="B1359" s="12" t="s">
        <v>461</v>
      </c>
      <c r="C1359" s="1">
        <f>IFERROR(VLOOKUP(1225,'PEDIDO 17'!$C$2:$E$230,3,0),0)</f>
        <v>0</v>
      </c>
      <c r="D1359" s="1">
        <f>IFERROR(VLOOKUP(1226,'PEDIDO 17'!$C$2:$E$230,3,0),0)</f>
        <v>0</v>
      </c>
      <c r="E1359" s="1">
        <f>IFERROR(VLOOKUP(1227,'PEDIDO 17'!$C$2:$E$230,3,0),0)</f>
        <v>0</v>
      </c>
      <c r="F1359" s="1">
        <f>IFERROR(VLOOKUP(1228,'PEDIDO 17'!$C$2:$E$230,3,0),0)</f>
        <v>1</v>
      </c>
      <c r="G1359" s="18">
        <f t="shared" si="32"/>
        <v>1</v>
      </c>
    </row>
    <row r="1360" spans="1:7" ht="15.75" x14ac:dyDescent="0.25">
      <c r="A1360" s="15" t="str">
        <f>'PEDIDO 17'!$B$2</f>
        <v>Bernardino De Campos-Cogo E Poma Cia Ltda</v>
      </c>
      <c r="B1360" s="12" t="s">
        <v>462</v>
      </c>
      <c r="C1360" s="1">
        <f>IFERROR(VLOOKUP(1221,'PEDIDO 17'!$C$2:$E$230,3,0),0)</f>
        <v>0</v>
      </c>
      <c r="D1360" s="1">
        <f>IFERROR(VLOOKUP(1222,'PEDIDO 17'!$C$2:$E$230,3,0),0)</f>
        <v>0</v>
      </c>
      <c r="E1360" s="1">
        <f>IFERROR(VLOOKUP(1223,'PEDIDO 17'!$C$2:$E$230,3,0),0)</f>
        <v>0</v>
      </c>
      <c r="F1360" s="1">
        <f>IFERROR(VLOOKUP(1224,'PEDIDO 17'!$C$2:$E$230,3,0),0)</f>
        <v>0</v>
      </c>
      <c r="G1360" s="18">
        <f t="shared" si="32"/>
        <v>0</v>
      </c>
    </row>
    <row r="1361" spans="1:7" ht="15.75" x14ac:dyDescent="0.25">
      <c r="A1361" s="15" t="str">
        <f>'PEDIDO 17'!$B$2</f>
        <v>Bernardino De Campos-Cogo E Poma Cia Ltda</v>
      </c>
      <c r="B1361" s="12" t="s">
        <v>460</v>
      </c>
      <c r="C1361" s="1">
        <f>IFERROR(VLOOKUP(1229,'PEDIDO 17'!$C$2:$E$230,3,0),0)</f>
        <v>0</v>
      </c>
      <c r="D1361" s="1">
        <f>IFERROR(VLOOKUP(1230,'PEDIDO 17'!$C$2:$E$230,3,0),0)</f>
        <v>0</v>
      </c>
      <c r="E1361" s="1">
        <f>IFERROR(VLOOKUP(1231,'PEDIDO 17'!$C$2:$E$230,3,0),0)</f>
        <v>0</v>
      </c>
      <c r="F1361" s="1">
        <f>IFERROR(VLOOKUP(1232,'PEDIDO 17'!$C$2:$E$230,3,0),0)</f>
        <v>0</v>
      </c>
      <c r="G1361" s="18">
        <f t="shared" si="32"/>
        <v>0</v>
      </c>
    </row>
    <row r="1362" spans="1:7" ht="15.75" x14ac:dyDescent="0.25">
      <c r="A1362" s="15" t="str">
        <f>'PEDIDO 17'!$B$2</f>
        <v>Bernardino De Campos-Cogo E Poma Cia Ltda</v>
      </c>
      <c r="B1362" s="12" t="s">
        <v>463</v>
      </c>
      <c r="C1362" s="1">
        <f>IFERROR(VLOOKUP(1233,'PEDIDO 17'!$C$2:$E$230,3,0),0)</f>
        <v>0</v>
      </c>
      <c r="D1362" s="1">
        <f>IFERROR(VLOOKUP(1234,'PEDIDO 17'!$C$2:$E$230,3,0),0)</f>
        <v>0</v>
      </c>
      <c r="E1362" s="1">
        <f>IFERROR(VLOOKUP(1235,'PEDIDO 17'!$C$2:$E$230,3,0),0)</f>
        <v>0</v>
      </c>
      <c r="F1362" s="1">
        <f>IFERROR(VLOOKUP(1236,'PEDIDO 17'!$C$2:$E$230,3,0),0)</f>
        <v>0</v>
      </c>
      <c r="G1362" s="18">
        <f t="shared" si="32"/>
        <v>0</v>
      </c>
    </row>
    <row r="1363" spans="1:7" ht="15.75" x14ac:dyDescent="0.25">
      <c r="A1363" s="15" t="str">
        <f>'PEDIDO 17'!$B$2</f>
        <v>Bernardino De Campos-Cogo E Poma Cia Ltda</v>
      </c>
      <c r="B1363" s="12" t="s">
        <v>464</v>
      </c>
      <c r="C1363" s="1">
        <f>IFERROR(VLOOKUP(1237,'PEDIDO 17'!$C$2:$E$230,3,0),0)</f>
        <v>0</v>
      </c>
      <c r="D1363" s="1">
        <f>IFERROR(VLOOKUP(1238,'PEDIDO 17'!$C$2:$E$230,3,0),0)</f>
        <v>0</v>
      </c>
      <c r="E1363" s="1">
        <f>IFERROR(VLOOKUP(1239,'PEDIDO 17'!$C$2:$E$230,3,0),0)</f>
        <v>0</v>
      </c>
      <c r="F1363" s="1">
        <f>IFERROR(VLOOKUP(1240,'PEDIDO 17'!$C$2:$E$230,3,0),0)</f>
        <v>0</v>
      </c>
      <c r="G1363" s="18">
        <f t="shared" ref="G1363:G1375" si="33">SUM(C1363+D1363+E1363+F1363)</f>
        <v>0</v>
      </c>
    </row>
    <row r="1364" spans="1:7" ht="15.75" x14ac:dyDescent="0.25">
      <c r="A1364" s="15" t="str">
        <f>'PEDIDO 17'!$B$2</f>
        <v>Bernardino De Campos-Cogo E Poma Cia Ltda</v>
      </c>
      <c r="B1364" s="12" t="s">
        <v>465</v>
      </c>
      <c r="C1364" s="1">
        <f>IFERROR(VLOOKUP(1241,'PEDIDO 17'!$C$2:$E$230,3,0),0)</f>
        <v>0</v>
      </c>
      <c r="D1364" s="1">
        <f>IFERROR(VLOOKUP(1242,'PEDIDO 17'!$C$2:$E$230,3,0),0)</f>
        <v>0</v>
      </c>
      <c r="E1364" s="1">
        <f>IFERROR(VLOOKUP(1243,'PEDIDO 17'!$C$2:$E$230,3,0),0)</f>
        <v>0</v>
      </c>
      <c r="F1364" s="1">
        <f>IFERROR(VLOOKUP(1244,'PEDIDO 17'!$C$2:$E$230,3,0),0)</f>
        <v>0</v>
      </c>
      <c r="G1364" s="18">
        <f t="shared" si="33"/>
        <v>0</v>
      </c>
    </row>
    <row r="1365" spans="1:7" ht="15.75" x14ac:dyDescent="0.25">
      <c r="A1365" s="15" t="str">
        <f>'PEDIDO 17'!$B$2</f>
        <v>Bernardino De Campos-Cogo E Poma Cia Ltda</v>
      </c>
      <c r="B1365" s="12" t="s">
        <v>466</v>
      </c>
      <c r="C1365" s="1">
        <f>IFERROR(VLOOKUP(1245,'PEDIDO 17'!$C$2:$E$230,3,0),0)</f>
        <v>0</v>
      </c>
      <c r="D1365" s="1">
        <f>IFERROR(VLOOKUP(1246,'PEDIDO 17'!$C$2:$E$230,3,0),0)</f>
        <v>0</v>
      </c>
      <c r="E1365" s="1">
        <f>IFERROR(VLOOKUP(1247,'PEDIDO 17'!$C$2:$E$230,3,0),0)</f>
        <v>0</v>
      </c>
      <c r="F1365" s="1">
        <f>IFERROR(VLOOKUP(1248,'PEDIDO 17'!$C$2:$E$230,3,0),0)</f>
        <v>0</v>
      </c>
      <c r="G1365" s="18">
        <f t="shared" si="33"/>
        <v>0</v>
      </c>
    </row>
    <row r="1366" spans="1:7" ht="15.75" x14ac:dyDescent="0.25">
      <c r="A1366" s="15" t="str">
        <f>'PEDIDO 17'!$B$2</f>
        <v>Bernardino De Campos-Cogo E Poma Cia Ltda</v>
      </c>
      <c r="B1366" s="12" t="s">
        <v>467</v>
      </c>
      <c r="C1366" s="1">
        <f>IFERROR(VLOOKUP(25714,'PEDIDO 17'!$C$2:$E$230,3,0),0)</f>
        <v>0</v>
      </c>
      <c r="D1366" s="1"/>
      <c r="E1366" s="1"/>
      <c r="F1366" s="1"/>
      <c r="G1366" s="18">
        <f t="shared" si="33"/>
        <v>0</v>
      </c>
    </row>
    <row r="1367" spans="1:7" ht="15.75" x14ac:dyDescent="0.25">
      <c r="A1367" s="15" t="str">
        <f>'PEDIDO 17'!$B$2</f>
        <v>Bernardino De Campos-Cogo E Poma Cia Ltda</v>
      </c>
      <c r="B1367" s="12" t="s">
        <v>468</v>
      </c>
      <c r="C1367" s="1">
        <f>IFERROR(VLOOKUP(25712,'PEDIDO 17'!$C$2:$E$230,3,0),0)</f>
        <v>0</v>
      </c>
      <c r="D1367" s="1"/>
      <c r="E1367" s="1"/>
      <c r="F1367" s="1"/>
      <c r="G1367" s="18">
        <f t="shared" si="33"/>
        <v>0</v>
      </c>
    </row>
    <row r="1368" spans="1:7" ht="15.75" x14ac:dyDescent="0.25">
      <c r="A1368" s="15" t="str">
        <f>'PEDIDO 17'!$B$2</f>
        <v>Bernardino De Campos-Cogo E Poma Cia Ltda</v>
      </c>
      <c r="B1368" s="12" t="s">
        <v>469</v>
      </c>
      <c r="C1368" s="1">
        <f>IFERROR(VLOOKUP(25713,'PEDIDO 17'!$C$2:$E$230,3,0),0)</f>
        <v>5</v>
      </c>
      <c r="D1368" s="1"/>
      <c r="E1368" s="1"/>
      <c r="F1368" s="1"/>
      <c r="G1368" s="18">
        <f t="shared" si="33"/>
        <v>5</v>
      </c>
    </row>
    <row r="1369" spans="1:7" ht="15.75" x14ac:dyDescent="0.25">
      <c r="A1369" s="15" t="str">
        <f>'PEDIDO 17'!$B$2</f>
        <v>Bernardino De Campos-Cogo E Poma Cia Ltda</v>
      </c>
      <c r="B1369" s="12" t="s">
        <v>470</v>
      </c>
      <c r="C1369" s="1">
        <f>IFERROR(VLOOKUP(1260,'PEDIDO 17'!$C$2:$E$230,3,0),0)</f>
        <v>0</v>
      </c>
      <c r="D1369" s="1"/>
      <c r="E1369" s="1"/>
      <c r="F1369" s="1"/>
      <c r="G1369" s="18">
        <f t="shared" si="33"/>
        <v>0</v>
      </c>
    </row>
    <row r="1370" spans="1:7" ht="15.75" x14ac:dyDescent="0.25">
      <c r="A1370" s="15" t="str">
        <f>'PEDIDO 17'!$B$2</f>
        <v>Bernardino De Campos-Cogo E Poma Cia Ltda</v>
      </c>
      <c r="B1370" s="12" t="s">
        <v>471</v>
      </c>
      <c r="C1370" s="1">
        <f>IFERROR(VLOOKUP(1261,'PEDIDO 17'!$C$2:$E$230,3,0),0)</f>
        <v>0</v>
      </c>
      <c r="D1370" s="1"/>
      <c r="E1370" s="1"/>
      <c r="F1370" s="1"/>
      <c r="G1370" s="18">
        <f t="shared" si="33"/>
        <v>0</v>
      </c>
    </row>
    <row r="1371" spans="1:7" ht="15.75" x14ac:dyDescent="0.25">
      <c r="A1371" s="15" t="str">
        <f>'PEDIDO 17'!$B$2</f>
        <v>Bernardino De Campos-Cogo E Poma Cia Ltda</v>
      </c>
      <c r="B1371" s="12" t="s">
        <v>472</v>
      </c>
      <c r="C1371" s="1">
        <f>IFERROR(VLOOKUP(1262,'PEDIDO 17'!$C$2:$E$230,3,0),0)</f>
        <v>0</v>
      </c>
      <c r="D1371" s="1"/>
      <c r="E1371" s="1"/>
      <c r="F1371" s="1"/>
      <c r="G1371" s="18">
        <f t="shared" si="33"/>
        <v>0</v>
      </c>
    </row>
    <row r="1372" spans="1:7" ht="15.75" x14ac:dyDescent="0.25">
      <c r="A1372" s="15" t="str">
        <f>'PEDIDO 17'!$B$2</f>
        <v>Bernardino De Campos-Cogo E Poma Cia Ltda</v>
      </c>
      <c r="B1372" s="12" t="s">
        <v>473</v>
      </c>
      <c r="C1372" s="1">
        <f>IFERROR(VLOOKUP(1263,'PEDIDO 17'!$C$2:$E$230,3,0),0)</f>
        <v>0</v>
      </c>
      <c r="D1372" s="1"/>
      <c r="E1372" s="1"/>
      <c r="F1372" s="1"/>
      <c r="G1372" s="18">
        <f t="shared" si="33"/>
        <v>0</v>
      </c>
    </row>
    <row r="1373" spans="1:7" ht="15.75" x14ac:dyDescent="0.25">
      <c r="A1373" s="15" t="str">
        <f>'PEDIDO 17'!$B$2</f>
        <v>Bernardino De Campos-Cogo E Poma Cia Ltda</v>
      </c>
      <c r="B1373" s="12" t="s">
        <v>474</v>
      </c>
      <c r="C1373" s="1">
        <f>IFERROR(VLOOKUP(1264,'PEDIDO 17'!$C$2:$E$230,3,0),0)</f>
        <v>0</v>
      </c>
      <c r="D1373" s="1"/>
      <c r="E1373" s="1"/>
      <c r="F1373" s="1"/>
      <c r="G1373" s="18">
        <f t="shared" si="33"/>
        <v>0</v>
      </c>
    </row>
    <row r="1374" spans="1:7" ht="15.75" x14ac:dyDescent="0.25">
      <c r="A1374" s="15" t="str">
        <f>'PEDIDO 17'!$B$2</f>
        <v>Bernardino De Campos-Cogo E Poma Cia Ltda</v>
      </c>
      <c r="B1374" s="12" t="s">
        <v>475</v>
      </c>
      <c r="C1374" s="1">
        <f>IFERROR(VLOOKUP(1265,'PEDIDO 17'!$C$2:$E$230,3,0),0)</f>
        <v>0</v>
      </c>
      <c r="D1374" s="1"/>
      <c r="E1374" s="1"/>
      <c r="F1374" s="1"/>
      <c r="G1374" s="18">
        <f t="shared" si="33"/>
        <v>0</v>
      </c>
    </row>
    <row r="1375" spans="1:7" ht="15.75" x14ac:dyDescent="0.25">
      <c r="A1375" s="15" t="str">
        <f>'PEDIDO 17'!$B$2</f>
        <v>Bernardino De Campos-Cogo E Poma Cia Ltda</v>
      </c>
      <c r="B1375" s="12" t="s">
        <v>476</v>
      </c>
      <c r="C1375" s="1">
        <f>IFERROR(VLOOKUP(1266,'PEDIDO 17'!$C$2:$E$230,3,0),0)</f>
        <v>0</v>
      </c>
      <c r="D1375" s="1"/>
      <c r="E1375" s="1"/>
      <c r="F1375" s="1"/>
      <c r="G1375" s="18">
        <f t="shared" si="33"/>
        <v>0</v>
      </c>
    </row>
    <row r="1376" spans="1:7" ht="15.75" x14ac:dyDescent="0.25">
      <c r="A1376" s="15" t="str">
        <f>'PEDIDO 17'!$B$2</f>
        <v>Bernardino De Campos-Cogo E Poma Cia Ltda</v>
      </c>
      <c r="B1376" s="12" t="s">
        <v>477</v>
      </c>
      <c r="C1376" s="1">
        <f>IFERROR(VLOOKUP(1268,'PEDIDO 17'!$C$2:$E$230,3,0),0)</f>
        <v>0</v>
      </c>
      <c r="D1376" s="1">
        <f>IFERROR(VLOOKUP(1269,'PEDIDO 17'!$C$2:$E$230,3,0),0)</f>
        <v>0</v>
      </c>
      <c r="E1376" s="1">
        <f>IFERROR(VLOOKUP(1270,'PEDIDO 17'!$C$2:$E$230,3,0),0)</f>
        <v>0</v>
      </c>
      <c r="F1376" s="1">
        <f>IFERROR(VLOOKUP(1271,'PEDIDO 17'!$C$2:$E$230,3,0),0)</f>
        <v>0</v>
      </c>
      <c r="G1376" s="18">
        <f>SUM(C1376+D1376+E1376+F1376)</f>
        <v>0</v>
      </c>
    </row>
    <row r="1377" spans="1:7" x14ac:dyDescent="0.25">
      <c r="A1377" s="17"/>
      <c r="B1377" s="13"/>
      <c r="C1377" s="13"/>
      <c r="D1377" s="13"/>
      <c r="E1377" s="13"/>
      <c r="F1377" s="13"/>
      <c r="G1377" s="13"/>
    </row>
    <row r="1378" spans="1:7" x14ac:dyDescent="0.25">
      <c r="A1378" s="17"/>
      <c r="B1378" s="13"/>
      <c r="C1378" s="13"/>
      <c r="D1378" s="13"/>
      <c r="E1378" s="13"/>
      <c r="F1378" s="13"/>
      <c r="G1378" s="13"/>
    </row>
    <row r="1379" spans="1:7" ht="15.75" x14ac:dyDescent="0.25">
      <c r="A1379" s="15" t="str">
        <f>'PEDIDO 18'!$B$2</f>
        <v>Santa Cruz Do Rio Pardo-Santa Cruz Moveis Ltda</v>
      </c>
      <c r="B1379" s="12" t="s">
        <v>399</v>
      </c>
      <c r="C1379" s="1">
        <f>IFERROR(VLOOKUP(1,'PEDIDO 18'!$C$2:$E$230,3,0),0)</f>
        <v>0</v>
      </c>
      <c r="D1379" s="1">
        <f>IFERROR(VLOOKUP(2,'PEDIDO 18'!$C$2:$E$230,3,0),0)</f>
        <v>0</v>
      </c>
      <c r="E1379" s="1">
        <f>IFERROR(VLOOKUP(3,'PEDIDO 18'!$C$2:$E$230,3,0),0)</f>
        <v>0</v>
      </c>
      <c r="F1379" s="1">
        <f>IFERROR(VLOOKUP(282,'PEDIDO 18'!$C$2:$E$230,3,0),0)</f>
        <v>0</v>
      </c>
      <c r="G1379" s="18">
        <f>SUM(C1379+D1379+E1379+F1379)</f>
        <v>0</v>
      </c>
    </row>
    <row r="1380" spans="1:7" ht="15.75" x14ac:dyDescent="0.25">
      <c r="A1380" s="15" t="str">
        <f>'PEDIDO 18'!$B$2</f>
        <v>Santa Cruz Do Rio Pardo-Santa Cruz Moveis Ltda</v>
      </c>
      <c r="B1380" s="12" t="s">
        <v>400</v>
      </c>
      <c r="C1380" s="1">
        <f>IFERROR(VLOOKUP(5,'PEDIDO 18'!$C$2:$E$230,3,0),0)</f>
        <v>0</v>
      </c>
      <c r="D1380" s="1">
        <f>IFERROR(VLOOKUP(6,'PEDIDO 18'!$C$2:$E$230,3,0),0)</f>
        <v>0</v>
      </c>
      <c r="E1380" s="1">
        <f>IFERROR(VLOOKUP(7,'PEDIDO 18'!$C$2:$E$230,3,0),0)</f>
        <v>0</v>
      </c>
      <c r="F1380" s="1">
        <f>IFERROR(VLOOKUP(258,'PEDIDO 18'!$C$2:$E$230,3,0),0)</f>
        <v>0</v>
      </c>
      <c r="G1380" s="18">
        <f t="shared" ref="G1380:G1443" si="34">SUM(C1380+D1380+E1380+F1380)</f>
        <v>0</v>
      </c>
    </row>
    <row r="1381" spans="1:7" ht="15.75" x14ac:dyDescent="0.25">
      <c r="A1381" s="15" t="str">
        <f>'PEDIDO 18'!$B$2</f>
        <v>Santa Cruz Do Rio Pardo-Santa Cruz Moveis Ltda</v>
      </c>
      <c r="B1381" s="12" t="s">
        <v>401</v>
      </c>
      <c r="C1381" s="1">
        <f>IFERROR(VLOOKUP(13,'PEDIDO 18'!$C$2:$E$230,3,0),0)</f>
        <v>0</v>
      </c>
      <c r="D1381" s="1">
        <f>IFERROR(VLOOKUP(14,'PEDIDO 18'!$C$2:$E$230,3,0),0)</f>
        <v>0</v>
      </c>
      <c r="E1381" s="1">
        <f>IFERROR(VLOOKUP(15,'PEDIDO 18'!$C$2:$E$230,3,0),0)</f>
        <v>0</v>
      </c>
      <c r="F1381" s="1">
        <f>IFERROR(VLOOKUP(289,'PEDIDO 18'!$C$2:$E$230,3,0),0)</f>
        <v>0</v>
      </c>
      <c r="G1381" s="18">
        <f t="shared" si="34"/>
        <v>0</v>
      </c>
    </row>
    <row r="1382" spans="1:7" ht="15.75" x14ac:dyDescent="0.25">
      <c r="A1382" s="15" t="str">
        <f>'PEDIDO 18'!$B$2</f>
        <v>Santa Cruz Do Rio Pardo-Santa Cruz Moveis Ltda</v>
      </c>
      <c r="B1382" s="12" t="s">
        <v>402</v>
      </c>
      <c r="C1382" s="1">
        <f>IFERROR(VLOOKUP(267,'PEDIDO 18'!$C$2:$E$230,3,0),0)</f>
        <v>0</v>
      </c>
      <c r="D1382" s="1">
        <f>IFERROR(VLOOKUP(268,'PEDIDO 18'!$C$2:$E$230,3,0),0)</f>
        <v>0</v>
      </c>
      <c r="E1382" s="1">
        <f>IFERROR(VLOOKUP(270,'PEDIDO 18'!$C$2:$E$230,3,0),0)</f>
        <v>0</v>
      </c>
      <c r="F1382" s="1">
        <f>IFERROR(VLOOKUP(269,'PEDIDO 18'!$C$2:$E$230,3,0),0)</f>
        <v>0</v>
      </c>
      <c r="G1382" s="18">
        <f t="shared" si="34"/>
        <v>0</v>
      </c>
    </row>
    <row r="1383" spans="1:7" ht="15.75" x14ac:dyDescent="0.25">
      <c r="A1383" s="15" t="str">
        <f>'PEDIDO 18'!$B$2</f>
        <v>Santa Cruz Do Rio Pardo-Santa Cruz Moveis Ltda</v>
      </c>
      <c r="B1383" s="12" t="s">
        <v>403</v>
      </c>
      <c r="C1383" s="1">
        <f>IFERROR(VLOOKUP(17,'PEDIDO 18'!$C$2:$E$230,3,0),0)</f>
        <v>0</v>
      </c>
      <c r="D1383" s="1">
        <f>IFERROR(VLOOKUP(18,'PEDIDO 18'!$C$2:$E$230,3,0),0)</f>
        <v>0</v>
      </c>
      <c r="E1383" s="1">
        <f>IFERROR(VLOOKUP(19,'PEDIDO 18'!$C$2:$E$230,3,0),0)</f>
        <v>0</v>
      </c>
      <c r="F1383" s="1">
        <f>IFERROR(VLOOKUP(290,'PEDIDO 18'!$C$2:$E$230,3,0),0)</f>
        <v>0</v>
      </c>
      <c r="G1383" s="18">
        <f t="shared" si="34"/>
        <v>0</v>
      </c>
    </row>
    <row r="1384" spans="1:7" ht="15.75" x14ac:dyDescent="0.25">
      <c r="A1384" s="15" t="str">
        <f>'PEDIDO 18'!$B$2</f>
        <v>Santa Cruz Do Rio Pardo-Santa Cruz Moveis Ltda</v>
      </c>
      <c r="B1384" s="12" t="s">
        <v>404</v>
      </c>
      <c r="C1384" s="1">
        <f>IFERROR(VLOOKUP(23,'PEDIDO 18'!$C$2:$E$230,3,0),0)</f>
        <v>0</v>
      </c>
      <c r="D1384" s="1">
        <f>IFERROR(VLOOKUP(24,'PEDIDO 18'!$C$2:$E$230,3,0),0)</f>
        <v>0</v>
      </c>
      <c r="E1384" s="1">
        <f>IFERROR(VLOOKUP(25,'PEDIDO 18'!$C$2:$E$230,3,0),0)</f>
        <v>0</v>
      </c>
      <c r="F1384" s="1">
        <f>IFERROR(VLOOKUP(291,'PEDIDO 18'!$C$2:$E$230,3,0),0)</f>
        <v>0</v>
      </c>
      <c r="G1384" s="18">
        <f t="shared" si="34"/>
        <v>0</v>
      </c>
    </row>
    <row r="1385" spans="1:7" ht="15.75" x14ac:dyDescent="0.25">
      <c r="A1385" s="15" t="str">
        <f>'PEDIDO 18'!$B$2</f>
        <v>Santa Cruz Do Rio Pardo-Santa Cruz Moveis Ltda</v>
      </c>
      <c r="B1385" s="12" t="s">
        <v>405</v>
      </c>
      <c r="C1385" s="1">
        <f>IFERROR(VLOOKUP(27,'PEDIDO 18'!$C$2:$E$230,3,0),0)</f>
        <v>0</v>
      </c>
      <c r="D1385" s="1">
        <f>IFERROR(VLOOKUP(28,'PEDIDO 18'!$C$2:$E$230,3,0),0)</f>
        <v>0</v>
      </c>
      <c r="E1385" s="1">
        <f>IFERROR(VLOOKUP(29,'PEDIDO 18'!$C$2:$E$230,3,0),0)</f>
        <v>0</v>
      </c>
      <c r="F1385" s="1">
        <f>IFERROR(VLOOKUP(292,'PEDIDO 18'!$C$2:$E$230,3,0),0)</f>
        <v>0</v>
      </c>
      <c r="G1385" s="18">
        <f t="shared" si="34"/>
        <v>0</v>
      </c>
    </row>
    <row r="1386" spans="1:7" ht="15.75" x14ac:dyDescent="0.25">
      <c r="A1386" s="15" t="str">
        <f>'PEDIDO 18'!$B$2</f>
        <v>Santa Cruz Do Rio Pardo-Santa Cruz Moveis Ltda</v>
      </c>
      <c r="B1386" s="12" t="s">
        <v>406</v>
      </c>
      <c r="C1386" s="1">
        <f>IFERROR(VLOOKUP(227,'PEDIDO 18'!$C$2:$E$230,3,0),0)</f>
        <v>0</v>
      </c>
      <c r="D1386" s="1">
        <f>IFERROR(VLOOKUP(228,'PEDIDO 18'!$C$2:$E$230,3,0),0)</f>
        <v>0</v>
      </c>
      <c r="E1386" s="1">
        <f>IFERROR(VLOOKUP(229,'PEDIDO 18'!$C$2:$E$230,3,0),0)</f>
        <v>0</v>
      </c>
      <c r="F1386" s="1">
        <f>IFERROR(VLOOKUP(230,'PEDIDO 18'!$C$2:$E$230,3,0),0)</f>
        <v>0</v>
      </c>
      <c r="G1386" s="18">
        <f t="shared" si="34"/>
        <v>0</v>
      </c>
    </row>
    <row r="1387" spans="1:7" ht="15.75" x14ac:dyDescent="0.25">
      <c r="A1387" s="15" t="str">
        <f>'PEDIDO 18'!$B$2</f>
        <v>Santa Cruz Do Rio Pardo-Santa Cruz Moveis Ltda</v>
      </c>
      <c r="B1387" s="12" t="s">
        <v>407</v>
      </c>
      <c r="C1387" s="1">
        <f>IFERROR(VLOOKUP(231,'PEDIDO 18'!$C$2:$E$230,3,0),0)</f>
        <v>0</v>
      </c>
      <c r="D1387" s="1">
        <f>IFERROR(VLOOKUP(232,'PEDIDO 18'!$C$2:$E$230,3,0),0)</f>
        <v>0</v>
      </c>
      <c r="E1387" s="1">
        <f>IFERROR(VLOOKUP(234,'PEDIDO 18'!$C$2:$E$230,3,0),0)</f>
        <v>0</v>
      </c>
      <c r="F1387" s="1">
        <f>IFERROR(VLOOKUP(233,'PEDIDO 18'!$C$2:$E$230,3,0),0)</f>
        <v>0</v>
      </c>
      <c r="G1387" s="18">
        <f t="shared" si="34"/>
        <v>0</v>
      </c>
    </row>
    <row r="1388" spans="1:7" ht="15.75" x14ac:dyDescent="0.25">
      <c r="A1388" s="15" t="str">
        <f>'PEDIDO 18'!$B$2</f>
        <v>Santa Cruz Do Rio Pardo-Santa Cruz Moveis Ltda</v>
      </c>
      <c r="B1388" s="12" t="s">
        <v>408</v>
      </c>
      <c r="C1388" s="1">
        <f>IFERROR(VLOOKUP(237,'PEDIDO 18'!$C$2:$E$230,3,0),0)</f>
        <v>0</v>
      </c>
      <c r="D1388" s="1">
        <f>IFERROR(VLOOKUP(238,'PEDIDO 18'!$C$2:$E$230,3,0),0)</f>
        <v>0</v>
      </c>
      <c r="E1388" s="1">
        <f>IFERROR(VLOOKUP(240,'PEDIDO 18'!$C$2:$E$230,3,0),0)</f>
        <v>0</v>
      </c>
      <c r="F1388" s="1">
        <f>IFERROR(VLOOKUP(239,'PEDIDO 18'!$C$2:$E$230,3,0),0)</f>
        <v>0</v>
      </c>
      <c r="G1388" s="18">
        <f t="shared" si="34"/>
        <v>0</v>
      </c>
    </row>
    <row r="1389" spans="1:7" ht="15.75" x14ac:dyDescent="0.25">
      <c r="A1389" s="15" t="str">
        <f>'PEDIDO 18'!$B$2</f>
        <v>Santa Cruz Do Rio Pardo-Santa Cruz Moveis Ltda</v>
      </c>
      <c r="B1389" s="12" t="s">
        <v>409</v>
      </c>
      <c r="C1389" s="1">
        <f>IFERROR(VLOOKUP(25707,'PEDIDO 18'!$C$2:$E$230,3,0),0)</f>
        <v>0</v>
      </c>
      <c r="D1389" s="1">
        <f>IFERROR(VLOOKUP(25708,'PEDIDO 18'!$C$2:$E$230,3,0),0)</f>
        <v>0</v>
      </c>
      <c r="E1389" s="1">
        <f>IFERROR(VLOOKUP(25710,'PEDIDO 18'!$C$2:$E$230,3,0),0)</f>
        <v>0</v>
      </c>
      <c r="F1389" s="1">
        <f>IFERROR(VLOOKUP(25709,'PEDIDO 18'!$C$2:$E$230,3,0),0)</f>
        <v>1</v>
      </c>
      <c r="G1389" s="18">
        <f t="shared" si="34"/>
        <v>1</v>
      </c>
    </row>
    <row r="1390" spans="1:7" ht="15.75" x14ac:dyDescent="0.25">
      <c r="A1390" s="15" t="str">
        <f>'PEDIDO 18'!$B$2</f>
        <v>Santa Cruz Do Rio Pardo-Santa Cruz Moveis Ltda</v>
      </c>
      <c r="B1390" s="12" t="s">
        <v>410</v>
      </c>
      <c r="C1390" s="1">
        <f>IFERROR(VLOOKUP(25711,'PEDIDO 18'!$C$2:$E$230,3,0),0)</f>
        <v>0</v>
      </c>
      <c r="D1390" s="1"/>
      <c r="E1390" s="1"/>
      <c r="F1390" s="1"/>
      <c r="G1390" s="18">
        <f t="shared" si="34"/>
        <v>0</v>
      </c>
    </row>
    <row r="1391" spans="1:7" ht="15.75" x14ac:dyDescent="0.25">
      <c r="A1391" s="15" t="str">
        <f>'PEDIDO 18'!$B$2</f>
        <v>Santa Cruz Do Rio Pardo-Santa Cruz Moveis Ltda</v>
      </c>
      <c r="B1391" s="12" t="s">
        <v>411</v>
      </c>
      <c r="C1391" s="1">
        <f>IFERROR(VLOOKUP(35,'PEDIDO 18'!$C$2:$E$230,3,0),0)</f>
        <v>0</v>
      </c>
      <c r="D1391" s="1">
        <f>IFERROR(VLOOKUP(36,'PEDIDO 18'!$C$2:$E$230,3,0),0)</f>
        <v>0</v>
      </c>
      <c r="E1391" s="1">
        <f>IFERROR(VLOOKUP(37,'PEDIDO 18'!$C$2:$E$230,3,0),0)</f>
        <v>0</v>
      </c>
      <c r="F1391" s="1">
        <f>IFERROR(VLOOKUP(294,'PEDIDO 18'!$C$2:$E$230,3,0),0)</f>
        <v>0</v>
      </c>
      <c r="G1391" s="18">
        <f t="shared" si="34"/>
        <v>0</v>
      </c>
    </row>
    <row r="1392" spans="1:7" ht="15.75" x14ac:dyDescent="0.25">
      <c r="A1392" s="15" t="str">
        <f>'PEDIDO 18'!$B$2</f>
        <v>Santa Cruz Do Rio Pardo-Santa Cruz Moveis Ltda</v>
      </c>
      <c r="B1392" s="12" t="s">
        <v>412</v>
      </c>
      <c r="C1392" s="1">
        <f>IFERROR(VLOOKUP(39,'PEDIDO 18'!$C$2:$E$230,3,0),0)</f>
        <v>0</v>
      </c>
      <c r="D1392" s="1">
        <f>IFERROR(VLOOKUP(40,'PEDIDO 18'!$C$2:$E$230,3,0),0)</f>
        <v>0</v>
      </c>
      <c r="E1392" s="1">
        <f>IFERROR(VLOOKUP(42,'PEDIDO 18'!$C$2:$E$230,3,0),0)</f>
        <v>0</v>
      </c>
      <c r="F1392" s="1">
        <f>IFERROR(VLOOKUP(295,'PEDIDO 18'!$C$2:$E$230,3,0),0)</f>
        <v>0</v>
      </c>
      <c r="G1392" s="18">
        <f t="shared" si="34"/>
        <v>0</v>
      </c>
    </row>
    <row r="1393" spans="1:7" ht="15.75" x14ac:dyDescent="0.25">
      <c r="A1393" s="15" t="str">
        <f>'PEDIDO 18'!$B$2</f>
        <v>Santa Cruz Do Rio Pardo-Santa Cruz Moveis Ltda</v>
      </c>
      <c r="B1393" s="12" t="s">
        <v>413</v>
      </c>
      <c r="C1393" s="1">
        <f>IFERROR(VLOOKUP(44,'PEDIDO 18'!$C$2:$E$230,3,0),0)</f>
        <v>0</v>
      </c>
      <c r="D1393" s="1">
        <f>IFERROR(VLOOKUP(45,'PEDIDO 18'!$C$2:$E$230,3,0),0)</f>
        <v>0</v>
      </c>
      <c r="E1393" s="1">
        <f>IFERROR(VLOOKUP(46,'PEDIDO 18'!$C$2:$E$230,3,0),0)</f>
        <v>0</v>
      </c>
      <c r="F1393" s="1">
        <f>IFERROR(VLOOKUP(283,'PEDIDO 18'!$C$2:$E$230,3,0),0)</f>
        <v>0</v>
      </c>
      <c r="G1393" s="18">
        <f t="shared" si="34"/>
        <v>0</v>
      </c>
    </row>
    <row r="1394" spans="1:7" ht="15.75" x14ac:dyDescent="0.25">
      <c r="A1394" s="15" t="str">
        <f>'PEDIDO 18'!$B$2</f>
        <v>Santa Cruz Do Rio Pardo-Santa Cruz Moveis Ltda</v>
      </c>
      <c r="B1394" s="12" t="s">
        <v>414</v>
      </c>
      <c r="C1394" s="1">
        <f>IFERROR(VLOOKUP(48,'PEDIDO 18'!$C$2:$E$230,3,0),0)</f>
        <v>0</v>
      </c>
      <c r="D1394" s="1">
        <f>IFERROR(VLOOKUP(49,'PEDIDO 18'!$C$2:$E$230,3,0),0)</f>
        <v>0</v>
      </c>
      <c r="E1394" s="1">
        <f>IFERROR(VLOOKUP(50,'PEDIDO 18'!$C$2:$E$230,3,0),0)</f>
        <v>0</v>
      </c>
      <c r="F1394" s="1">
        <f>IFERROR(VLOOKUP(298,'PEDIDO 18'!$C$2:$E$230,3,0),0)</f>
        <v>0</v>
      </c>
      <c r="G1394" s="18">
        <f t="shared" si="34"/>
        <v>0</v>
      </c>
    </row>
    <row r="1395" spans="1:7" ht="15.75" x14ac:dyDescent="0.25">
      <c r="A1395" s="15" t="str">
        <f>'PEDIDO 18'!$B$2</f>
        <v>Santa Cruz Do Rio Pardo-Santa Cruz Moveis Ltda</v>
      </c>
      <c r="B1395" s="12" t="s">
        <v>415</v>
      </c>
      <c r="C1395" s="1">
        <f>IFERROR(VLOOKUP(52,'PEDIDO 18'!$C$2:$E$230,3,0),0)</f>
        <v>0</v>
      </c>
      <c r="D1395" s="1">
        <f>IFERROR(VLOOKUP(53,'PEDIDO 18'!$C$2:$E$230,3,0),0)</f>
        <v>0</v>
      </c>
      <c r="E1395" s="1">
        <f>IFERROR(VLOOKUP(54,'PEDIDO 18'!$C$2:$E$230,3,0),0)</f>
        <v>0</v>
      </c>
      <c r="F1395" s="1">
        <f>IFERROR(VLOOKUP(299,'PEDIDO 18'!$C$2:$E$230,3,0),0)</f>
        <v>0</v>
      </c>
      <c r="G1395" s="18">
        <f t="shared" si="34"/>
        <v>0</v>
      </c>
    </row>
    <row r="1396" spans="1:7" ht="15.75" x14ac:dyDescent="0.25">
      <c r="A1396" s="15" t="str">
        <f>'PEDIDO 18'!$B$2</f>
        <v>Santa Cruz Do Rio Pardo-Santa Cruz Moveis Ltda</v>
      </c>
      <c r="B1396" s="12" t="s">
        <v>416</v>
      </c>
      <c r="C1396" s="1">
        <f>IFERROR(VLOOKUP(56,'PEDIDO 18'!$C$2:$E$230,3,0),0)</f>
        <v>0</v>
      </c>
      <c r="D1396" s="1">
        <f>IFERROR(VLOOKUP(61,'PEDIDO 18'!$C$2:$E$230,3,0),0)</f>
        <v>0</v>
      </c>
      <c r="E1396" s="1">
        <f>IFERROR(VLOOKUP(58,'PEDIDO 18'!$C$2:$E$230,3,0),0)</f>
        <v>0</v>
      </c>
      <c r="F1396" s="1">
        <f>IFERROR(VLOOKUP(300,'PEDIDO 18'!$C$2:$E$230,3,0),0)</f>
        <v>0</v>
      </c>
      <c r="G1396" s="18">
        <f t="shared" si="34"/>
        <v>0</v>
      </c>
    </row>
    <row r="1397" spans="1:7" ht="15.75" x14ac:dyDescent="0.25">
      <c r="A1397" s="15" t="str">
        <f>'PEDIDO 18'!$B$2</f>
        <v>Santa Cruz Do Rio Pardo-Santa Cruz Moveis Ltda</v>
      </c>
      <c r="B1397" s="12" t="s">
        <v>417</v>
      </c>
      <c r="C1397" s="1">
        <f>IFERROR(VLOOKUP(60,'PEDIDO 18'!$C$2:$E$230,3,0),0)</f>
        <v>0</v>
      </c>
      <c r="D1397" s="1">
        <f>IFERROR(VLOOKUP(120,'PEDIDO 18'!$C$2:$E$230,3,0),0)</f>
        <v>0</v>
      </c>
      <c r="E1397" s="1">
        <f>IFERROR(VLOOKUP(62,'PEDIDO 18'!$C$2:$E$230,3,0),0)</f>
        <v>0</v>
      </c>
      <c r="F1397" s="1">
        <f>IFERROR(VLOOKUP(301,'PEDIDO 18'!$C$2:$E$230,3,0),0)</f>
        <v>0</v>
      </c>
      <c r="G1397" s="18">
        <f t="shared" si="34"/>
        <v>0</v>
      </c>
    </row>
    <row r="1398" spans="1:7" ht="15.75" x14ac:dyDescent="0.25">
      <c r="A1398" s="15" t="str">
        <f>'PEDIDO 18'!$B$2</f>
        <v>Santa Cruz Do Rio Pardo-Santa Cruz Moveis Ltda</v>
      </c>
      <c r="B1398" s="12" t="s">
        <v>426</v>
      </c>
      <c r="C1398" s="1">
        <f>IFERROR(VLOOKUP(112,'PEDIDO 18'!$C$2:$E$230,3,0),0)</f>
        <v>0</v>
      </c>
      <c r="D1398" s="1">
        <f>IFERROR(VLOOKUP(113,'PEDIDO 18'!$C$2:$E$230,3,0),0)</f>
        <v>0</v>
      </c>
      <c r="E1398" s="1">
        <f>IFERROR(VLOOKUP(114,'PEDIDO 18'!$C$2:$E$230,3,0),0)</f>
        <v>0</v>
      </c>
      <c r="F1398" s="1">
        <f>IFERROR(VLOOKUP(296,'PEDIDO 18'!$C$2:$E$230,3,0),0)</f>
        <v>0</v>
      </c>
      <c r="G1398" s="18">
        <f t="shared" si="34"/>
        <v>0</v>
      </c>
    </row>
    <row r="1399" spans="1:7" ht="15.75" x14ac:dyDescent="0.25">
      <c r="A1399" s="15" t="str">
        <f>'PEDIDO 18'!$B$2</f>
        <v>Santa Cruz Do Rio Pardo-Santa Cruz Moveis Ltda</v>
      </c>
      <c r="B1399" s="12" t="s">
        <v>427</v>
      </c>
      <c r="C1399" s="1">
        <f>IFERROR(VLOOKUP(116,'PEDIDO 18'!$C$2:$E$230,3,0),0)</f>
        <v>0</v>
      </c>
      <c r="D1399" s="1">
        <f>IFERROR(VLOOKUP(117,'PEDIDO 18'!$C$2:$E$230,3,0),0)</f>
        <v>0</v>
      </c>
      <c r="E1399" s="1">
        <f>IFERROR(VLOOKUP(118,'PEDIDO 18'!$C$2:$E$230,3,0),0)</f>
        <v>0</v>
      </c>
      <c r="F1399" s="1">
        <f>IFERROR(VLOOKUP(293,'PEDIDO 18'!$C$2:$E$230,3,0),0)</f>
        <v>0</v>
      </c>
      <c r="G1399" s="18">
        <f t="shared" si="34"/>
        <v>0</v>
      </c>
    </row>
    <row r="1400" spans="1:7" ht="15.75" x14ac:dyDescent="0.25">
      <c r="A1400" s="15" t="str">
        <f>'PEDIDO 18'!$B$2</f>
        <v>Santa Cruz Do Rio Pardo-Santa Cruz Moveis Ltda</v>
      </c>
      <c r="B1400" s="12" t="s">
        <v>418</v>
      </c>
      <c r="C1400" s="1">
        <f>IFERROR(VLOOKUP(963,'PEDIDO 18'!$C$2:$E$230,3,0),0)</f>
        <v>0</v>
      </c>
      <c r="D1400" s="1">
        <f>IFERROR(VLOOKUP(965,'PEDIDO 18'!$C$2:$E$230,3,0),0)</f>
        <v>0</v>
      </c>
      <c r="E1400" s="1">
        <f>IFERROR(VLOOKUP(966,'PEDIDO 18'!$C$2:$E$230,3,0),0)</f>
        <v>0</v>
      </c>
      <c r="F1400" s="1">
        <f>IFERROR(VLOOKUP(964,'PEDIDO 18'!$C$2:$E$230,3,0),0)</f>
        <v>0</v>
      </c>
      <c r="G1400" s="18">
        <f t="shared" si="34"/>
        <v>0</v>
      </c>
    </row>
    <row r="1401" spans="1:7" ht="15.75" x14ac:dyDescent="0.25">
      <c r="A1401" s="15" t="str">
        <f>'PEDIDO 18'!$B$2</f>
        <v>Santa Cruz Do Rio Pardo-Santa Cruz Moveis Ltda</v>
      </c>
      <c r="B1401" s="12" t="s">
        <v>419</v>
      </c>
      <c r="C1401" s="1">
        <f>IFERROR(VLOOKUP(2042,'PEDIDO 18'!$C$2:$E$230,3,0),0)</f>
        <v>0</v>
      </c>
      <c r="D1401" s="1">
        <f>IFERROR(VLOOKUP(2041,'PEDIDO 18'!$C$2:$E$230,3,0),0)</f>
        <v>0</v>
      </c>
      <c r="E1401" s="1">
        <f>IFERROR(VLOOKUP(2043,'PEDIDO 18'!$C$2:$E$230,3,0),0)</f>
        <v>0</v>
      </c>
      <c r="F1401" s="1">
        <f>IFERROR(VLOOKUP(2040,'PEDIDO 18'!$C$2:$E$230,3,0),0)</f>
        <v>0</v>
      </c>
      <c r="G1401" s="18">
        <f t="shared" si="34"/>
        <v>0</v>
      </c>
    </row>
    <row r="1402" spans="1:7" ht="15.75" x14ac:dyDescent="0.25">
      <c r="A1402" s="15" t="str">
        <f>'PEDIDO 18'!$B$2</f>
        <v>Santa Cruz Do Rio Pardo-Santa Cruz Moveis Ltda</v>
      </c>
      <c r="B1402" s="12" t="s">
        <v>420</v>
      </c>
      <c r="C1402" s="1">
        <f>IFERROR(VLOOKUP(2045,'PEDIDO 18'!$C$2:$E$230,3,0),0)</f>
        <v>0</v>
      </c>
      <c r="D1402" s="1">
        <f>IFERROR(VLOOKUP(2046,'PEDIDO 18'!$C$2:$E$230,3,0),0)</f>
        <v>0</v>
      </c>
      <c r="E1402" s="1">
        <f>IFERROR(VLOOKUP(2047,'PEDIDO 18'!$C$2:$E$230,3,0),0)</f>
        <v>0</v>
      </c>
      <c r="F1402" s="1">
        <f>IFERROR(VLOOKUP(2048,'PEDIDO 18'!$C$2:$E$230,3,0),0)</f>
        <v>0</v>
      </c>
      <c r="G1402" s="18">
        <f t="shared" si="34"/>
        <v>0</v>
      </c>
    </row>
    <row r="1403" spans="1:7" ht="15.75" x14ac:dyDescent="0.25">
      <c r="A1403" s="15" t="str">
        <f>'PEDIDO 18'!$B$2</f>
        <v>Santa Cruz Do Rio Pardo-Santa Cruz Moveis Ltda</v>
      </c>
      <c r="B1403" s="12" t="s">
        <v>421</v>
      </c>
      <c r="C1403" s="1">
        <f>IFERROR(VLOOKUP(2050,'PEDIDO 18'!$C$2:$E$230,3,0),0)</f>
        <v>0</v>
      </c>
      <c r="D1403" s="1">
        <f>IFERROR(VLOOKUP(2051,'PEDIDO 18'!$C$2:$E$230,3,0),0)</f>
        <v>0</v>
      </c>
      <c r="E1403" s="1">
        <f>IFERROR(VLOOKUP(2052,'PEDIDO 18'!$C$2:$E$230,3,0),0)</f>
        <v>0</v>
      </c>
      <c r="F1403" s="1">
        <f>IFERROR(VLOOKUP(2053,'PEDIDO 18'!$C$2:$E$230,3,0),0)</f>
        <v>0</v>
      </c>
      <c r="G1403" s="18">
        <f t="shared" si="34"/>
        <v>0</v>
      </c>
    </row>
    <row r="1404" spans="1:7" ht="15.75" x14ac:dyDescent="0.25">
      <c r="A1404" s="15" t="str">
        <f>'PEDIDO 18'!$B$2</f>
        <v>Santa Cruz Do Rio Pardo-Santa Cruz Moveis Ltda</v>
      </c>
      <c r="B1404" s="12" t="s">
        <v>422</v>
      </c>
      <c r="C1404" s="1">
        <f>IFERROR(VLOOKUP(216,'PEDIDO 18'!$C$2:$E$230,3,0),0)</f>
        <v>0</v>
      </c>
      <c r="D1404" s="1">
        <f>IFERROR(VLOOKUP(217,'PEDIDO 18'!$C$2:$E$230,3,0),0)</f>
        <v>0</v>
      </c>
      <c r="E1404" s="1">
        <f>IFERROR(VLOOKUP(218,'PEDIDO 18'!$C$2:$E$230,3,0),0)</f>
        <v>0</v>
      </c>
      <c r="F1404" s="1">
        <f>IFERROR(VLOOKUP(305,'PEDIDO 18'!$C$2:$E$230,3,0),0)</f>
        <v>0</v>
      </c>
      <c r="G1404" s="18">
        <f t="shared" si="34"/>
        <v>0</v>
      </c>
    </row>
    <row r="1405" spans="1:7" ht="15.75" x14ac:dyDescent="0.25">
      <c r="A1405" s="15" t="str">
        <f>'PEDIDO 18'!$B$2</f>
        <v>Santa Cruz Do Rio Pardo-Santa Cruz Moveis Ltda</v>
      </c>
      <c r="B1405" s="12" t="s">
        <v>423</v>
      </c>
      <c r="C1405" s="1">
        <f>IFERROR(VLOOKUP(100,'PEDIDO 18'!$C$2:$E$230,3,0),0)</f>
        <v>0</v>
      </c>
      <c r="D1405" s="1">
        <f>IFERROR(VLOOKUP(101,'PEDIDO 18'!$C$2:$E$230,3,0),0)</f>
        <v>0</v>
      </c>
      <c r="E1405" s="1">
        <f>IFERROR(VLOOKUP(102,'PEDIDO 18'!$C$2:$E$230,3,0),0)</f>
        <v>0</v>
      </c>
      <c r="F1405" s="1">
        <f>IFERROR(VLOOKUP(306,'PEDIDO 18'!$C$2:$E$230,3,0),0)</f>
        <v>0</v>
      </c>
      <c r="G1405" s="18">
        <f t="shared" si="34"/>
        <v>0</v>
      </c>
    </row>
    <row r="1406" spans="1:7" ht="15.75" x14ac:dyDescent="0.25">
      <c r="A1406" s="15" t="str">
        <f>'PEDIDO 18'!$B$2</f>
        <v>Santa Cruz Do Rio Pardo-Santa Cruz Moveis Ltda</v>
      </c>
      <c r="B1406" s="12" t="s">
        <v>424</v>
      </c>
      <c r="C1406" s="1">
        <f>IFERROR(VLOOKUP(104,'PEDIDO 18'!$C$2:$E$230,3,0),0)</f>
        <v>0</v>
      </c>
      <c r="D1406" s="1">
        <f>IFERROR(VLOOKUP(105,'PEDIDO 18'!$C$2:$E$230,3,0),0)</f>
        <v>0</v>
      </c>
      <c r="E1406" s="1">
        <f>IFERROR(VLOOKUP(106,'PEDIDO 18'!$C$2:$E$230,3,0),0)</f>
        <v>0</v>
      </c>
      <c r="F1406" s="1">
        <f>IFERROR(VLOOKUP(307,'PEDIDO 18'!$C$2:$E$230,3,0),0)</f>
        <v>0</v>
      </c>
      <c r="G1406" s="18">
        <f t="shared" si="34"/>
        <v>0</v>
      </c>
    </row>
    <row r="1407" spans="1:7" ht="15.75" x14ac:dyDescent="0.25">
      <c r="A1407" s="15" t="str">
        <f>'PEDIDO 18'!$B$2</f>
        <v>Santa Cruz Do Rio Pardo-Santa Cruz Moveis Ltda</v>
      </c>
      <c r="B1407" s="12" t="s">
        <v>425</v>
      </c>
      <c r="C1407" s="1">
        <f>IFERROR(VLOOKUP(400,'PEDIDO 18'!$C$2:$E$230,3,0),0)</f>
        <v>0</v>
      </c>
      <c r="D1407" s="1">
        <f>IFERROR(VLOOKUP(401,'PEDIDO 18'!$C$2:$E$230,3,0),0)</f>
        <v>0</v>
      </c>
      <c r="E1407" s="1">
        <f>IFERROR(VLOOKUP(402,'PEDIDO 18'!$C$2:$E$230,3,0),0)</f>
        <v>0</v>
      </c>
      <c r="F1407" s="1">
        <f>IFERROR(VLOOKUP(403,'PEDIDO 18'!$C$2:$E$230,3,0),0)</f>
        <v>0</v>
      </c>
      <c r="G1407" s="18">
        <f t="shared" si="34"/>
        <v>0</v>
      </c>
    </row>
    <row r="1408" spans="1:7" ht="15.75" x14ac:dyDescent="0.25">
      <c r="A1408" s="15" t="str">
        <f>'PEDIDO 18'!$B$2</f>
        <v>Santa Cruz Do Rio Pardo-Santa Cruz Moveis Ltda</v>
      </c>
      <c r="B1408" s="12" t="s">
        <v>428</v>
      </c>
      <c r="C1408" s="1">
        <f>IFERROR(VLOOKUP(22,'PEDIDO 18'!$C$2:$E$230,3,0),0)</f>
        <v>0</v>
      </c>
      <c r="D1408" s="1"/>
      <c r="E1408" s="1"/>
      <c r="F1408" s="1"/>
      <c r="G1408" s="18">
        <f t="shared" si="34"/>
        <v>0</v>
      </c>
    </row>
    <row r="1409" spans="1:7" ht="15.75" x14ac:dyDescent="0.25">
      <c r="A1409" s="15" t="str">
        <f>'PEDIDO 18'!$B$2</f>
        <v>Santa Cruz Do Rio Pardo-Santa Cruz Moveis Ltda</v>
      </c>
      <c r="B1409" s="12" t="s">
        <v>429</v>
      </c>
      <c r="C1409" s="1">
        <f>IFERROR(VLOOKUP(21,'PEDIDO 18'!$C$2:$E$230,3,0),0)</f>
        <v>0</v>
      </c>
      <c r="D1409" s="1"/>
      <c r="E1409" s="1"/>
      <c r="F1409" s="1"/>
      <c r="G1409" s="18">
        <f t="shared" si="34"/>
        <v>0</v>
      </c>
    </row>
    <row r="1410" spans="1:7" ht="15.75" x14ac:dyDescent="0.25">
      <c r="A1410" s="15" t="str">
        <f>'PEDIDO 18'!$B$2</f>
        <v>Santa Cruz Do Rio Pardo-Santa Cruz Moveis Ltda</v>
      </c>
      <c r="B1410" s="12" t="s">
        <v>430</v>
      </c>
      <c r="C1410" s="1">
        <f>IFERROR(VLOOKUP(1125,'PEDIDO 18'!$C$2:$E$230,3,0),0)</f>
        <v>0</v>
      </c>
      <c r="D1410" s="1">
        <f>IFERROR(VLOOKUP(1126,'PEDIDO 18'!$C$2:$E$230,3,0),0)</f>
        <v>0</v>
      </c>
      <c r="E1410" s="1">
        <f>IFERROR(VLOOKUP(1127,'PEDIDO 18'!$C$2:$E$230,3,0),0)</f>
        <v>0</v>
      </c>
      <c r="F1410" s="1">
        <f>IFERROR(VLOOKUP(1128,'PEDIDO 18'!$C$2:$E$230,3,0),0)</f>
        <v>0</v>
      </c>
      <c r="G1410" s="18">
        <f t="shared" si="34"/>
        <v>0</v>
      </c>
    </row>
    <row r="1411" spans="1:7" ht="15.75" x14ac:dyDescent="0.25">
      <c r="A1411" s="15" t="str">
        <f>'PEDIDO 18'!$B$2</f>
        <v>Santa Cruz Do Rio Pardo-Santa Cruz Moveis Ltda</v>
      </c>
      <c r="B1411" s="12" t="s">
        <v>431</v>
      </c>
      <c r="C1411" s="1">
        <f>IFERROR(VLOOKUP(1133,'PEDIDO 18'!$C$2:$E$230,3,0),0)</f>
        <v>0</v>
      </c>
      <c r="D1411" s="1">
        <f>IFERROR(VLOOKUP(1134,'PEDIDO 18'!$C$2:$E$230,3,0),0)</f>
        <v>0</v>
      </c>
      <c r="E1411" s="1">
        <f>IFERROR(VLOOKUP(1135,'PEDIDO 18'!$C$2:$E$230,3,0),0)</f>
        <v>0</v>
      </c>
      <c r="F1411" s="1">
        <f>IFERROR(VLOOKUP(1136,'PEDIDO 18'!$C$2:$E$230,3,0),0)</f>
        <v>0</v>
      </c>
      <c r="G1411" s="18">
        <f t="shared" si="34"/>
        <v>0</v>
      </c>
    </row>
    <row r="1412" spans="1:7" ht="15.75" x14ac:dyDescent="0.25">
      <c r="A1412" s="15" t="str">
        <f>'PEDIDO 18'!$B$2</f>
        <v>Santa Cruz Do Rio Pardo-Santa Cruz Moveis Ltda</v>
      </c>
      <c r="B1412" s="12" t="s">
        <v>432</v>
      </c>
      <c r="C1412" s="1">
        <f>IFERROR(VLOOKUP(1105,'PEDIDO 18'!$C$2:$E$230,3,0),0)</f>
        <v>0</v>
      </c>
      <c r="D1412" s="1">
        <f>IFERROR(VLOOKUP(1106,'PEDIDO 18'!$C$2:$E$230,3,0),0)</f>
        <v>0</v>
      </c>
      <c r="E1412" s="1">
        <f>IFERROR(VLOOKUP(1107,'PEDIDO 18'!$C$2:$E$230,3,0),0)</f>
        <v>0</v>
      </c>
      <c r="F1412" s="1">
        <f>IFERROR(VLOOKUP(1108,'PEDIDO 18'!$C$2:$E$230,3,0),0)</f>
        <v>0</v>
      </c>
      <c r="G1412" s="18">
        <f t="shared" si="34"/>
        <v>0</v>
      </c>
    </row>
    <row r="1413" spans="1:7" ht="15.75" x14ac:dyDescent="0.25">
      <c r="A1413" s="15" t="str">
        <f>'PEDIDO 18'!$B$2</f>
        <v>Santa Cruz Do Rio Pardo-Santa Cruz Moveis Ltda</v>
      </c>
      <c r="B1413" s="12" t="s">
        <v>433</v>
      </c>
      <c r="C1413" s="1">
        <f>IFERROR(VLOOKUP(1109,'PEDIDO 18'!$C$2:$E$230,3,0),0)</f>
        <v>0</v>
      </c>
      <c r="D1413" s="1">
        <f>IFERROR(VLOOKUP(1110,'PEDIDO 18'!$C$2:$E$230,3,0),0)</f>
        <v>0</v>
      </c>
      <c r="E1413" s="1">
        <f>IFERROR(VLOOKUP(1111,'PEDIDO 18'!$C$2:$E$230,3,0),0)</f>
        <v>0</v>
      </c>
      <c r="F1413" s="1">
        <f>IFERROR(VLOOKUP(1112,'PEDIDO 18'!$C$2:$E$230,3,0),0)</f>
        <v>0</v>
      </c>
      <c r="G1413" s="18">
        <f t="shared" si="34"/>
        <v>0</v>
      </c>
    </row>
    <row r="1414" spans="1:7" ht="15.75" x14ac:dyDescent="0.25">
      <c r="A1414" s="15" t="str">
        <f>'PEDIDO 18'!$B$2</f>
        <v>Santa Cruz Do Rio Pardo-Santa Cruz Moveis Ltda</v>
      </c>
      <c r="B1414" s="12" t="s">
        <v>434</v>
      </c>
      <c r="C1414" s="1">
        <f>IFERROR(VLOOKUP(1113,'PEDIDO 18'!$C$2:$E$230,3,0),0)</f>
        <v>0</v>
      </c>
      <c r="D1414" s="1">
        <f>IFERROR(VLOOKUP(1114,'PEDIDO 18'!$C$2:$E$230,3,0),0)</f>
        <v>0</v>
      </c>
      <c r="E1414" s="1">
        <f>IFERROR(VLOOKUP(1115,'PEDIDO 18'!$C$2:$E$230,3,0),0)</f>
        <v>0</v>
      </c>
      <c r="F1414" s="1">
        <f>IFERROR(VLOOKUP(1116,'PEDIDO 18'!$C$2:$E$230,3,0),0)</f>
        <v>0</v>
      </c>
      <c r="G1414" s="18">
        <f t="shared" si="34"/>
        <v>0</v>
      </c>
    </row>
    <row r="1415" spans="1:7" ht="15.75" x14ac:dyDescent="0.25">
      <c r="A1415" s="15" t="str">
        <f>'PEDIDO 18'!$B$2</f>
        <v>Santa Cruz Do Rio Pardo-Santa Cruz Moveis Ltda</v>
      </c>
      <c r="B1415" s="12" t="s">
        <v>435</v>
      </c>
      <c r="C1415" s="1">
        <f>IFERROR(VLOOKUP(1117,'PEDIDO 18'!$C$2:$E$230,3,0),0)</f>
        <v>0</v>
      </c>
      <c r="D1415" s="1">
        <f>IFERROR(VLOOKUP(1118,'PEDIDO 18'!$C$2:$E$230,3,0),0)</f>
        <v>0</v>
      </c>
      <c r="E1415" s="1">
        <f>IFERROR(VLOOKUP(1119,'PEDIDO 18'!$C$2:$E$230,3,0),0)</f>
        <v>0</v>
      </c>
      <c r="F1415" s="1">
        <f>IFERROR(VLOOKUP(1120,'PEDIDO 18'!$C$2:$E$230,3,0),0)</f>
        <v>0</v>
      </c>
      <c r="G1415" s="18">
        <f t="shared" si="34"/>
        <v>0</v>
      </c>
    </row>
    <row r="1416" spans="1:7" ht="15.75" x14ac:dyDescent="0.25">
      <c r="A1416" s="15" t="str">
        <f>'PEDIDO 18'!$B$2</f>
        <v>Santa Cruz Do Rio Pardo-Santa Cruz Moveis Ltda</v>
      </c>
      <c r="B1416" s="12" t="s">
        <v>436</v>
      </c>
      <c r="C1416" s="1">
        <f>IFERROR(VLOOKUP(1121,'PEDIDO 18'!$C$2:$E$230,3,0),0)</f>
        <v>0</v>
      </c>
      <c r="D1416" s="1">
        <f>IFERROR(VLOOKUP(1122,'PEDIDO 18'!$C$2:$E$230,3,0),0)</f>
        <v>0</v>
      </c>
      <c r="E1416" s="1">
        <f>IFERROR(VLOOKUP(1123,'PEDIDO 18'!$C$2:$E$230,3,0),0)</f>
        <v>0</v>
      </c>
      <c r="F1416" s="1">
        <f>IFERROR(VLOOKUP(1124,'PEDIDO 18'!$C$2:$E$230,3,0),0)</f>
        <v>0</v>
      </c>
      <c r="G1416" s="18">
        <f t="shared" si="34"/>
        <v>0</v>
      </c>
    </row>
    <row r="1417" spans="1:7" ht="15.75" x14ac:dyDescent="0.25">
      <c r="A1417" s="15" t="str">
        <f>'PEDIDO 18'!$B$2</f>
        <v>Santa Cruz Do Rio Pardo-Santa Cruz Moveis Ltda</v>
      </c>
      <c r="B1417" s="12" t="s">
        <v>437</v>
      </c>
      <c r="C1417" s="1">
        <f>IFERROR(VLOOKUP(1129,'PEDIDO 18'!$C$2:$E$230,3,0),0)</f>
        <v>0</v>
      </c>
      <c r="D1417" s="1">
        <f>IFERROR(VLOOKUP(1130,'PEDIDO 18'!$C$2:$E$230,3,0),0)</f>
        <v>0</v>
      </c>
      <c r="E1417" s="1">
        <f>IFERROR(VLOOKUP(1131,'PEDIDO 18'!$C$2:$E$230,3,0),0)</f>
        <v>0</v>
      </c>
      <c r="F1417" s="1">
        <f>IFERROR(VLOOKUP(1132,'PEDIDO 18'!$C$2:$E$230,3,0),0)</f>
        <v>0</v>
      </c>
      <c r="G1417" s="18">
        <f t="shared" si="34"/>
        <v>0</v>
      </c>
    </row>
    <row r="1418" spans="1:7" ht="15.75" x14ac:dyDescent="0.25">
      <c r="A1418" s="15" t="str">
        <f>'PEDIDO 18'!$B$2</f>
        <v>Santa Cruz Do Rio Pardo-Santa Cruz Moveis Ltda</v>
      </c>
      <c r="B1418" s="12" t="s">
        <v>438</v>
      </c>
      <c r="C1418" s="1">
        <f>IFERROR(VLOOKUP(1137,'PEDIDO 18'!$C$2:$E$230,3,0),0)</f>
        <v>0</v>
      </c>
      <c r="D1418" s="1">
        <f>IFERROR(VLOOKUP(1138,'PEDIDO 18'!$C$2:$E$230,3,0),0)</f>
        <v>0</v>
      </c>
      <c r="E1418" s="1">
        <f>IFERROR(VLOOKUP(1139,'PEDIDO 18'!$C$2:$E$230,3,0),0)</f>
        <v>0</v>
      </c>
      <c r="F1418" s="1">
        <f>IFERROR(VLOOKUP(1140,'PEDIDO 18'!$C$2:$E$230,3,0),0)</f>
        <v>0</v>
      </c>
      <c r="G1418" s="18">
        <f t="shared" si="34"/>
        <v>0</v>
      </c>
    </row>
    <row r="1419" spans="1:7" ht="15.75" x14ac:dyDescent="0.25">
      <c r="A1419" s="15" t="str">
        <f>'PEDIDO 18'!$B$2</f>
        <v>Santa Cruz Do Rio Pardo-Santa Cruz Moveis Ltda</v>
      </c>
      <c r="B1419" s="12" t="s">
        <v>439</v>
      </c>
      <c r="C1419" s="1">
        <f>IFERROR(VLOOKUP(1141,'PEDIDO 18'!$C$2:$E$230,3,0),0)</f>
        <v>0</v>
      </c>
      <c r="D1419" s="1">
        <f>IFERROR(VLOOKUP(1142,'PEDIDO 18'!$C$2:$E$230,3,0),0)</f>
        <v>0</v>
      </c>
      <c r="E1419" s="1">
        <f>IFERROR(VLOOKUP(1143,'PEDIDO 18'!$C$2:$E$230,3,0),0)</f>
        <v>0</v>
      </c>
      <c r="F1419" s="1">
        <f>IFERROR(VLOOKUP(1144,'PEDIDO 18'!$C$2:$E$230,3,0),0)</f>
        <v>0</v>
      </c>
      <c r="G1419" s="18">
        <f t="shared" si="34"/>
        <v>0</v>
      </c>
    </row>
    <row r="1420" spans="1:7" ht="15.75" x14ac:dyDescent="0.25">
      <c r="A1420" s="15" t="str">
        <f>'PEDIDO 18'!$B$2</f>
        <v>Santa Cruz Do Rio Pardo-Santa Cruz Moveis Ltda</v>
      </c>
      <c r="B1420" s="12" t="s">
        <v>440</v>
      </c>
      <c r="C1420" s="1">
        <f>IFERROR(VLOOKUP(1145,'PEDIDO 18'!$C$2:$E$230,3,0),0)</f>
        <v>0</v>
      </c>
      <c r="D1420" s="1">
        <f>IFERROR(VLOOKUP(1146,'PEDIDO 18'!$C$2:$E$230,3,0),0)</f>
        <v>0</v>
      </c>
      <c r="E1420" s="1">
        <f>IFERROR(VLOOKUP(1147,'PEDIDO 18'!$C$2:$E$230,3,0),0)</f>
        <v>0</v>
      </c>
      <c r="F1420" s="1">
        <f>IFERROR(VLOOKUP(1148,'PEDIDO 18'!$C$2:$E$230,3,0),0)</f>
        <v>0</v>
      </c>
      <c r="G1420" s="18">
        <f t="shared" si="34"/>
        <v>0</v>
      </c>
    </row>
    <row r="1421" spans="1:7" ht="15.75" x14ac:dyDescent="0.25">
      <c r="A1421" s="15" t="str">
        <f>'PEDIDO 18'!$B$2</f>
        <v>Santa Cruz Do Rio Pardo-Santa Cruz Moveis Ltda</v>
      </c>
      <c r="B1421" s="12" t="s">
        <v>441</v>
      </c>
      <c r="C1421" s="1">
        <f>IFERROR(VLOOKUP(1149,'PEDIDO 18'!$C$2:$E$230,3,0),0)</f>
        <v>0</v>
      </c>
      <c r="D1421" s="1">
        <f>IFERROR(VLOOKUP(1150,'PEDIDO 18'!$C$2:$E$230,3,0),0)</f>
        <v>0</v>
      </c>
      <c r="E1421" s="1">
        <f>IFERROR(VLOOKUP(1151,'PEDIDO 18'!$C$2:$E$230,3,0),0)</f>
        <v>0</v>
      </c>
      <c r="F1421" s="1">
        <f>IFERROR(VLOOKUP(1152,'PEDIDO 18'!$C$2:$E$230,3,0),0)</f>
        <v>0</v>
      </c>
      <c r="G1421" s="18">
        <f t="shared" si="34"/>
        <v>0</v>
      </c>
    </row>
    <row r="1422" spans="1:7" ht="15.75" x14ac:dyDescent="0.25">
      <c r="A1422" s="15" t="str">
        <f>'PEDIDO 18'!$B$2</f>
        <v>Santa Cruz Do Rio Pardo-Santa Cruz Moveis Ltda</v>
      </c>
      <c r="B1422" s="12" t="s">
        <v>442</v>
      </c>
      <c r="C1422" s="1">
        <f>IFERROR(VLOOKUP(1153,'PEDIDO 18'!$C$2:$E$230,3,0),0)</f>
        <v>0</v>
      </c>
      <c r="D1422" s="1">
        <f>IFERROR(VLOOKUP(1154,'PEDIDO 18'!$C$2:$E$230,3,0),0)</f>
        <v>0</v>
      </c>
      <c r="E1422" s="1">
        <f>IFERROR(VLOOKUP(1155,'PEDIDO 18'!$C$2:$E$230,3,0),0)</f>
        <v>0</v>
      </c>
      <c r="F1422" s="1">
        <f>IFERROR(VLOOKUP(1156,'PEDIDO 18'!$C$2:$E$230,3,0),0)</f>
        <v>0</v>
      </c>
      <c r="G1422" s="18">
        <f t="shared" si="34"/>
        <v>0</v>
      </c>
    </row>
    <row r="1423" spans="1:7" ht="15.75" x14ac:dyDescent="0.25">
      <c r="A1423" s="15" t="str">
        <f>'PEDIDO 18'!$B$2</f>
        <v>Santa Cruz Do Rio Pardo-Santa Cruz Moveis Ltda</v>
      </c>
      <c r="B1423" s="12" t="s">
        <v>443</v>
      </c>
      <c r="C1423" s="1">
        <f>IFERROR(VLOOKUP(1157,'PEDIDO 18'!$C$2:$E$230,3,0),0)</f>
        <v>0</v>
      </c>
      <c r="D1423" s="1">
        <f>IFERROR(VLOOKUP(1158,'PEDIDO 18'!$C$2:$E$230,3,0),0)</f>
        <v>0</v>
      </c>
      <c r="E1423" s="1">
        <f>IFERROR(VLOOKUP(1159,'PEDIDO 18'!$C$2:$E$230,3,0),0)</f>
        <v>0</v>
      </c>
      <c r="F1423" s="1">
        <f>IFERROR(VLOOKUP(1160,'PEDIDO 18'!$C$2:$E$230,3,0),0)</f>
        <v>0</v>
      </c>
      <c r="G1423" s="18">
        <f t="shared" si="34"/>
        <v>0</v>
      </c>
    </row>
    <row r="1424" spans="1:7" ht="15.75" x14ac:dyDescent="0.25">
      <c r="A1424" s="15" t="str">
        <f>'PEDIDO 18'!$B$2</f>
        <v>Santa Cruz Do Rio Pardo-Santa Cruz Moveis Ltda</v>
      </c>
      <c r="B1424" s="12" t="s">
        <v>444</v>
      </c>
      <c r="C1424" s="1">
        <f>IFERROR(VLOOKUP(1161,'PEDIDO 18'!$C$2:$E$230,3,0),0)</f>
        <v>0</v>
      </c>
      <c r="D1424" s="1">
        <f>IFERROR(VLOOKUP(1162,'PEDIDO 18'!$C$2:$E$230,3,0),0)</f>
        <v>0</v>
      </c>
      <c r="E1424" s="1">
        <f>IFERROR(VLOOKUP(1163,'PEDIDO 18'!$C$2:$E$230,3,0),0)</f>
        <v>0</v>
      </c>
      <c r="F1424" s="1">
        <f>IFERROR(VLOOKUP(1164,'PEDIDO 18'!$C$2:$E$230,3,0),0)</f>
        <v>0</v>
      </c>
      <c r="G1424" s="18">
        <f t="shared" si="34"/>
        <v>0</v>
      </c>
    </row>
    <row r="1425" spans="1:7" ht="15.75" x14ac:dyDescent="0.25">
      <c r="A1425" s="15" t="str">
        <f>'PEDIDO 18'!$B$2</f>
        <v>Santa Cruz Do Rio Pardo-Santa Cruz Moveis Ltda</v>
      </c>
      <c r="B1425" s="12" t="s">
        <v>445</v>
      </c>
      <c r="C1425" s="1">
        <f>IFERROR(VLOOKUP(1165,'PEDIDO 18'!$C$2:$E$230,3,0),0)</f>
        <v>0</v>
      </c>
      <c r="D1425" s="1">
        <f>IFERROR(VLOOKUP(1166,'PEDIDO 18'!$C$2:$E$230,3,0),0)</f>
        <v>0</v>
      </c>
      <c r="E1425" s="1">
        <f>IFERROR(VLOOKUP(1167,'PEDIDO 18'!$C$2:$E$230,3,0),0)</f>
        <v>0</v>
      </c>
      <c r="F1425" s="1">
        <f>IFERROR(VLOOKUP(1168,'PEDIDO 18'!$C$2:$E$230,3,0),0)</f>
        <v>0</v>
      </c>
      <c r="G1425" s="18">
        <f t="shared" si="34"/>
        <v>0</v>
      </c>
    </row>
    <row r="1426" spans="1:7" ht="15.75" x14ac:dyDescent="0.25">
      <c r="A1426" s="15" t="str">
        <f>'PEDIDO 18'!$B$2</f>
        <v>Santa Cruz Do Rio Pardo-Santa Cruz Moveis Ltda</v>
      </c>
      <c r="B1426" s="12" t="s">
        <v>446</v>
      </c>
      <c r="C1426" s="1">
        <f>IFERROR(VLOOKUP(1169,'PEDIDO 18'!$C$2:$E$230,3,0),0)</f>
        <v>0</v>
      </c>
      <c r="D1426" s="1">
        <f>IFERROR(VLOOKUP(1170,'PEDIDO 18'!$C$2:$E$230,3,0),0)</f>
        <v>0</v>
      </c>
      <c r="E1426" s="1">
        <f>IFERROR(VLOOKUP(1171,'PEDIDO 18'!$C$2:$E$230,3,0),0)</f>
        <v>0</v>
      </c>
      <c r="F1426" s="1">
        <f>IFERROR(VLOOKUP(1172,'PEDIDO 18'!$C$2:$E$230,3,0),0)</f>
        <v>0</v>
      </c>
      <c r="G1426" s="18">
        <f t="shared" si="34"/>
        <v>0</v>
      </c>
    </row>
    <row r="1427" spans="1:7" ht="15.75" x14ac:dyDescent="0.25">
      <c r="A1427" s="15" t="str">
        <f>'PEDIDO 18'!$B$2</f>
        <v>Santa Cruz Do Rio Pardo-Santa Cruz Moveis Ltda</v>
      </c>
      <c r="B1427" s="12" t="s">
        <v>447</v>
      </c>
      <c r="C1427" s="1">
        <f>IFERROR(VLOOKUP(1173,'PEDIDO 18'!$C$2:$E$230,3,0),0)</f>
        <v>0</v>
      </c>
      <c r="D1427" s="1">
        <f>IFERROR(VLOOKUP(1174,'PEDIDO 18'!$C$2:$E$230,3,0),0)</f>
        <v>0</v>
      </c>
      <c r="E1427" s="1">
        <f>IFERROR(VLOOKUP(1175,'PEDIDO 18'!$C$2:$E$230,3,0),0)</f>
        <v>0</v>
      </c>
      <c r="F1427" s="1">
        <f>IFERROR(VLOOKUP(1176,'PEDIDO 18'!$C$2:$E$230,3,0),0)</f>
        <v>0</v>
      </c>
      <c r="G1427" s="18">
        <f t="shared" si="34"/>
        <v>0</v>
      </c>
    </row>
    <row r="1428" spans="1:7" ht="15.75" x14ac:dyDescent="0.25">
      <c r="A1428" s="15" t="str">
        <f>'PEDIDO 18'!$B$2</f>
        <v>Santa Cruz Do Rio Pardo-Santa Cruz Moveis Ltda</v>
      </c>
      <c r="B1428" s="12" t="s">
        <v>448</v>
      </c>
      <c r="C1428" s="1">
        <f>IFERROR(VLOOKUP(1249,'PEDIDO 18'!$C$2:$E$230,3,0),0)</f>
        <v>0</v>
      </c>
      <c r="D1428" s="1">
        <f>IFERROR(VLOOKUP(1250,'PEDIDO 18'!$C$2:$E$230,3,0),0)</f>
        <v>0</v>
      </c>
      <c r="E1428" s="1">
        <f>IFERROR(VLOOKUP(1251,'PEDIDO 18'!$C$2:$E$230,3,0),0)</f>
        <v>0</v>
      </c>
      <c r="F1428" s="1">
        <f>IFERROR(VLOOKUP(1252,'PEDIDO 18'!$C$2:$E$230,3,0),0)</f>
        <v>0</v>
      </c>
      <c r="G1428" s="18">
        <f t="shared" si="34"/>
        <v>0</v>
      </c>
    </row>
    <row r="1429" spans="1:7" ht="15.75" x14ac:dyDescent="0.25">
      <c r="A1429" s="15" t="str">
        <f>'PEDIDO 18'!$B$2</f>
        <v>Santa Cruz Do Rio Pardo-Santa Cruz Moveis Ltda</v>
      </c>
      <c r="B1429" s="12" t="s">
        <v>449</v>
      </c>
      <c r="C1429" s="1">
        <f>IFERROR(VLOOKUP(1177,'PEDIDO 18'!$C$2:$E$230,3,0),0)</f>
        <v>0</v>
      </c>
      <c r="D1429" s="1">
        <f>IFERROR(VLOOKUP(1178,'PEDIDO 18'!$C$2:$E$230,3,0),0)</f>
        <v>0</v>
      </c>
      <c r="E1429" s="1">
        <f>IFERROR(VLOOKUP(1179,'PEDIDO 18'!$C$2:$E$230,3,0),0)</f>
        <v>0</v>
      </c>
      <c r="F1429" s="1">
        <f>IFERROR(VLOOKUP(1180,'PEDIDO 18'!$C$2:$E$230,3,0),0)</f>
        <v>0</v>
      </c>
      <c r="G1429" s="18">
        <f t="shared" si="34"/>
        <v>0</v>
      </c>
    </row>
    <row r="1430" spans="1:7" ht="15.75" x14ac:dyDescent="0.25">
      <c r="A1430" s="15" t="str">
        <f>'PEDIDO 18'!$B$2</f>
        <v>Santa Cruz Do Rio Pardo-Santa Cruz Moveis Ltda</v>
      </c>
      <c r="B1430" s="12" t="s">
        <v>450</v>
      </c>
      <c r="C1430" s="1">
        <f>IFERROR(VLOOKUP(1181,'PEDIDO 18'!$C$2:$E$230,3,0),0)</f>
        <v>0</v>
      </c>
      <c r="D1430" s="1">
        <f>IFERROR(VLOOKUP(1182,'PEDIDO 18'!$C$2:$E$230,3,0),0)</f>
        <v>0</v>
      </c>
      <c r="E1430" s="1">
        <f>IFERROR(VLOOKUP(1183,'PEDIDO 18'!$C$2:$E$230,3,0),0)</f>
        <v>0</v>
      </c>
      <c r="F1430" s="1">
        <f>IFERROR(VLOOKUP(1184,'PEDIDO 18'!$C$2:$E$230,3,0),0)</f>
        <v>0</v>
      </c>
      <c r="G1430" s="18">
        <f t="shared" si="34"/>
        <v>0</v>
      </c>
    </row>
    <row r="1431" spans="1:7" ht="15.75" x14ac:dyDescent="0.25">
      <c r="A1431" s="15" t="str">
        <f>'PEDIDO 18'!$B$2</f>
        <v>Santa Cruz Do Rio Pardo-Santa Cruz Moveis Ltda</v>
      </c>
      <c r="B1431" s="12" t="s">
        <v>451</v>
      </c>
      <c r="C1431" s="1">
        <f>IFERROR(VLOOKUP(1185,'PEDIDO 18'!$C$2:$E$230,3,0),0)</f>
        <v>0</v>
      </c>
      <c r="D1431" s="1">
        <f>IFERROR(VLOOKUP(1186,'PEDIDO 18'!$C$2:$E$230,3,0),0)</f>
        <v>0</v>
      </c>
      <c r="E1431" s="1">
        <f>IFERROR(VLOOKUP(1187,'PEDIDO 18'!$C$2:$E$230,3,0),0)</f>
        <v>0</v>
      </c>
      <c r="F1431" s="1">
        <f>IFERROR(VLOOKUP(1188,'PEDIDO 18'!$C$2:$E$230,3,0),0)</f>
        <v>0</v>
      </c>
      <c r="G1431" s="18">
        <f t="shared" si="34"/>
        <v>0</v>
      </c>
    </row>
    <row r="1432" spans="1:7" ht="15.75" x14ac:dyDescent="0.25">
      <c r="A1432" s="15" t="str">
        <f>'PEDIDO 18'!$B$2</f>
        <v>Santa Cruz Do Rio Pardo-Santa Cruz Moveis Ltda</v>
      </c>
      <c r="B1432" s="12" t="s">
        <v>452</v>
      </c>
      <c r="C1432" s="1">
        <f>IFERROR(VLOOKUP(1189,'PEDIDO 18'!$C$2:$E$230,3,0),0)</f>
        <v>0</v>
      </c>
      <c r="D1432" s="1">
        <f>IFERROR(VLOOKUP(1190,'PEDIDO 18'!$C$2:$E$230,3,0),0)</f>
        <v>0</v>
      </c>
      <c r="E1432" s="1">
        <f>IFERROR(VLOOKUP(1191,'PEDIDO 18'!$C$2:$E$230,3,0),0)</f>
        <v>0</v>
      </c>
      <c r="F1432" s="1">
        <f>IFERROR(VLOOKUP(1192,'PEDIDO 18'!$C$2:$E$230,3,0),0)</f>
        <v>0</v>
      </c>
      <c r="G1432" s="18">
        <f t="shared" si="34"/>
        <v>0</v>
      </c>
    </row>
    <row r="1433" spans="1:7" ht="15.75" x14ac:dyDescent="0.25">
      <c r="A1433" s="15" t="str">
        <f>'PEDIDO 18'!$B$2</f>
        <v>Santa Cruz Do Rio Pardo-Santa Cruz Moveis Ltda</v>
      </c>
      <c r="B1433" s="12" t="s">
        <v>453</v>
      </c>
      <c r="C1433" s="1">
        <f>IFERROR(VLOOKUP(1193,'PEDIDO 18'!$C$2:$E$230,3,0),0)</f>
        <v>0</v>
      </c>
      <c r="D1433" s="1">
        <f>IFERROR(VLOOKUP(1194,'PEDIDO 18'!$C$2:$E$230,3,0),0)</f>
        <v>0</v>
      </c>
      <c r="E1433" s="1">
        <f>IFERROR(VLOOKUP(1195,'PEDIDO 18'!$C$2:$E$230,3,0),0)</f>
        <v>0</v>
      </c>
      <c r="F1433" s="1">
        <f>IFERROR(VLOOKUP(1196,'PEDIDO 18'!$C$2:$E$230,3,0),0)</f>
        <v>0</v>
      </c>
      <c r="G1433" s="18">
        <f t="shared" si="34"/>
        <v>0</v>
      </c>
    </row>
    <row r="1434" spans="1:7" ht="15.75" x14ac:dyDescent="0.25">
      <c r="A1434" s="15" t="str">
        <f>'PEDIDO 18'!$B$2</f>
        <v>Santa Cruz Do Rio Pardo-Santa Cruz Moveis Ltda</v>
      </c>
      <c r="B1434" s="12" t="s">
        <v>454</v>
      </c>
      <c r="C1434" s="1">
        <f>IFERROR(VLOOKUP(1197,'PEDIDO 18'!$C$2:$E$230,3,0),0)</f>
        <v>0</v>
      </c>
      <c r="D1434" s="1">
        <f>IFERROR(VLOOKUP(1198,'PEDIDO 18'!$C$2:$E$230,3,0),0)</f>
        <v>0</v>
      </c>
      <c r="E1434" s="1">
        <f>IFERROR(VLOOKUP(1199,'PEDIDO 18'!$C$2:$E$230,3,0),0)</f>
        <v>0</v>
      </c>
      <c r="F1434" s="1">
        <f>IFERROR(VLOOKUP(1200,'PEDIDO 18'!$C$2:$E$230,3,0),0)</f>
        <v>0</v>
      </c>
      <c r="G1434" s="18">
        <f t="shared" si="34"/>
        <v>0</v>
      </c>
    </row>
    <row r="1435" spans="1:7" ht="15.75" x14ac:dyDescent="0.25">
      <c r="A1435" s="15" t="str">
        <f>'PEDIDO 18'!$B$2</f>
        <v>Santa Cruz Do Rio Pardo-Santa Cruz Moveis Ltda</v>
      </c>
      <c r="B1435" s="12" t="s">
        <v>455</v>
      </c>
      <c r="C1435" s="1">
        <f>IFERROR(VLOOKUP(1201,'PEDIDO 18'!$C$2:$E$230,3,0),0)</f>
        <v>0</v>
      </c>
      <c r="D1435" s="1">
        <f>IFERROR(VLOOKUP(1202,'PEDIDO 18'!$C$2:$E$230,3,0),0)</f>
        <v>0</v>
      </c>
      <c r="E1435" s="1">
        <f>IFERROR(VLOOKUP(1203,'PEDIDO 18'!$C$2:$E$230,3,0),0)</f>
        <v>0</v>
      </c>
      <c r="F1435" s="1">
        <f>IFERROR(VLOOKUP(1204,'PEDIDO 18'!$C$2:$E$230,3,0),0)</f>
        <v>0</v>
      </c>
      <c r="G1435" s="18">
        <f t="shared" si="34"/>
        <v>0</v>
      </c>
    </row>
    <row r="1436" spans="1:7" ht="15.75" x14ac:dyDescent="0.25">
      <c r="A1436" s="15" t="str">
        <f>'PEDIDO 18'!$B$2</f>
        <v>Santa Cruz Do Rio Pardo-Santa Cruz Moveis Ltda</v>
      </c>
      <c r="B1436" s="12" t="s">
        <v>456</v>
      </c>
      <c r="C1436" s="1">
        <f>IFERROR(VLOOKUP(1205,'PEDIDO 18'!$C$2:$E$230,3,0),0)</f>
        <v>0</v>
      </c>
      <c r="D1436" s="1">
        <f>IFERROR(VLOOKUP(1206,'PEDIDO 18'!$C$2:$E$230,3,0),0)</f>
        <v>0</v>
      </c>
      <c r="E1436" s="1">
        <f>IFERROR(VLOOKUP(1207,'PEDIDO 18'!$C$2:$E$230,3,0),0)</f>
        <v>0</v>
      </c>
      <c r="F1436" s="1">
        <f>IFERROR(VLOOKUP(1208,'PEDIDO 18'!$C$2:$E$230,3,0),0)</f>
        <v>0</v>
      </c>
      <c r="G1436" s="18">
        <f t="shared" si="34"/>
        <v>0</v>
      </c>
    </row>
    <row r="1437" spans="1:7" ht="15.75" x14ac:dyDescent="0.25">
      <c r="A1437" s="15" t="str">
        <f>'PEDIDO 18'!$B$2</f>
        <v>Santa Cruz Do Rio Pardo-Santa Cruz Moveis Ltda</v>
      </c>
      <c r="B1437" s="12" t="s">
        <v>457</v>
      </c>
      <c r="C1437" s="1">
        <f>IFERROR(VLOOKUP(1213,'PEDIDO 18'!$C$2:$E$230,3,0),0)</f>
        <v>0</v>
      </c>
      <c r="D1437" s="1">
        <f>IFERROR(VLOOKUP(1214,'PEDIDO 18'!$C$2:$E$230,3,0),0)</f>
        <v>0</v>
      </c>
      <c r="E1437" s="1">
        <f>IFERROR(VLOOKUP(1215,'PEDIDO 18'!$C$2:$E$230,3,0),0)</f>
        <v>0</v>
      </c>
      <c r="F1437" s="10">
        <f>IFERROR(VLOOKUP(1216,'PEDIDO 18'!$C$2:$E$230,3,0),0)</f>
        <v>0</v>
      </c>
      <c r="G1437" s="18">
        <f t="shared" si="34"/>
        <v>0</v>
      </c>
    </row>
    <row r="1438" spans="1:7" ht="15.75" x14ac:dyDescent="0.25">
      <c r="A1438" s="15" t="str">
        <f>'PEDIDO 18'!$B$2</f>
        <v>Santa Cruz Do Rio Pardo-Santa Cruz Moveis Ltda</v>
      </c>
      <c r="B1438" s="12" t="s">
        <v>458</v>
      </c>
      <c r="C1438" s="1">
        <f>IFERROR(VLOOKUP(1209,'PEDIDO 18'!$C$2:$E$230,3,0),0)</f>
        <v>0</v>
      </c>
      <c r="D1438" s="1">
        <f>IFERROR(VLOOKUP(1210,'PEDIDO 18'!$C$2:$E$230,3,0),0)</f>
        <v>0</v>
      </c>
      <c r="E1438" s="1">
        <f>IFERROR(VLOOKUP(1211,'PEDIDO 18'!$C$2:$E$230,3,0),0)</f>
        <v>0</v>
      </c>
      <c r="F1438" s="1">
        <f>IFERROR(VLOOKUP(1212,'PEDIDO 18'!$C$2:$E$230,3,0),0)</f>
        <v>0</v>
      </c>
      <c r="G1438" s="18">
        <f t="shared" si="34"/>
        <v>0</v>
      </c>
    </row>
    <row r="1439" spans="1:7" ht="15.75" x14ac:dyDescent="0.25">
      <c r="A1439" s="15" t="str">
        <f>'PEDIDO 18'!$B$2</f>
        <v>Santa Cruz Do Rio Pardo-Santa Cruz Moveis Ltda</v>
      </c>
      <c r="B1439" s="12" t="s">
        <v>459</v>
      </c>
      <c r="C1439" s="1">
        <f>IFERROR(VLOOKUP(1217,'PEDIDO 18'!$C$2:$E$230,3,0),0)</f>
        <v>0</v>
      </c>
      <c r="D1439" s="1">
        <f>IFERROR(VLOOKUP(1218,'PEDIDO 18'!$C$2:$E$230,3,0),0)</f>
        <v>0</v>
      </c>
      <c r="E1439" s="1">
        <f>IFERROR(VLOOKUP(1219,'PEDIDO 18'!$C$2:$E$230,3,0),0)</f>
        <v>0</v>
      </c>
      <c r="F1439" s="1">
        <f>IFERROR(VLOOKUP(1220,'PEDIDO 18'!$C$2:$E$230,3,0),0)</f>
        <v>0</v>
      </c>
      <c r="G1439" s="18">
        <f t="shared" si="34"/>
        <v>0</v>
      </c>
    </row>
    <row r="1440" spans="1:7" ht="15.75" x14ac:dyDescent="0.25">
      <c r="A1440" s="15" t="str">
        <f>'PEDIDO 18'!$B$2</f>
        <v>Santa Cruz Do Rio Pardo-Santa Cruz Moveis Ltda</v>
      </c>
      <c r="B1440" s="12" t="s">
        <v>461</v>
      </c>
      <c r="C1440" s="1">
        <f>IFERROR(VLOOKUP(1225,'PEDIDO 18'!$C$2:$E$230,3,0),0)</f>
        <v>0</v>
      </c>
      <c r="D1440" s="1">
        <f>IFERROR(VLOOKUP(1226,'PEDIDO 18'!$C$2:$E$230,3,0),0)</f>
        <v>0</v>
      </c>
      <c r="E1440" s="1">
        <f>IFERROR(VLOOKUP(1227,'PEDIDO 18'!$C$2:$E$230,3,0),0)</f>
        <v>0</v>
      </c>
      <c r="F1440" s="1">
        <f>IFERROR(VLOOKUP(1228,'PEDIDO 18'!$C$2:$E$230,3,0),0)</f>
        <v>0</v>
      </c>
      <c r="G1440" s="18">
        <f t="shared" si="34"/>
        <v>0</v>
      </c>
    </row>
    <row r="1441" spans="1:7" ht="15.75" x14ac:dyDescent="0.25">
      <c r="A1441" s="15" t="str">
        <f>'PEDIDO 18'!$B$2</f>
        <v>Santa Cruz Do Rio Pardo-Santa Cruz Moveis Ltda</v>
      </c>
      <c r="B1441" s="12" t="s">
        <v>462</v>
      </c>
      <c r="C1441" s="1">
        <f>IFERROR(VLOOKUP(1221,'PEDIDO 18'!$C$2:$E$230,3,0),0)</f>
        <v>0</v>
      </c>
      <c r="D1441" s="1">
        <f>IFERROR(VLOOKUP(1222,'PEDIDO 18'!$C$2:$E$230,3,0),0)</f>
        <v>0</v>
      </c>
      <c r="E1441" s="1">
        <f>IFERROR(VLOOKUP(1223,'PEDIDO 18'!$C$2:$E$230,3,0),0)</f>
        <v>0</v>
      </c>
      <c r="F1441" s="1">
        <f>IFERROR(VLOOKUP(1224,'PEDIDO 18'!$C$2:$E$230,3,0),0)</f>
        <v>0</v>
      </c>
      <c r="G1441" s="18">
        <f t="shared" si="34"/>
        <v>0</v>
      </c>
    </row>
    <row r="1442" spans="1:7" ht="15.75" x14ac:dyDescent="0.25">
      <c r="A1442" s="15" t="str">
        <f>'PEDIDO 18'!$B$2</f>
        <v>Santa Cruz Do Rio Pardo-Santa Cruz Moveis Ltda</v>
      </c>
      <c r="B1442" s="12" t="s">
        <v>460</v>
      </c>
      <c r="C1442" s="1">
        <f>IFERROR(VLOOKUP(1229,'PEDIDO 18'!$C$2:$E$230,3,0),0)</f>
        <v>0</v>
      </c>
      <c r="D1442" s="1">
        <f>IFERROR(VLOOKUP(1230,'PEDIDO 18'!$C$2:$E$230,3,0),0)</f>
        <v>0</v>
      </c>
      <c r="E1442" s="1">
        <f>IFERROR(VLOOKUP(1231,'PEDIDO 18'!$C$2:$E$230,3,0),0)</f>
        <v>0</v>
      </c>
      <c r="F1442" s="1">
        <f>IFERROR(VLOOKUP(1232,'PEDIDO 18'!$C$2:$E$230,3,0),0)</f>
        <v>0</v>
      </c>
      <c r="G1442" s="18">
        <f t="shared" si="34"/>
        <v>0</v>
      </c>
    </row>
    <row r="1443" spans="1:7" ht="15.75" x14ac:dyDescent="0.25">
      <c r="A1443" s="15" t="str">
        <f>'PEDIDO 18'!$B$2</f>
        <v>Santa Cruz Do Rio Pardo-Santa Cruz Moveis Ltda</v>
      </c>
      <c r="B1443" s="12" t="s">
        <v>463</v>
      </c>
      <c r="C1443" s="1">
        <f>IFERROR(VLOOKUP(1233,'PEDIDO 18'!$C$2:$E$230,3,0),0)</f>
        <v>0</v>
      </c>
      <c r="D1443" s="1">
        <f>IFERROR(VLOOKUP(1234,'PEDIDO 18'!$C$2:$E$230,3,0),0)</f>
        <v>0</v>
      </c>
      <c r="E1443" s="1">
        <f>IFERROR(VLOOKUP(1235,'PEDIDO 18'!$C$2:$E$230,3,0),0)</f>
        <v>0</v>
      </c>
      <c r="F1443" s="1">
        <f>IFERROR(VLOOKUP(1236,'PEDIDO 18'!$C$2:$E$230,3,0),0)</f>
        <v>0</v>
      </c>
      <c r="G1443" s="18">
        <f t="shared" si="34"/>
        <v>0</v>
      </c>
    </row>
    <row r="1444" spans="1:7" ht="15.75" x14ac:dyDescent="0.25">
      <c r="A1444" s="15" t="str">
        <f>'PEDIDO 18'!$B$2</f>
        <v>Santa Cruz Do Rio Pardo-Santa Cruz Moveis Ltda</v>
      </c>
      <c r="B1444" s="12" t="s">
        <v>464</v>
      </c>
      <c r="C1444" s="1">
        <f>IFERROR(VLOOKUP(1237,'PEDIDO 18'!$C$2:$E$230,3,0),0)</f>
        <v>0</v>
      </c>
      <c r="D1444" s="1">
        <f>IFERROR(VLOOKUP(1238,'PEDIDO 18'!$C$2:$E$230,3,0),0)</f>
        <v>0</v>
      </c>
      <c r="E1444" s="1">
        <f>IFERROR(VLOOKUP(1239,'PEDIDO 18'!$C$2:$E$230,3,0),0)</f>
        <v>0</v>
      </c>
      <c r="F1444" s="1">
        <f>IFERROR(VLOOKUP(1240,'PEDIDO 18'!$C$2:$E$230,3,0),0)</f>
        <v>0</v>
      </c>
      <c r="G1444" s="18">
        <f t="shared" ref="G1444:G1457" si="35">SUM(C1444+D1444+E1444+F1444)</f>
        <v>0</v>
      </c>
    </row>
    <row r="1445" spans="1:7" ht="15.75" x14ac:dyDescent="0.25">
      <c r="A1445" s="15" t="str">
        <f>'PEDIDO 18'!$B$2</f>
        <v>Santa Cruz Do Rio Pardo-Santa Cruz Moveis Ltda</v>
      </c>
      <c r="B1445" s="12" t="s">
        <v>465</v>
      </c>
      <c r="C1445" s="1">
        <f>IFERROR(VLOOKUP(1241,'PEDIDO 18'!$C$2:$E$230,3,0),0)</f>
        <v>0</v>
      </c>
      <c r="D1445" s="1">
        <f>IFERROR(VLOOKUP(1242,'PEDIDO 18'!$C$2:$E$230,3,0),0)</f>
        <v>0</v>
      </c>
      <c r="E1445" s="1">
        <f>IFERROR(VLOOKUP(1243,'PEDIDO 18'!$C$2:$E$230,3,0),0)</f>
        <v>0</v>
      </c>
      <c r="F1445" s="1">
        <f>IFERROR(VLOOKUP(1244,'PEDIDO 18'!$C$2:$E$230,3,0),0)</f>
        <v>0</v>
      </c>
      <c r="G1445" s="18">
        <f t="shared" si="35"/>
        <v>0</v>
      </c>
    </row>
    <row r="1446" spans="1:7" ht="15.75" x14ac:dyDescent="0.25">
      <c r="A1446" s="15" t="str">
        <f>'PEDIDO 18'!$B$2</f>
        <v>Santa Cruz Do Rio Pardo-Santa Cruz Moveis Ltda</v>
      </c>
      <c r="B1446" s="12" t="s">
        <v>466</v>
      </c>
      <c r="C1446" s="1">
        <f>IFERROR(VLOOKUP(1245,'PEDIDO 18'!$C$2:$E$230,3,0),0)</f>
        <v>0</v>
      </c>
      <c r="D1446" s="1">
        <f>IFERROR(VLOOKUP(1246,'PEDIDO 18'!$C$2:$E$230,3,0),0)</f>
        <v>0</v>
      </c>
      <c r="E1446" s="1">
        <f>IFERROR(VLOOKUP(1247,'PEDIDO 18'!$C$2:$E$230,3,0),0)</f>
        <v>0</v>
      </c>
      <c r="F1446" s="1">
        <f>IFERROR(VLOOKUP(1248,'PEDIDO 18'!$C$2:$E$230,3,0),0)</f>
        <v>0</v>
      </c>
      <c r="G1446" s="18">
        <f t="shared" si="35"/>
        <v>0</v>
      </c>
    </row>
    <row r="1447" spans="1:7" ht="15.75" x14ac:dyDescent="0.25">
      <c r="A1447" s="15" t="str">
        <f>'PEDIDO 18'!$B$2</f>
        <v>Santa Cruz Do Rio Pardo-Santa Cruz Moveis Ltda</v>
      </c>
      <c r="B1447" s="12" t="s">
        <v>467</v>
      </c>
      <c r="C1447" s="1">
        <f>IFERROR(VLOOKUP(25714,'PEDIDO 18'!$C$2:$E$230,3,0),0)</f>
        <v>0</v>
      </c>
      <c r="D1447" s="1"/>
      <c r="E1447" s="1"/>
      <c r="F1447" s="1"/>
      <c r="G1447" s="18">
        <f t="shared" si="35"/>
        <v>0</v>
      </c>
    </row>
    <row r="1448" spans="1:7" ht="15.75" x14ac:dyDescent="0.25">
      <c r="A1448" s="15" t="str">
        <f>'PEDIDO 18'!$B$2</f>
        <v>Santa Cruz Do Rio Pardo-Santa Cruz Moveis Ltda</v>
      </c>
      <c r="B1448" s="12" t="s">
        <v>468</v>
      </c>
      <c r="C1448" s="1">
        <f>IFERROR(VLOOKUP(25712,'PEDIDO 18'!$C$2:$E$230,3,0),0)</f>
        <v>0</v>
      </c>
      <c r="D1448" s="1"/>
      <c r="E1448" s="1"/>
      <c r="F1448" s="1"/>
      <c r="G1448" s="18">
        <f t="shared" si="35"/>
        <v>0</v>
      </c>
    </row>
    <row r="1449" spans="1:7" ht="15.75" x14ac:dyDescent="0.25">
      <c r="A1449" s="15" t="str">
        <f>'PEDIDO 18'!$B$2</f>
        <v>Santa Cruz Do Rio Pardo-Santa Cruz Moveis Ltda</v>
      </c>
      <c r="B1449" s="12" t="s">
        <v>469</v>
      </c>
      <c r="C1449" s="1">
        <f>IFERROR(VLOOKUP(25713,'PEDIDO 18'!$C$2:$E$230,3,0),0)</f>
        <v>0</v>
      </c>
      <c r="D1449" s="1"/>
      <c r="E1449" s="1"/>
      <c r="F1449" s="1"/>
      <c r="G1449" s="18">
        <f t="shared" si="35"/>
        <v>0</v>
      </c>
    </row>
    <row r="1450" spans="1:7" ht="15.75" x14ac:dyDescent="0.25">
      <c r="A1450" s="15" t="str">
        <f>'PEDIDO 18'!$B$2</f>
        <v>Santa Cruz Do Rio Pardo-Santa Cruz Moveis Ltda</v>
      </c>
      <c r="B1450" s="12" t="s">
        <v>470</v>
      </c>
      <c r="C1450" s="1">
        <f>IFERROR(VLOOKUP(1260,'PEDIDO 18'!$C$2:$E$230,3,0),0)</f>
        <v>0</v>
      </c>
      <c r="D1450" s="1"/>
      <c r="E1450" s="1"/>
      <c r="F1450" s="1"/>
      <c r="G1450" s="18">
        <f t="shared" si="35"/>
        <v>0</v>
      </c>
    </row>
    <row r="1451" spans="1:7" ht="15.75" x14ac:dyDescent="0.25">
      <c r="A1451" s="15" t="str">
        <f>'PEDIDO 18'!$B$2</f>
        <v>Santa Cruz Do Rio Pardo-Santa Cruz Moveis Ltda</v>
      </c>
      <c r="B1451" s="12" t="s">
        <v>471</v>
      </c>
      <c r="C1451" s="1">
        <f>IFERROR(VLOOKUP(1261,'PEDIDO 18'!$C$2:$E$230,3,0),0)</f>
        <v>0</v>
      </c>
      <c r="D1451" s="1"/>
      <c r="E1451" s="1"/>
      <c r="F1451" s="1"/>
      <c r="G1451" s="18">
        <f t="shared" si="35"/>
        <v>0</v>
      </c>
    </row>
    <row r="1452" spans="1:7" ht="15.75" x14ac:dyDescent="0.25">
      <c r="A1452" s="15" t="str">
        <f>'PEDIDO 18'!$B$2</f>
        <v>Santa Cruz Do Rio Pardo-Santa Cruz Moveis Ltda</v>
      </c>
      <c r="B1452" s="12" t="s">
        <v>472</v>
      </c>
      <c r="C1452" s="1">
        <f>IFERROR(VLOOKUP(1262,'PEDIDO 18'!$C$2:$E$230,3,0),0)</f>
        <v>0</v>
      </c>
      <c r="D1452" s="1"/>
      <c r="E1452" s="1"/>
      <c r="F1452" s="1"/>
      <c r="G1452" s="18">
        <f t="shared" si="35"/>
        <v>0</v>
      </c>
    </row>
    <row r="1453" spans="1:7" ht="15.75" x14ac:dyDescent="0.25">
      <c r="A1453" s="15" t="str">
        <f>'PEDIDO 18'!$B$2</f>
        <v>Santa Cruz Do Rio Pardo-Santa Cruz Moveis Ltda</v>
      </c>
      <c r="B1453" s="12" t="s">
        <v>473</v>
      </c>
      <c r="C1453" s="1">
        <f>IFERROR(VLOOKUP(1263,'PEDIDO 18'!$C$2:$E$230,3,0),0)</f>
        <v>0</v>
      </c>
      <c r="D1453" s="1"/>
      <c r="E1453" s="1"/>
      <c r="F1453" s="1"/>
      <c r="G1453" s="18">
        <f t="shared" si="35"/>
        <v>0</v>
      </c>
    </row>
    <row r="1454" spans="1:7" ht="15.75" x14ac:dyDescent="0.25">
      <c r="A1454" s="15" t="str">
        <f>'PEDIDO 18'!$B$2</f>
        <v>Santa Cruz Do Rio Pardo-Santa Cruz Moveis Ltda</v>
      </c>
      <c r="B1454" s="12" t="s">
        <v>474</v>
      </c>
      <c r="C1454" s="1">
        <f>IFERROR(VLOOKUP(1264,'PEDIDO 18'!$C$2:$E$230,3,0),0)</f>
        <v>0</v>
      </c>
      <c r="D1454" s="1"/>
      <c r="E1454" s="1"/>
      <c r="F1454" s="1"/>
      <c r="G1454" s="18">
        <f t="shared" si="35"/>
        <v>0</v>
      </c>
    </row>
    <row r="1455" spans="1:7" ht="15.75" x14ac:dyDescent="0.25">
      <c r="A1455" s="15" t="str">
        <f>'PEDIDO 18'!$B$2</f>
        <v>Santa Cruz Do Rio Pardo-Santa Cruz Moveis Ltda</v>
      </c>
      <c r="B1455" s="12" t="s">
        <v>475</v>
      </c>
      <c r="C1455" s="1">
        <f>IFERROR(VLOOKUP(1265,'PEDIDO 18'!$C$2:$E$230,3,0),0)</f>
        <v>0</v>
      </c>
      <c r="D1455" s="1"/>
      <c r="E1455" s="1"/>
      <c r="F1455" s="1"/>
      <c r="G1455" s="18">
        <f t="shared" si="35"/>
        <v>0</v>
      </c>
    </row>
    <row r="1456" spans="1:7" ht="15.75" x14ac:dyDescent="0.25">
      <c r="A1456" s="15" t="str">
        <f>'PEDIDO 18'!$B$2</f>
        <v>Santa Cruz Do Rio Pardo-Santa Cruz Moveis Ltda</v>
      </c>
      <c r="B1456" s="12" t="s">
        <v>476</v>
      </c>
      <c r="C1456" s="1">
        <f>IFERROR(VLOOKUP(1266,'PEDIDO 18'!$C$2:$E$230,3,0),0)</f>
        <v>0</v>
      </c>
      <c r="D1456" s="1"/>
      <c r="E1456" s="1"/>
      <c r="F1456" s="1"/>
      <c r="G1456" s="18">
        <f t="shared" si="35"/>
        <v>0</v>
      </c>
    </row>
    <row r="1457" spans="1:7" ht="15.75" x14ac:dyDescent="0.25">
      <c r="A1457" s="15" t="str">
        <f>'PEDIDO 18'!$B$2</f>
        <v>Santa Cruz Do Rio Pardo-Santa Cruz Moveis Ltda</v>
      </c>
      <c r="B1457" s="12" t="s">
        <v>477</v>
      </c>
      <c r="C1457" s="1">
        <f>IFERROR(VLOOKUP(1268,'PEDIDO 18'!$C$2:$E$230,3,0),0)</f>
        <v>0</v>
      </c>
      <c r="D1457" s="1">
        <f>IFERROR(VLOOKUP(1269,'PEDIDO 18'!$C$2:$E$230,3,0),0)</f>
        <v>0</v>
      </c>
      <c r="E1457" s="1">
        <f>IFERROR(VLOOKUP(1270,'PEDIDO 18'!$C$2:$E$230,3,0),0)</f>
        <v>0</v>
      </c>
      <c r="F1457" s="1">
        <f>IFERROR(VLOOKUP(1271,'PEDIDO 18'!$C$2:$E$230,3,0),0)</f>
        <v>0</v>
      </c>
      <c r="G1457" s="18">
        <f t="shared" si="35"/>
        <v>0</v>
      </c>
    </row>
    <row r="1458" spans="1:7" x14ac:dyDescent="0.25">
      <c r="A1458" s="17"/>
      <c r="B1458" s="13"/>
      <c r="C1458" s="13"/>
      <c r="D1458" s="13"/>
      <c r="E1458" s="13"/>
      <c r="F1458" s="13"/>
      <c r="G1458" s="13"/>
    </row>
    <row r="1459" spans="1:7" x14ac:dyDescent="0.25">
      <c r="A1459" s="17"/>
      <c r="B1459" s="13"/>
      <c r="C1459" s="13"/>
      <c r="D1459" s="13"/>
      <c r="E1459" s="13"/>
      <c r="F1459" s="13"/>
      <c r="G1459" s="13"/>
    </row>
    <row r="1460" spans="1:7" ht="15.75" x14ac:dyDescent="0.25">
      <c r="A1460" s="15" t="str">
        <f>'PEDIDO 19'!$B$2</f>
        <v>Santa Cruz Do Rio Pardo-Santa Cruz Moveis Ltda</v>
      </c>
      <c r="B1460" s="12" t="s">
        <v>399</v>
      </c>
      <c r="C1460" s="1">
        <f>IFERROR(VLOOKUP(1,'PEDIDO 19'!$C$2:$E$230,3,0),0)</f>
        <v>0</v>
      </c>
      <c r="D1460" s="1">
        <f>IFERROR(VLOOKUP(2,'PEDIDO 19'!$C$2:$E$230,3,0),0)</f>
        <v>0</v>
      </c>
      <c r="E1460" s="1">
        <f>IFERROR(VLOOKUP(3,'PEDIDO 19'!$C$2:$E$230,3,0),0)</f>
        <v>0</v>
      </c>
      <c r="F1460" s="1">
        <f>IFERROR(VLOOKUP(282,'PEDIDO 19'!$C$2:$E$230,3,0),0)</f>
        <v>10</v>
      </c>
      <c r="G1460" s="18">
        <f>SUM(C1460+D1460+E1460+F1460)</f>
        <v>10</v>
      </c>
    </row>
    <row r="1461" spans="1:7" ht="15.75" x14ac:dyDescent="0.25">
      <c r="A1461" s="15" t="str">
        <f>'PEDIDO 19'!$B$2</f>
        <v>Santa Cruz Do Rio Pardo-Santa Cruz Moveis Ltda</v>
      </c>
      <c r="B1461" s="12" t="s">
        <v>400</v>
      </c>
      <c r="C1461" s="1">
        <f>IFERROR(VLOOKUP(5,'PEDIDO 19'!$C$2:$E$230,3,0),0)</f>
        <v>0</v>
      </c>
      <c r="D1461" s="1">
        <f>IFERROR(VLOOKUP(6,'PEDIDO 19'!$C$2:$E$230,3,0),0)</f>
        <v>0</v>
      </c>
      <c r="E1461" s="1">
        <f>IFERROR(VLOOKUP(7,'PEDIDO 19'!$C$2:$E$230,3,0),0)</f>
        <v>0</v>
      </c>
      <c r="F1461" s="1">
        <f>IFERROR(VLOOKUP(258,'PEDIDO 19'!$C$2:$E$230,3,0),0)</f>
        <v>28</v>
      </c>
      <c r="G1461" s="18">
        <f t="shared" ref="G1461:G1524" si="36">SUM(C1461+D1461+E1461+F1461)</f>
        <v>28</v>
      </c>
    </row>
    <row r="1462" spans="1:7" ht="15.75" x14ac:dyDescent="0.25">
      <c r="A1462" s="15" t="str">
        <f>'PEDIDO 19'!$B$2</f>
        <v>Santa Cruz Do Rio Pardo-Santa Cruz Moveis Ltda</v>
      </c>
      <c r="B1462" s="12" t="s">
        <v>401</v>
      </c>
      <c r="C1462" s="1">
        <f>IFERROR(VLOOKUP(13,'PEDIDO 19'!$C$2:$E$230,3,0),0)</f>
        <v>0</v>
      </c>
      <c r="D1462" s="1">
        <f>IFERROR(VLOOKUP(14,'PEDIDO 19'!$C$2:$E$230,3,0),0)</f>
        <v>0</v>
      </c>
      <c r="E1462" s="1">
        <f>IFERROR(VLOOKUP(15,'PEDIDO 19'!$C$2:$E$230,3,0),0)</f>
        <v>0</v>
      </c>
      <c r="F1462" s="1">
        <f>IFERROR(VLOOKUP(289,'PEDIDO 19'!$C$2:$E$230,3,0),0)</f>
        <v>0</v>
      </c>
      <c r="G1462" s="18">
        <f t="shared" si="36"/>
        <v>0</v>
      </c>
    </row>
    <row r="1463" spans="1:7" ht="15.75" x14ac:dyDescent="0.25">
      <c r="A1463" s="15" t="str">
        <f>'PEDIDO 19'!$B$2</f>
        <v>Santa Cruz Do Rio Pardo-Santa Cruz Moveis Ltda</v>
      </c>
      <c r="B1463" s="12" t="s">
        <v>402</v>
      </c>
      <c r="C1463" s="1">
        <f>IFERROR(VLOOKUP(267,'PEDIDO 19'!$C$2:$E$230,3,0),0)</f>
        <v>0</v>
      </c>
      <c r="D1463" s="1">
        <f>IFERROR(VLOOKUP(268,'PEDIDO 19'!$C$2:$E$230,3,0),0)</f>
        <v>0</v>
      </c>
      <c r="E1463" s="1">
        <f>IFERROR(VLOOKUP(270,'PEDIDO 19'!$C$2:$E$230,3,0),0)</f>
        <v>0</v>
      </c>
      <c r="F1463" s="1">
        <f>IFERROR(VLOOKUP(269,'PEDIDO 19'!$C$2:$E$230,3,0),0)</f>
        <v>0</v>
      </c>
      <c r="G1463" s="18">
        <f t="shared" si="36"/>
        <v>0</v>
      </c>
    </row>
    <row r="1464" spans="1:7" ht="15.75" x14ac:dyDescent="0.25">
      <c r="A1464" s="15" t="str">
        <f>'PEDIDO 19'!$B$2</f>
        <v>Santa Cruz Do Rio Pardo-Santa Cruz Moveis Ltda</v>
      </c>
      <c r="B1464" s="12" t="s">
        <v>403</v>
      </c>
      <c r="C1464" s="1">
        <f>IFERROR(VLOOKUP(17,'PEDIDO 19'!$C$2:$E$230,3,0),0)</f>
        <v>0</v>
      </c>
      <c r="D1464" s="1">
        <f>IFERROR(VLOOKUP(18,'PEDIDO 19'!$C$2:$E$230,3,0),0)</f>
        <v>0</v>
      </c>
      <c r="E1464" s="1">
        <f>IFERROR(VLOOKUP(19,'PEDIDO 19'!$C$2:$E$230,3,0),0)</f>
        <v>0</v>
      </c>
      <c r="F1464" s="1">
        <f>IFERROR(VLOOKUP(290,'PEDIDO 19'!$C$2:$E$230,3,0),0)</f>
        <v>0</v>
      </c>
      <c r="G1464" s="18">
        <f t="shared" si="36"/>
        <v>0</v>
      </c>
    </row>
    <row r="1465" spans="1:7" ht="15.75" x14ac:dyDescent="0.25">
      <c r="A1465" s="15" t="str">
        <f>'PEDIDO 19'!$B$2</f>
        <v>Santa Cruz Do Rio Pardo-Santa Cruz Moveis Ltda</v>
      </c>
      <c r="B1465" s="12" t="s">
        <v>404</v>
      </c>
      <c r="C1465" s="1">
        <f>IFERROR(VLOOKUP(23,'PEDIDO 19'!$C$2:$E$230,3,0),0)</f>
        <v>0</v>
      </c>
      <c r="D1465" s="1">
        <f>IFERROR(VLOOKUP(24,'PEDIDO 19'!$C$2:$E$230,3,0),0)</f>
        <v>0</v>
      </c>
      <c r="E1465" s="1">
        <f>IFERROR(VLOOKUP(25,'PEDIDO 19'!$C$2:$E$230,3,0),0)</f>
        <v>0</v>
      </c>
      <c r="F1465" s="1">
        <f>IFERROR(VLOOKUP(291,'PEDIDO 19'!$C$2:$E$230,3,0),0)</f>
        <v>0</v>
      </c>
      <c r="G1465" s="18">
        <f t="shared" si="36"/>
        <v>0</v>
      </c>
    </row>
    <row r="1466" spans="1:7" ht="15.75" x14ac:dyDescent="0.25">
      <c r="A1466" s="15" t="str">
        <f>'PEDIDO 19'!$B$2</f>
        <v>Santa Cruz Do Rio Pardo-Santa Cruz Moveis Ltda</v>
      </c>
      <c r="B1466" s="12" t="s">
        <v>405</v>
      </c>
      <c r="C1466" s="1">
        <f>IFERROR(VLOOKUP(27,'PEDIDO 19'!$C$2:$E$230,3,0),0)</f>
        <v>0</v>
      </c>
      <c r="D1466" s="1">
        <f>IFERROR(VLOOKUP(28,'PEDIDO 19'!$C$2:$E$230,3,0),0)</f>
        <v>0</v>
      </c>
      <c r="E1466" s="1">
        <f>IFERROR(VLOOKUP(29,'PEDIDO 19'!$C$2:$E$230,3,0),0)</f>
        <v>0</v>
      </c>
      <c r="F1466" s="1">
        <f>IFERROR(VLOOKUP(292,'PEDIDO 19'!$C$2:$E$230,3,0),0)</f>
        <v>0</v>
      </c>
      <c r="G1466" s="18">
        <f t="shared" si="36"/>
        <v>0</v>
      </c>
    </row>
    <row r="1467" spans="1:7" ht="15.75" x14ac:dyDescent="0.25">
      <c r="A1467" s="15" t="str">
        <f>'PEDIDO 19'!$B$2</f>
        <v>Santa Cruz Do Rio Pardo-Santa Cruz Moveis Ltda</v>
      </c>
      <c r="B1467" s="12" t="s">
        <v>406</v>
      </c>
      <c r="C1467" s="1">
        <f>IFERROR(VLOOKUP(227,'PEDIDO 19'!$C$2:$E$230,3,0),0)</f>
        <v>0</v>
      </c>
      <c r="D1467" s="1">
        <f>IFERROR(VLOOKUP(228,'PEDIDO 19'!$C$2:$E$230,3,0),0)</f>
        <v>0</v>
      </c>
      <c r="E1467" s="1">
        <f>IFERROR(VLOOKUP(229,'PEDIDO 19'!$C$2:$E$230,3,0),0)</f>
        <v>0</v>
      </c>
      <c r="F1467" s="1">
        <f>IFERROR(VLOOKUP(230,'PEDIDO 19'!$C$2:$E$230,3,0),0)</f>
        <v>10</v>
      </c>
      <c r="G1467" s="18">
        <f t="shared" si="36"/>
        <v>10</v>
      </c>
    </row>
    <row r="1468" spans="1:7" ht="15.75" x14ac:dyDescent="0.25">
      <c r="A1468" s="15" t="str">
        <f>'PEDIDO 19'!$B$2</f>
        <v>Santa Cruz Do Rio Pardo-Santa Cruz Moveis Ltda</v>
      </c>
      <c r="B1468" s="12" t="s">
        <v>407</v>
      </c>
      <c r="C1468" s="1">
        <f>IFERROR(VLOOKUP(231,'PEDIDO 19'!$C$2:$E$230,3,0),0)</f>
        <v>0</v>
      </c>
      <c r="D1468" s="1">
        <f>IFERROR(VLOOKUP(232,'PEDIDO 19'!$C$2:$E$230,3,0),0)</f>
        <v>0</v>
      </c>
      <c r="E1468" s="1">
        <f>IFERROR(VLOOKUP(234,'PEDIDO 19'!$C$2:$E$230,3,0),0)</f>
        <v>0</v>
      </c>
      <c r="F1468" s="1">
        <f>IFERROR(VLOOKUP(233,'PEDIDO 19'!$C$2:$E$230,3,0),0)</f>
        <v>2</v>
      </c>
      <c r="G1468" s="18">
        <f t="shared" si="36"/>
        <v>2</v>
      </c>
    </row>
    <row r="1469" spans="1:7" ht="15.75" x14ac:dyDescent="0.25">
      <c r="A1469" s="15" t="str">
        <f>'PEDIDO 19'!$B$2</f>
        <v>Santa Cruz Do Rio Pardo-Santa Cruz Moveis Ltda</v>
      </c>
      <c r="B1469" s="12" t="s">
        <v>408</v>
      </c>
      <c r="C1469" s="1">
        <f>IFERROR(VLOOKUP(237,'PEDIDO 19'!$C$2:$E$230,3,0),0)</f>
        <v>0</v>
      </c>
      <c r="D1469" s="1">
        <f>IFERROR(VLOOKUP(238,'PEDIDO 19'!$C$2:$E$230,3,0),0)</f>
        <v>0</v>
      </c>
      <c r="E1469" s="1">
        <f>IFERROR(VLOOKUP(240,'PEDIDO 19'!$C$2:$E$230,3,0),0)</f>
        <v>0</v>
      </c>
      <c r="F1469" s="1">
        <f>IFERROR(VLOOKUP(239,'PEDIDO 19'!$C$2:$E$230,3,0),0)</f>
        <v>4</v>
      </c>
      <c r="G1469" s="18">
        <f t="shared" si="36"/>
        <v>4</v>
      </c>
    </row>
    <row r="1470" spans="1:7" ht="15.75" x14ac:dyDescent="0.25">
      <c r="A1470" s="15" t="str">
        <f>'PEDIDO 19'!$B$2</f>
        <v>Santa Cruz Do Rio Pardo-Santa Cruz Moveis Ltda</v>
      </c>
      <c r="B1470" s="12" t="s">
        <v>409</v>
      </c>
      <c r="C1470" s="1">
        <f>IFERROR(VLOOKUP(25707,'PEDIDO 19'!$C$2:$E$230,3,0),0)</f>
        <v>0</v>
      </c>
      <c r="D1470" s="1">
        <f>IFERROR(VLOOKUP(25708,'PEDIDO 19'!$C$2:$E$230,3,0),0)</f>
        <v>0</v>
      </c>
      <c r="E1470" s="1">
        <f>IFERROR(VLOOKUP(25710,'PEDIDO 19'!$C$2:$E$230,3,0),0)</f>
        <v>0</v>
      </c>
      <c r="F1470" s="1">
        <f>IFERROR(VLOOKUP(25709,'PEDIDO 19'!$C$2:$E$230,3,0),0)</f>
        <v>0</v>
      </c>
      <c r="G1470" s="18">
        <f t="shared" si="36"/>
        <v>0</v>
      </c>
    </row>
    <row r="1471" spans="1:7" ht="15.75" x14ac:dyDescent="0.25">
      <c r="A1471" s="15" t="str">
        <f>'PEDIDO 19'!$B$2</f>
        <v>Santa Cruz Do Rio Pardo-Santa Cruz Moveis Ltda</v>
      </c>
      <c r="B1471" s="12" t="s">
        <v>410</v>
      </c>
      <c r="C1471" s="1">
        <f>IFERROR(VLOOKUP(25711,'PEDIDO 19'!$C$2:$E$230,3,0),0)</f>
        <v>0</v>
      </c>
      <c r="D1471" s="1"/>
      <c r="E1471" s="1"/>
      <c r="F1471" s="1"/>
      <c r="G1471" s="18">
        <f t="shared" si="36"/>
        <v>0</v>
      </c>
    </row>
    <row r="1472" spans="1:7" ht="15.75" x14ac:dyDescent="0.25">
      <c r="A1472" s="15" t="str">
        <f>'PEDIDO 19'!$B$2</f>
        <v>Santa Cruz Do Rio Pardo-Santa Cruz Moveis Ltda</v>
      </c>
      <c r="B1472" s="12" t="s">
        <v>411</v>
      </c>
      <c r="C1472" s="1">
        <f>IFERROR(VLOOKUP(35,'PEDIDO 19'!$C$2:$E$230,3,0),0)</f>
        <v>0</v>
      </c>
      <c r="D1472" s="1">
        <f>IFERROR(VLOOKUP(36,'PEDIDO 19'!$C$2:$E$230,3,0),0)</f>
        <v>0</v>
      </c>
      <c r="E1472" s="1">
        <f>IFERROR(VLOOKUP(37,'PEDIDO 19'!$C$2:$E$230,3,0),0)</f>
        <v>0</v>
      </c>
      <c r="F1472" s="1">
        <f>IFERROR(VLOOKUP(294,'PEDIDO 19'!$C$2:$E$230,3,0),0)</f>
        <v>0</v>
      </c>
      <c r="G1472" s="18">
        <f t="shared" si="36"/>
        <v>0</v>
      </c>
    </row>
    <row r="1473" spans="1:7" ht="15.75" x14ac:dyDescent="0.25">
      <c r="A1473" s="15" t="str">
        <f>'PEDIDO 19'!$B$2</f>
        <v>Santa Cruz Do Rio Pardo-Santa Cruz Moveis Ltda</v>
      </c>
      <c r="B1473" s="12" t="s">
        <v>412</v>
      </c>
      <c r="C1473" s="1">
        <f>IFERROR(VLOOKUP(39,'PEDIDO 19'!$C$2:$E$230,3,0),0)</f>
        <v>0</v>
      </c>
      <c r="D1473" s="1">
        <f>IFERROR(VLOOKUP(40,'PEDIDO 19'!$C$2:$E$230,3,0),0)</f>
        <v>0</v>
      </c>
      <c r="E1473" s="1">
        <f>IFERROR(VLOOKUP(42,'PEDIDO 19'!$C$2:$E$230,3,0),0)</f>
        <v>0</v>
      </c>
      <c r="F1473" s="1">
        <f>IFERROR(VLOOKUP(295,'PEDIDO 19'!$C$2:$E$230,3,0),0)</f>
        <v>0</v>
      </c>
      <c r="G1473" s="18">
        <f t="shared" si="36"/>
        <v>0</v>
      </c>
    </row>
    <row r="1474" spans="1:7" ht="15.75" x14ac:dyDescent="0.25">
      <c r="A1474" s="15" t="str">
        <f>'PEDIDO 19'!$B$2</f>
        <v>Santa Cruz Do Rio Pardo-Santa Cruz Moveis Ltda</v>
      </c>
      <c r="B1474" s="12" t="s">
        <v>413</v>
      </c>
      <c r="C1474" s="1">
        <f>IFERROR(VLOOKUP(44,'PEDIDO 19'!$C$2:$E$230,3,0),0)</f>
        <v>0</v>
      </c>
      <c r="D1474" s="1">
        <f>IFERROR(VLOOKUP(45,'PEDIDO 19'!$C$2:$E$230,3,0),0)</f>
        <v>0</v>
      </c>
      <c r="E1474" s="1">
        <f>IFERROR(VLOOKUP(46,'PEDIDO 19'!$C$2:$E$230,3,0),0)</f>
        <v>0</v>
      </c>
      <c r="F1474" s="1">
        <f>IFERROR(VLOOKUP(283,'PEDIDO 19'!$C$2:$E$230,3,0),0)</f>
        <v>1</v>
      </c>
      <c r="G1474" s="18">
        <f t="shared" si="36"/>
        <v>1</v>
      </c>
    </row>
    <row r="1475" spans="1:7" ht="15.75" x14ac:dyDescent="0.25">
      <c r="A1475" s="15" t="str">
        <f>'PEDIDO 19'!$B$2</f>
        <v>Santa Cruz Do Rio Pardo-Santa Cruz Moveis Ltda</v>
      </c>
      <c r="B1475" s="12" t="s">
        <v>414</v>
      </c>
      <c r="C1475" s="1">
        <f>IFERROR(VLOOKUP(48,'PEDIDO 19'!$C$2:$E$230,3,0),0)</f>
        <v>0</v>
      </c>
      <c r="D1475" s="1">
        <f>IFERROR(VLOOKUP(49,'PEDIDO 19'!$C$2:$E$230,3,0),0)</f>
        <v>0</v>
      </c>
      <c r="E1475" s="1">
        <f>IFERROR(VLOOKUP(50,'PEDIDO 19'!$C$2:$E$230,3,0),0)</f>
        <v>0</v>
      </c>
      <c r="F1475" s="1">
        <f>IFERROR(VLOOKUP(298,'PEDIDO 19'!$C$2:$E$230,3,0),0)</f>
        <v>1</v>
      </c>
      <c r="G1475" s="18">
        <f t="shared" si="36"/>
        <v>1</v>
      </c>
    </row>
    <row r="1476" spans="1:7" ht="15.75" x14ac:dyDescent="0.25">
      <c r="A1476" s="15" t="str">
        <f>'PEDIDO 19'!$B$2</f>
        <v>Santa Cruz Do Rio Pardo-Santa Cruz Moveis Ltda</v>
      </c>
      <c r="B1476" s="12" t="s">
        <v>415</v>
      </c>
      <c r="C1476" s="1">
        <f>IFERROR(VLOOKUP(52,'PEDIDO 19'!$C$2:$E$230,3,0),0)</f>
        <v>0</v>
      </c>
      <c r="D1476" s="1">
        <f>IFERROR(VLOOKUP(53,'PEDIDO 19'!$C$2:$E$230,3,0),0)</f>
        <v>0</v>
      </c>
      <c r="E1476" s="1">
        <f>IFERROR(VLOOKUP(54,'PEDIDO 19'!$C$2:$E$230,3,0),0)</f>
        <v>0</v>
      </c>
      <c r="F1476" s="1">
        <f>IFERROR(VLOOKUP(299,'PEDIDO 19'!$C$2:$E$230,3,0),0)</f>
        <v>0</v>
      </c>
      <c r="G1476" s="18">
        <f t="shared" si="36"/>
        <v>0</v>
      </c>
    </row>
    <row r="1477" spans="1:7" ht="15.75" x14ac:dyDescent="0.25">
      <c r="A1477" s="15" t="str">
        <f>'PEDIDO 19'!$B$2</f>
        <v>Santa Cruz Do Rio Pardo-Santa Cruz Moveis Ltda</v>
      </c>
      <c r="B1477" s="12" t="s">
        <v>416</v>
      </c>
      <c r="C1477" s="1">
        <f>IFERROR(VLOOKUP(56,'PEDIDO 19'!$C$2:$E$230,3,0),0)</f>
        <v>0</v>
      </c>
      <c r="D1477" s="1">
        <f>IFERROR(VLOOKUP(61,'PEDIDO 19'!$C$2:$E$230,3,0),0)</f>
        <v>0</v>
      </c>
      <c r="E1477" s="1">
        <f>IFERROR(VLOOKUP(58,'PEDIDO 19'!$C$2:$E$230,3,0),0)</f>
        <v>0</v>
      </c>
      <c r="F1477" s="1">
        <f>IFERROR(VLOOKUP(300,'PEDIDO 19'!$C$2:$E$230,3,0),0)</f>
        <v>0</v>
      </c>
      <c r="G1477" s="18">
        <f t="shared" si="36"/>
        <v>0</v>
      </c>
    </row>
    <row r="1478" spans="1:7" ht="15.75" x14ac:dyDescent="0.25">
      <c r="A1478" s="15" t="str">
        <f>'PEDIDO 19'!$B$2</f>
        <v>Santa Cruz Do Rio Pardo-Santa Cruz Moveis Ltda</v>
      </c>
      <c r="B1478" s="12" t="s">
        <v>417</v>
      </c>
      <c r="C1478" s="1">
        <f>IFERROR(VLOOKUP(60,'PEDIDO 19'!$C$2:$E$230,3,0),0)</f>
        <v>0</v>
      </c>
      <c r="D1478" s="1">
        <f>IFERROR(VLOOKUP(120,'PEDIDO 19'!$C$2:$E$230,3,0),0)</f>
        <v>0</v>
      </c>
      <c r="E1478" s="1">
        <f>IFERROR(VLOOKUP(62,'PEDIDO 19'!$C$2:$E$230,3,0),0)</f>
        <v>0</v>
      </c>
      <c r="F1478" s="1">
        <f>IFERROR(VLOOKUP(301,'PEDIDO 19'!$C$2:$E$230,3,0),0)</f>
        <v>0</v>
      </c>
      <c r="G1478" s="18">
        <f t="shared" si="36"/>
        <v>0</v>
      </c>
    </row>
    <row r="1479" spans="1:7" ht="15.75" x14ac:dyDescent="0.25">
      <c r="A1479" s="15" t="str">
        <f>'PEDIDO 19'!$B$2</f>
        <v>Santa Cruz Do Rio Pardo-Santa Cruz Moveis Ltda</v>
      </c>
      <c r="B1479" s="12" t="s">
        <v>426</v>
      </c>
      <c r="C1479" s="1">
        <f>IFERROR(VLOOKUP(112,'PEDIDO 19'!$C$2:$E$230,3,0),0)</f>
        <v>0</v>
      </c>
      <c r="D1479" s="1">
        <f>IFERROR(VLOOKUP(113,'PEDIDO 19'!$C$2:$E$230,3,0),0)</f>
        <v>0</v>
      </c>
      <c r="E1479" s="1">
        <f>IFERROR(VLOOKUP(114,'PEDIDO 19'!$C$2:$E$230,3,0),0)</f>
        <v>0</v>
      </c>
      <c r="F1479" s="1">
        <f>IFERROR(VLOOKUP(296,'PEDIDO 19'!$C$2:$E$230,3,0),0)</f>
        <v>0</v>
      </c>
      <c r="G1479" s="18">
        <f t="shared" si="36"/>
        <v>0</v>
      </c>
    </row>
    <row r="1480" spans="1:7" ht="15.75" x14ac:dyDescent="0.25">
      <c r="A1480" s="15" t="str">
        <f>'PEDIDO 19'!$B$2</f>
        <v>Santa Cruz Do Rio Pardo-Santa Cruz Moveis Ltda</v>
      </c>
      <c r="B1480" s="12" t="s">
        <v>427</v>
      </c>
      <c r="C1480" s="1">
        <f>IFERROR(VLOOKUP(116,'PEDIDO 19'!$C$2:$E$230,3,0),0)</f>
        <v>0</v>
      </c>
      <c r="D1480" s="1">
        <f>IFERROR(VLOOKUP(117,'PEDIDO 19'!$C$2:$E$230,3,0),0)</f>
        <v>0</v>
      </c>
      <c r="E1480" s="1">
        <f>IFERROR(VLOOKUP(118,'PEDIDO 19'!$C$2:$E$230,3,0),0)</f>
        <v>0</v>
      </c>
      <c r="F1480" s="1">
        <f>IFERROR(VLOOKUP(293,'PEDIDO 19'!$C$2:$E$230,3,0),0)</f>
        <v>0</v>
      </c>
      <c r="G1480" s="18">
        <f t="shared" si="36"/>
        <v>0</v>
      </c>
    </row>
    <row r="1481" spans="1:7" ht="15.75" x14ac:dyDescent="0.25">
      <c r="A1481" s="15" t="str">
        <f>'PEDIDO 19'!$B$2</f>
        <v>Santa Cruz Do Rio Pardo-Santa Cruz Moveis Ltda</v>
      </c>
      <c r="B1481" s="12" t="s">
        <v>418</v>
      </c>
      <c r="C1481" s="1">
        <f>IFERROR(VLOOKUP(963,'PEDIDO 19'!$C$2:$E$230,3,0),0)</f>
        <v>0</v>
      </c>
      <c r="D1481" s="1">
        <f>IFERROR(VLOOKUP(965,'PEDIDO 19'!$C$2:$E$230,3,0),0)</f>
        <v>0</v>
      </c>
      <c r="E1481" s="1">
        <f>IFERROR(VLOOKUP(966,'PEDIDO 19'!$C$2:$E$230,3,0),0)</f>
        <v>0</v>
      </c>
      <c r="F1481" s="1">
        <f>IFERROR(VLOOKUP(964,'PEDIDO 19'!$C$2:$E$230,3,0),0)</f>
        <v>4</v>
      </c>
      <c r="G1481" s="18">
        <f t="shared" si="36"/>
        <v>4</v>
      </c>
    </row>
    <row r="1482" spans="1:7" ht="15.75" x14ac:dyDescent="0.25">
      <c r="A1482" s="15" t="str">
        <f>'PEDIDO 19'!$B$2</f>
        <v>Santa Cruz Do Rio Pardo-Santa Cruz Moveis Ltda</v>
      </c>
      <c r="B1482" s="12" t="s">
        <v>419</v>
      </c>
      <c r="C1482" s="1">
        <f>IFERROR(VLOOKUP(2042,'PEDIDO 19'!$C$2:$E$230,3,0),0)</f>
        <v>0</v>
      </c>
      <c r="D1482" s="1">
        <f>IFERROR(VLOOKUP(2041,'PEDIDO 19'!$C$2:$E$230,3,0),0)</f>
        <v>0</v>
      </c>
      <c r="E1482" s="1">
        <f>IFERROR(VLOOKUP(2043,'PEDIDO 19'!$C$2:$E$230,3,0),0)</f>
        <v>0</v>
      </c>
      <c r="F1482" s="1">
        <f>IFERROR(VLOOKUP(2040,'PEDIDO 19'!$C$2:$E$230,3,0),0)</f>
        <v>0</v>
      </c>
      <c r="G1482" s="18">
        <f t="shared" si="36"/>
        <v>0</v>
      </c>
    </row>
    <row r="1483" spans="1:7" ht="15.75" x14ac:dyDescent="0.25">
      <c r="A1483" s="15" t="str">
        <f>'PEDIDO 19'!$B$2</f>
        <v>Santa Cruz Do Rio Pardo-Santa Cruz Moveis Ltda</v>
      </c>
      <c r="B1483" s="12" t="s">
        <v>420</v>
      </c>
      <c r="C1483" s="1">
        <f>IFERROR(VLOOKUP(2045,'PEDIDO 19'!$C$2:$E$230,3,0),0)</f>
        <v>0</v>
      </c>
      <c r="D1483" s="1">
        <f>IFERROR(VLOOKUP(2046,'PEDIDO 19'!$C$2:$E$230,3,0),0)</f>
        <v>0</v>
      </c>
      <c r="E1483" s="1">
        <f>IFERROR(VLOOKUP(2047,'PEDIDO 19'!$C$2:$E$230,3,0),0)</f>
        <v>0</v>
      </c>
      <c r="F1483" s="1">
        <f>IFERROR(VLOOKUP(2048,'PEDIDO 19'!$C$2:$E$230,3,0),0)</f>
        <v>0</v>
      </c>
      <c r="G1483" s="18">
        <f t="shared" si="36"/>
        <v>0</v>
      </c>
    </row>
    <row r="1484" spans="1:7" ht="15.75" x14ac:dyDescent="0.25">
      <c r="A1484" s="15" t="str">
        <f>'PEDIDO 19'!$B$2</f>
        <v>Santa Cruz Do Rio Pardo-Santa Cruz Moveis Ltda</v>
      </c>
      <c r="B1484" s="12" t="s">
        <v>421</v>
      </c>
      <c r="C1484" s="1">
        <f>IFERROR(VLOOKUP(2050,'PEDIDO 19'!$C$2:$E$230,3,0),0)</f>
        <v>0</v>
      </c>
      <c r="D1484" s="1">
        <f>IFERROR(VLOOKUP(2051,'PEDIDO 19'!$C$2:$E$230,3,0),0)</f>
        <v>0</v>
      </c>
      <c r="E1484" s="1">
        <f>IFERROR(VLOOKUP(2052,'PEDIDO 19'!$C$2:$E$230,3,0),0)</f>
        <v>0</v>
      </c>
      <c r="F1484" s="1">
        <f>IFERROR(VLOOKUP(2053,'PEDIDO 19'!$C$2:$E$230,3,0),0)</f>
        <v>0</v>
      </c>
      <c r="G1484" s="18">
        <f t="shared" si="36"/>
        <v>0</v>
      </c>
    </row>
    <row r="1485" spans="1:7" ht="15.75" x14ac:dyDescent="0.25">
      <c r="A1485" s="15" t="str">
        <f>'PEDIDO 19'!$B$2</f>
        <v>Santa Cruz Do Rio Pardo-Santa Cruz Moveis Ltda</v>
      </c>
      <c r="B1485" s="12" t="s">
        <v>422</v>
      </c>
      <c r="C1485" s="1">
        <f>IFERROR(VLOOKUP(216,'PEDIDO 19'!$C$2:$E$230,3,0),0)</f>
        <v>0</v>
      </c>
      <c r="D1485" s="1">
        <f>IFERROR(VLOOKUP(217,'PEDIDO 19'!$C$2:$E$230,3,0),0)</f>
        <v>0</v>
      </c>
      <c r="E1485" s="1">
        <f>IFERROR(VLOOKUP(218,'PEDIDO 19'!$C$2:$E$230,3,0),0)</f>
        <v>0</v>
      </c>
      <c r="F1485" s="1">
        <f>IFERROR(VLOOKUP(305,'PEDIDO 19'!$C$2:$E$230,3,0),0)</f>
        <v>0</v>
      </c>
      <c r="G1485" s="18">
        <f t="shared" si="36"/>
        <v>0</v>
      </c>
    </row>
    <row r="1486" spans="1:7" ht="15.75" x14ac:dyDescent="0.25">
      <c r="A1486" s="15" t="str">
        <f>'PEDIDO 19'!$B$2</f>
        <v>Santa Cruz Do Rio Pardo-Santa Cruz Moveis Ltda</v>
      </c>
      <c r="B1486" s="12" t="s">
        <v>423</v>
      </c>
      <c r="C1486" s="1">
        <f>IFERROR(VLOOKUP(100,'PEDIDO 19'!$C$2:$E$230,3,0),0)</f>
        <v>0</v>
      </c>
      <c r="D1486" s="1">
        <f>IFERROR(VLOOKUP(101,'PEDIDO 19'!$C$2:$E$230,3,0),0)</f>
        <v>0</v>
      </c>
      <c r="E1486" s="1">
        <f>IFERROR(VLOOKUP(102,'PEDIDO 19'!$C$2:$E$230,3,0),0)</f>
        <v>0</v>
      </c>
      <c r="F1486" s="1">
        <f>IFERROR(VLOOKUP(306,'PEDIDO 19'!$C$2:$E$230,3,0),0)</f>
        <v>0</v>
      </c>
      <c r="G1486" s="18">
        <f t="shared" si="36"/>
        <v>0</v>
      </c>
    </row>
    <row r="1487" spans="1:7" ht="15.75" x14ac:dyDescent="0.25">
      <c r="A1487" s="15" t="str">
        <f>'PEDIDO 19'!$B$2</f>
        <v>Santa Cruz Do Rio Pardo-Santa Cruz Moveis Ltda</v>
      </c>
      <c r="B1487" s="12" t="s">
        <v>424</v>
      </c>
      <c r="C1487" s="1">
        <f>IFERROR(VLOOKUP(104,'PEDIDO 19'!$C$2:$E$230,3,0),0)</f>
        <v>0</v>
      </c>
      <c r="D1487" s="1">
        <f>IFERROR(VLOOKUP(105,'PEDIDO 19'!$C$2:$E$230,3,0),0)</f>
        <v>0</v>
      </c>
      <c r="E1487" s="1">
        <f>IFERROR(VLOOKUP(106,'PEDIDO 19'!$C$2:$E$230,3,0),0)</f>
        <v>0</v>
      </c>
      <c r="F1487" s="1">
        <f>IFERROR(VLOOKUP(307,'PEDIDO 19'!$C$2:$E$230,3,0),0)</f>
        <v>2</v>
      </c>
      <c r="G1487" s="18">
        <f t="shared" si="36"/>
        <v>2</v>
      </c>
    </row>
    <row r="1488" spans="1:7" ht="15.75" x14ac:dyDescent="0.25">
      <c r="A1488" s="15" t="str">
        <f>'PEDIDO 19'!$B$2</f>
        <v>Santa Cruz Do Rio Pardo-Santa Cruz Moveis Ltda</v>
      </c>
      <c r="B1488" s="12" t="s">
        <v>425</v>
      </c>
      <c r="C1488" s="1">
        <f>IFERROR(VLOOKUP(400,'PEDIDO 19'!$C$2:$E$230,3,0),0)</f>
        <v>0</v>
      </c>
      <c r="D1488" s="1">
        <f>IFERROR(VLOOKUP(401,'PEDIDO 19'!$C$2:$E$230,3,0),0)</f>
        <v>0</v>
      </c>
      <c r="E1488" s="1">
        <f>IFERROR(VLOOKUP(402,'PEDIDO 19'!$C$2:$E$230,3,0),0)</f>
        <v>0</v>
      </c>
      <c r="F1488" s="1">
        <f>IFERROR(VLOOKUP(403,'PEDIDO 19'!$C$2:$E$230,3,0),0)</f>
        <v>0</v>
      </c>
      <c r="G1488" s="18">
        <f t="shared" si="36"/>
        <v>0</v>
      </c>
    </row>
    <row r="1489" spans="1:7" ht="15.75" x14ac:dyDescent="0.25">
      <c r="A1489" s="15" t="str">
        <f>'PEDIDO 19'!$B$2</f>
        <v>Santa Cruz Do Rio Pardo-Santa Cruz Moveis Ltda</v>
      </c>
      <c r="B1489" s="12" t="s">
        <v>428</v>
      </c>
      <c r="C1489" s="1">
        <f>IFERROR(VLOOKUP(22,'PEDIDO 19'!$C$2:$E$230,3,0),0)</f>
        <v>0</v>
      </c>
      <c r="D1489" s="1"/>
      <c r="E1489" s="1"/>
      <c r="F1489" s="1"/>
      <c r="G1489" s="18">
        <f t="shared" si="36"/>
        <v>0</v>
      </c>
    </row>
    <row r="1490" spans="1:7" ht="15.75" x14ac:dyDescent="0.25">
      <c r="A1490" s="15" t="str">
        <f>'PEDIDO 19'!$B$2</f>
        <v>Santa Cruz Do Rio Pardo-Santa Cruz Moveis Ltda</v>
      </c>
      <c r="B1490" s="12" t="s">
        <v>429</v>
      </c>
      <c r="C1490" s="1">
        <f>IFERROR(VLOOKUP(21,'PEDIDO 19'!$C$2:$E$230,3,0),0)</f>
        <v>0</v>
      </c>
      <c r="D1490" s="1"/>
      <c r="E1490" s="1"/>
      <c r="F1490" s="1"/>
      <c r="G1490" s="18">
        <f t="shared" si="36"/>
        <v>0</v>
      </c>
    </row>
    <row r="1491" spans="1:7" ht="15.75" x14ac:dyDescent="0.25">
      <c r="A1491" s="15" t="str">
        <f>'PEDIDO 19'!$B$2</f>
        <v>Santa Cruz Do Rio Pardo-Santa Cruz Moveis Ltda</v>
      </c>
      <c r="B1491" s="12" t="s">
        <v>430</v>
      </c>
      <c r="C1491" s="1">
        <f>IFERROR(VLOOKUP(1125,'PEDIDO 19'!$C$2:$E$230,3,0),0)</f>
        <v>0</v>
      </c>
      <c r="D1491" s="1">
        <f>IFERROR(VLOOKUP(1126,'PEDIDO 19'!$C$2:$E$230,3,0),0)</f>
        <v>0</v>
      </c>
      <c r="E1491" s="1">
        <f>IFERROR(VLOOKUP(1127,'PEDIDO 19'!$C$2:$E$230,3,0),0)</f>
        <v>0</v>
      </c>
      <c r="F1491" s="1">
        <f>IFERROR(VLOOKUP(1128,'PEDIDO 19'!$C$2:$E$230,3,0),0)</f>
        <v>0</v>
      </c>
      <c r="G1491" s="18">
        <f t="shared" si="36"/>
        <v>0</v>
      </c>
    </row>
    <row r="1492" spans="1:7" ht="15.75" x14ac:dyDescent="0.25">
      <c r="A1492" s="15" t="str">
        <f>'PEDIDO 19'!$B$2</f>
        <v>Santa Cruz Do Rio Pardo-Santa Cruz Moveis Ltda</v>
      </c>
      <c r="B1492" s="12" t="s">
        <v>431</v>
      </c>
      <c r="C1492" s="1">
        <f>IFERROR(VLOOKUP(1133,'PEDIDO 19'!$C$2:$E$230,3,0),0)</f>
        <v>0</v>
      </c>
      <c r="D1492" s="1">
        <f>IFERROR(VLOOKUP(1134,'PEDIDO 19'!$C$2:$E$230,3,0),0)</f>
        <v>0</v>
      </c>
      <c r="E1492" s="1">
        <f>IFERROR(VLOOKUP(1135,'PEDIDO 19'!$C$2:$E$230,3,0),0)</f>
        <v>0</v>
      </c>
      <c r="F1492" s="1">
        <f>IFERROR(VLOOKUP(1136,'PEDIDO 19'!$C$2:$E$230,3,0),0)</f>
        <v>0</v>
      </c>
      <c r="G1492" s="18">
        <f t="shared" si="36"/>
        <v>0</v>
      </c>
    </row>
    <row r="1493" spans="1:7" ht="15.75" x14ac:dyDescent="0.25">
      <c r="A1493" s="15" t="str">
        <f>'PEDIDO 19'!$B$2</f>
        <v>Santa Cruz Do Rio Pardo-Santa Cruz Moveis Ltda</v>
      </c>
      <c r="B1493" s="12" t="s">
        <v>432</v>
      </c>
      <c r="C1493" s="1">
        <f>IFERROR(VLOOKUP(1105,'PEDIDO 19'!$C$2:$E$230,3,0),0)</f>
        <v>0</v>
      </c>
      <c r="D1493" s="1">
        <f>IFERROR(VLOOKUP(1106,'PEDIDO 19'!$C$2:$E$230,3,0),0)</f>
        <v>0</v>
      </c>
      <c r="E1493" s="1">
        <f>IFERROR(VLOOKUP(1107,'PEDIDO 19'!$C$2:$E$230,3,0),0)</f>
        <v>0</v>
      </c>
      <c r="F1493" s="1">
        <f>IFERROR(VLOOKUP(1108,'PEDIDO 19'!$C$2:$E$230,3,0),0)</f>
        <v>0</v>
      </c>
      <c r="G1493" s="18">
        <f t="shared" si="36"/>
        <v>0</v>
      </c>
    </row>
    <row r="1494" spans="1:7" ht="15.75" x14ac:dyDescent="0.25">
      <c r="A1494" s="15" t="str">
        <f>'PEDIDO 19'!$B$2</f>
        <v>Santa Cruz Do Rio Pardo-Santa Cruz Moveis Ltda</v>
      </c>
      <c r="B1494" s="12" t="s">
        <v>433</v>
      </c>
      <c r="C1494" s="1">
        <f>IFERROR(VLOOKUP(1109,'PEDIDO 19'!$C$2:$E$230,3,0),0)</f>
        <v>0</v>
      </c>
      <c r="D1494" s="1">
        <f>IFERROR(VLOOKUP(1110,'PEDIDO 19'!$C$2:$E$230,3,0),0)</f>
        <v>0</v>
      </c>
      <c r="E1494" s="1">
        <f>IFERROR(VLOOKUP(1111,'PEDIDO 19'!$C$2:$E$230,3,0),0)</f>
        <v>0</v>
      </c>
      <c r="F1494" s="1">
        <f>IFERROR(VLOOKUP(1112,'PEDIDO 19'!$C$2:$E$230,3,0),0)</f>
        <v>0</v>
      </c>
      <c r="G1494" s="18">
        <f t="shared" si="36"/>
        <v>0</v>
      </c>
    </row>
    <row r="1495" spans="1:7" ht="15.75" x14ac:dyDescent="0.25">
      <c r="A1495" s="15" t="str">
        <f>'PEDIDO 19'!$B$2</f>
        <v>Santa Cruz Do Rio Pardo-Santa Cruz Moveis Ltda</v>
      </c>
      <c r="B1495" s="12" t="s">
        <v>434</v>
      </c>
      <c r="C1495" s="1">
        <f>IFERROR(VLOOKUP(1113,'PEDIDO 19'!$C$2:$E$230,3,0),0)</f>
        <v>0</v>
      </c>
      <c r="D1495" s="1">
        <f>IFERROR(VLOOKUP(1114,'PEDIDO 19'!$C$2:$E$230,3,0),0)</f>
        <v>0</v>
      </c>
      <c r="E1495" s="1">
        <f>IFERROR(VLOOKUP(1115,'PEDIDO 19'!$C$2:$E$230,3,0),0)</f>
        <v>0</v>
      </c>
      <c r="F1495" s="1">
        <f>IFERROR(VLOOKUP(1116,'PEDIDO 19'!$C$2:$E$230,3,0),0)</f>
        <v>0</v>
      </c>
      <c r="G1495" s="18">
        <f t="shared" si="36"/>
        <v>0</v>
      </c>
    </row>
    <row r="1496" spans="1:7" ht="15.75" x14ac:dyDescent="0.25">
      <c r="A1496" s="15" t="str">
        <f>'PEDIDO 19'!$B$2</f>
        <v>Santa Cruz Do Rio Pardo-Santa Cruz Moveis Ltda</v>
      </c>
      <c r="B1496" s="12" t="s">
        <v>435</v>
      </c>
      <c r="C1496" s="1">
        <f>IFERROR(VLOOKUP(1117,'PEDIDO 19'!$C$2:$E$230,3,0),0)</f>
        <v>0</v>
      </c>
      <c r="D1496" s="1">
        <f>IFERROR(VLOOKUP(1118,'PEDIDO 19'!$C$2:$E$230,3,0),0)</f>
        <v>0</v>
      </c>
      <c r="E1496" s="1">
        <f>IFERROR(VLOOKUP(1119,'PEDIDO 19'!$C$2:$E$230,3,0),0)</f>
        <v>0</v>
      </c>
      <c r="F1496" s="1">
        <f>IFERROR(VLOOKUP(1120,'PEDIDO 19'!$C$2:$E$230,3,0),0)</f>
        <v>0</v>
      </c>
      <c r="G1496" s="18">
        <f t="shared" si="36"/>
        <v>0</v>
      </c>
    </row>
    <row r="1497" spans="1:7" ht="15.75" x14ac:dyDescent="0.25">
      <c r="A1497" s="15" t="str">
        <f>'PEDIDO 19'!$B$2</f>
        <v>Santa Cruz Do Rio Pardo-Santa Cruz Moveis Ltda</v>
      </c>
      <c r="B1497" s="12" t="s">
        <v>436</v>
      </c>
      <c r="C1497" s="1">
        <f>IFERROR(VLOOKUP(1121,'PEDIDO 19'!$C$2:$E$230,3,0),0)</f>
        <v>0</v>
      </c>
      <c r="D1497" s="1">
        <f>IFERROR(VLOOKUP(1122,'PEDIDO 19'!$C$2:$E$230,3,0),0)</f>
        <v>0</v>
      </c>
      <c r="E1497" s="1">
        <f>IFERROR(VLOOKUP(1123,'PEDIDO 19'!$C$2:$E$230,3,0),0)</f>
        <v>0</v>
      </c>
      <c r="F1497" s="1">
        <f>IFERROR(VLOOKUP(1124,'PEDIDO 19'!$C$2:$E$230,3,0),0)</f>
        <v>0</v>
      </c>
      <c r="G1497" s="18">
        <f t="shared" si="36"/>
        <v>0</v>
      </c>
    </row>
    <row r="1498" spans="1:7" ht="15.75" x14ac:dyDescent="0.25">
      <c r="A1498" s="15" t="str">
        <f>'PEDIDO 19'!$B$2</f>
        <v>Santa Cruz Do Rio Pardo-Santa Cruz Moveis Ltda</v>
      </c>
      <c r="B1498" s="12" t="s">
        <v>437</v>
      </c>
      <c r="C1498" s="1">
        <f>IFERROR(VLOOKUP(1129,'PEDIDO 19'!$C$2:$E$230,3,0),0)</f>
        <v>0</v>
      </c>
      <c r="D1498" s="1">
        <f>IFERROR(VLOOKUP(1130,'PEDIDO 19'!$C$2:$E$230,3,0),0)</f>
        <v>0</v>
      </c>
      <c r="E1498" s="1">
        <f>IFERROR(VLOOKUP(1131,'PEDIDO 19'!$C$2:$E$230,3,0),0)</f>
        <v>0</v>
      </c>
      <c r="F1498" s="1">
        <f>IFERROR(VLOOKUP(1132,'PEDIDO 19'!$C$2:$E$230,3,0),0)</f>
        <v>0</v>
      </c>
      <c r="G1498" s="18">
        <f t="shared" si="36"/>
        <v>0</v>
      </c>
    </row>
    <row r="1499" spans="1:7" ht="15.75" x14ac:dyDescent="0.25">
      <c r="A1499" s="15" t="str">
        <f>'PEDIDO 19'!$B$2</f>
        <v>Santa Cruz Do Rio Pardo-Santa Cruz Moveis Ltda</v>
      </c>
      <c r="B1499" s="12" t="s">
        <v>438</v>
      </c>
      <c r="C1499" s="1">
        <f>IFERROR(VLOOKUP(1137,'PEDIDO 19'!$C$2:$E$230,3,0),0)</f>
        <v>0</v>
      </c>
      <c r="D1499" s="1">
        <f>IFERROR(VLOOKUP(1138,'PEDIDO 19'!$C$2:$E$230,3,0),0)</f>
        <v>0</v>
      </c>
      <c r="E1499" s="1">
        <f>IFERROR(VLOOKUP(1139,'PEDIDO 19'!$C$2:$E$230,3,0),0)</f>
        <v>0</v>
      </c>
      <c r="F1499" s="1">
        <f>IFERROR(VLOOKUP(1140,'PEDIDO 19'!$C$2:$E$230,3,0),0)</f>
        <v>0</v>
      </c>
      <c r="G1499" s="18">
        <f t="shared" si="36"/>
        <v>0</v>
      </c>
    </row>
    <row r="1500" spans="1:7" ht="15.75" x14ac:dyDescent="0.25">
      <c r="A1500" s="15" t="str">
        <f>'PEDIDO 19'!$B$2</f>
        <v>Santa Cruz Do Rio Pardo-Santa Cruz Moveis Ltda</v>
      </c>
      <c r="B1500" s="12" t="s">
        <v>439</v>
      </c>
      <c r="C1500" s="1">
        <f>IFERROR(VLOOKUP(1141,'PEDIDO 19'!$C$2:$E$230,3,0),0)</f>
        <v>0</v>
      </c>
      <c r="D1500" s="1">
        <f>IFERROR(VLOOKUP(1142,'PEDIDO 19'!$C$2:$E$230,3,0),0)</f>
        <v>0</v>
      </c>
      <c r="E1500" s="1">
        <f>IFERROR(VLOOKUP(1143,'PEDIDO 19'!$C$2:$E$230,3,0),0)</f>
        <v>0</v>
      </c>
      <c r="F1500" s="1">
        <f>IFERROR(VLOOKUP(1144,'PEDIDO 19'!$C$2:$E$230,3,0),0)</f>
        <v>0</v>
      </c>
      <c r="G1500" s="18">
        <f t="shared" si="36"/>
        <v>0</v>
      </c>
    </row>
    <row r="1501" spans="1:7" ht="15.75" x14ac:dyDescent="0.25">
      <c r="A1501" s="15" t="str">
        <f>'PEDIDO 19'!$B$2</f>
        <v>Santa Cruz Do Rio Pardo-Santa Cruz Moveis Ltda</v>
      </c>
      <c r="B1501" s="12" t="s">
        <v>440</v>
      </c>
      <c r="C1501" s="1">
        <f>IFERROR(VLOOKUP(1145,'PEDIDO 19'!$C$2:$E$230,3,0),0)</f>
        <v>0</v>
      </c>
      <c r="D1501" s="1">
        <f>IFERROR(VLOOKUP(1146,'PEDIDO 19'!$C$2:$E$230,3,0),0)</f>
        <v>0</v>
      </c>
      <c r="E1501" s="1">
        <f>IFERROR(VLOOKUP(1147,'PEDIDO 19'!$C$2:$E$230,3,0),0)</f>
        <v>0</v>
      </c>
      <c r="F1501" s="1">
        <f>IFERROR(VLOOKUP(1148,'PEDIDO 19'!$C$2:$E$230,3,0),0)</f>
        <v>0</v>
      </c>
      <c r="G1501" s="18">
        <f t="shared" si="36"/>
        <v>0</v>
      </c>
    </row>
    <row r="1502" spans="1:7" ht="15.75" x14ac:dyDescent="0.25">
      <c r="A1502" s="15" t="str">
        <f>'PEDIDO 19'!$B$2</f>
        <v>Santa Cruz Do Rio Pardo-Santa Cruz Moveis Ltda</v>
      </c>
      <c r="B1502" s="12" t="s">
        <v>441</v>
      </c>
      <c r="C1502" s="1">
        <f>IFERROR(VLOOKUP(1149,'PEDIDO 19'!$C$2:$E$230,3,0),0)</f>
        <v>0</v>
      </c>
      <c r="D1502" s="1">
        <f>IFERROR(VLOOKUP(1150,'PEDIDO 19'!$C$2:$E$230,3,0),0)</f>
        <v>0</v>
      </c>
      <c r="E1502" s="1">
        <f>IFERROR(VLOOKUP(1151,'PEDIDO 19'!$C$2:$E$230,3,0),0)</f>
        <v>0</v>
      </c>
      <c r="F1502" s="1">
        <f>IFERROR(VLOOKUP(1152,'PEDIDO 19'!$C$2:$E$230,3,0),0)</f>
        <v>0</v>
      </c>
      <c r="G1502" s="18">
        <f t="shared" si="36"/>
        <v>0</v>
      </c>
    </row>
    <row r="1503" spans="1:7" ht="15.75" x14ac:dyDescent="0.25">
      <c r="A1503" s="15" t="str">
        <f>'PEDIDO 19'!$B$2</f>
        <v>Santa Cruz Do Rio Pardo-Santa Cruz Moveis Ltda</v>
      </c>
      <c r="B1503" s="12" t="s">
        <v>442</v>
      </c>
      <c r="C1503" s="1">
        <f>IFERROR(VLOOKUP(1153,'PEDIDO 19'!$C$2:$E$230,3,0),0)</f>
        <v>0</v>
      </c>
      <c r="D1503" s="1">
        <f>IFERROR(VLOOKUP(1154,'PEDIDO 19'!$C$2:$E$230,3,0),0)</f>
        <v>0</v>
      </c>
      <c r="E1503" s="1">
        <f>IFERROR(VLOOKUP(1155,'PEDIDO 19'!$C$2:$E$230,3,0),0)</f>
        <v>0</v>
      </c>
      <c r="F1503" s="1">
        <f>IFERROR(VLOOKUP(1156,'PEDIDO 19'!$C$2:$E$230,3,0),0)</f>
        <v>0</v>
      </c>
      <c r="G1503" s="18">
        <f t="shared" si="36"/>
        <v>0</v>
      </c>
    </row>
    <row r="1504" spans="1:7" ht="15.75" x14ac:dyDescent="0.25">
      <c r="A1504" s="15" t="str">
        <f>'PEDIDO 19'!$B$2</f>
        <v>Santa Cruz Do Rio Pardo-Santa Cruz Moveis Ltda</v>
      </c>
      <c r="B1504" s="12" t="s">
        <v>443</v>
      </c>
      <c r="C1504" s="1">
        <f>IFERROR(VLOOKUP(1157,'PEDIDO 19'!$C$2:$E$230,3,0),0)</f>
        <v>0</v>
      </c>
      <c r="D1504" s="1">
        <f>IFERROR(VLOOKUP(1158,'PEDIDO 19'!$C$2:$E$230,3,0),0)</f>
        <v>0</v>
      </c>
      <c r="E1504" s="1">
        <f>IFERROR(VLOOKUP(1159,'PEDIDO 19'!$C$2:$E$230,3,0),0)</f>
        <v>0</v>
      </c>
      <c r="F1504" s="1">
        <f>IFERROR(VLOOKUP(1160,'PEDIDO 19'!$C$2:$E$230,3,0),0)</f>
        <v>0</v>
      </c>
      <c r="G1504" s="18">
        <f t="shared" si="36"/>
        <v>0</v>
      </c>
    </row>
    <row r="1505" spans="1:7" ht="15.75" x14ac:dyDescent="0.25">
      <c r="A1505" s="15" t="str">
        <f>'PEDIDO 19'!$B$2</f>
        <v>Santa Cruz Do Rio Pardo-Santa Cruz Moveis Ltda</v>
      </c>
      <c r="B1505" s="12" t="s">
        <v>444</v>
      </c>
      <c r="C1505" s="1">
        <f>IFERROR(VLOOKUP(1161,'PEDIDO 19'!$C$2:$E$230,3,0),0)</f>
        <v>0</v>
      </c>
      <c r="D1505" s="1">
        <f>IFERROR(VLOOKUP(1162,'PEDIDO 19'!$C$2:$E$230,3,0),0)</f>
        <v>0</v>
      </c>
      <c r="E1505" s="1">
        <f>IFERROR(VLOOKUP(1163,'PEDIDO 19'!$C$2:$E$230,3,0),0)</f>
        <v>0</v>
      </c>
      <c r="F1505" s="1">
        <f>IFERROR(VLOOKUP(1164,'PEDIDO 19'!$C$2:$E$230,3,0),0)</f>
        <v>0</v>
      </c>
      <c r="G1505" s="18">
        <f t="shared" si="36"/>
        <v>0</v>
      </c>
    </row>
    <row r="1506" spans="1:7" ht="15.75" x14ac:dyDescent="0.25">
      <c r="A1506" s="15" t="str">
        <f>'PEDIDO 19'!$B$2</f>
        <v>Santa Cruz Do Rio Pardo-Santa Cruz Moveis Ltda</v>
      </c>
      <c r="B1506" s="12" t="s">
        <v>445</v>
      </c>
      <c r="C1506" s="1">
        <f>IFERROR(VLOOKUP(1165,'PEDIDO 19'!$C$2:$E$230,3,0),0)</f>
        <v>0</v>
      </c>
      <c r="D1506" s="1">
        <f>IFERROR(VLOOKUP(1166,'PEDIDO 19'!$C$2:$E$230,3,0),0)</f>
        <v>0</v>
      </c>
      <c r="E1506" s="1">
        <f>IFERROR(VLOOKUP(1167,'PEDIDO 19'!$C$2:$E$230,3,0),0)</f>
        <v>0</v>
      </c>
      <c r="F1506" s="1">
        <f>IFERROR(VLOOKUP(1168,'PEDIDO 19'!$C$2:$E$230,3,0),0)</f>
        <v>0</v>
      </c>
      <c r="G1506" s="18">
        <f t="shared" si="36"/>
        <v>0</v>
      </c>
    </row>
    <row r="1507" spans="1:7" ht="15.75" x14ac:dyDescent="0.25">
      <c r="A1507" s="15" t="str">
        <f>'PEDIDO 19'!$B$2</f>
        <v>Santa Cruz Do Rio Pardo-Santa Cruz Moveis Ltda</v>
      </c>
      <c r="B1507" s="12" t="s">
        <v>446</v>
      </c>
      <c r="C1507" s="1">
        <f>IFERROR(VLOOKUP(1169,'PEDIDO 19'!$C$2:$E$230,3,0),0)</f>
        <v>0</v>
      </c>
      <c r="D1507" s="1">
        <f>IFERROR(VLOOKUP(1170,'PEDIDO 19'!$C$2:$E$230,3,0),0)</f>
        <v>0</v>
      </c>
      <c r="E1507" s="1">
        <f>IFERROR(VLOOKUP(1171,'PEDIDO 19'!$C$2:$E$230,3,0),0)</f>
        <v>0</v>
      </c>
      <c r="F1507" s="1">
        <f>IFERROR(VLOOKUP(1172,'PEDIDO 19'!$C$2:$E$230,3,0),0)</f>
        <v>0</v>
      </c>
      <c r="G1507" s="18">
        <f t="shared" si="36"/>
        <v>0</v>
      </c>
    </row>
    <row r="1508" spans="1:7" ht="15.75" x14ac:dyDescent="0.25">
      <c r="A1508" s="15" t="str">
        <f>'PEDIDO 19'!$B$2</f>
        <v>Santa Cruz Do Rio Pardo-Santa Cruz Moveis Ltda</v>
      </c>
      <c r="B1508" s="12" t="s">
        <v>447</v>
      </c>
      <c r="C1508" s="1">
        <f>IFERROR(VLOOKUP(1173,'PEDIDO 19'!$C$2:$E$230,3,0),0)</f>
        <v>0</v>
      </c>
      <c r="D1508" s="1">
        <f>IFERROR(VLOOKUP(1174,'PEDIDO 19'!$C$2:$E$230,3,0),0)</f>
        <v>0</v>
      </c>
      <c r="E1508" s="1">
        <f>IFERROR(VLOOKUP(1175,'PEDIDO 19'!$C$2:$E$230,3,0),0)</f>
        <v>0</v>
      </c>
      <c r="F1508" s="1">
        <f>IFERROR(VLOOKUP(1176,'PEDIDO 19'!$C$2:$E$230,3,0),0)</f>
        <v>0</v>
      </c>
      <c r="G1508" s="18">
        <f t="shared" si="36"/>
        <v>0</v>
      </c>
    </row>
    <row r="1509" spans="1:7" ht="15.75" x14ac:dyDescent="0.25">
      <c r="A1509" s="15" t="str">
        <f>'PEDIDO 19'!$B$2</f>
        <v>Santa Cruz Do Rio Pardo-Santa Cruz Moveis Ltda</v>
      </c>
      <c r="B1509" s="12" t="s">
        <v>448</v>
      </c>
      <c r="C1509" s="1">
        <f>IFERROR(VLOOKUP(1249,'PEDIDO 19'!$C$2:$E$230,3,0),0)</f>
        <v>0</v>
      </c>
      <c r="D1509" s="1">
        <f>IFERROR(VLOOKUP(1250,'PEDIDO 19'!$C$2:$E$230,3,0),0)</f>
        <v>0</v>
      </c>
      <c r="E1509" s="1">
        <f>IFERROR(VLOOKUP(1251,'PEDIDO 19'!$C$2:$E$230,3,0),0)</f>
        <v>0</v>
      </c>
      <c r="F1509" s="1">
        <f>IFERROR(VLOOKUP(1252,'PEDIDO 19'!$C$2:$E$230,3,0),0)</f>
        <v>0</v>
      </c>
      <c r="G1509" s="18">
        <f t="shared" si="36"/>
        <v>0</v>
      </c>
    </row>
    <row r="1510" spans="1:7" ht="15.75" x14ac:dyDescent="0.25">
      <c r="A1510" s="15" t="str">
        <f>'PEDIDO 19'!$B$2</f>
        <v>Santa Cruz Do Rio Pardo-Santa Cruz Moveis Ltda</v>
      </c>
      <c r="B1510" s="12" t="s">
        <v>449</v>
      </c>
      <c r="C1510" s="1">
        <f>IFERROR(VLOOKUP(1177,'PEDIDO 19'!$C$2:$E$230,3,0),0)</f>
        <v>0</v>
      </c>
      <c r="D1510" s="1">
        <f>IFERROR(VLOOKUP(1178,'PEDIDO 19'!$C$2:$E$230,3,0),0)</f>
        <v>0</v>
      </c>
      <c r="E1510" s="1">
        <f>IFERROR(VLOOKUP(1179,'PEDIDO 19'!$C$2:$E$230,3,0),0)</f>
        <v>0</v>
      </c>
      <c r="F1510" s="1">
        <f>IFERROR(VLOOKUP(1180,'PEDIDO 19'!$C$2:$E$230,3,0),0)</f>
        <v>0</v>
      </c>
      <c r="G1510" s="18">
        <f t="shared" si="36"/>
        <v>0</v>
      </c>
    </row>
    <row r="1511" spans="1:7" ht="15.75" x14ac:dyDescent="0.25">
      <c r="A1511" s="15" t="str">
        <f>'PEDIDO 19'!$B$2</f>
        <v>Santa Cruz Do Rio Pardo-Santa Cruz Moveis Ltda</v>
      </c>
      <c r="B1511" s="12" t="s">
        <v>450</v>
      </c>
      <c r="C1511" s="1">
        <f>IFERROR(VLOOKUP(1181,'PEDIDO 19'!$C$2:$E$230,3,0),0)</f>
        <v>0</v>
      </c>
      <c r="D1511" s="1">
        <f>IFERROR(VLOOKUP(1182,'PEDIDO 19'!$C$2:$E$230,3,0),0)</f>
        <v>0</v>
      </c>
      <c r="E1511" s="1">
        <f>IFERROR(VLOOKUP(1183,'PEDIDO 19'!$C$2:$E$230,3,0),0)</f>
        <v>0</v>
      </c>
      <c r="F1511" s="1">
        <f>IFERROR(VLOOKUP(1184,'PEDIDO 19'!$C$2:$E$230,3,0),0)</f>
        <v>0</v>
      </c>
      <c r="G1511" s="18">
        <f t="shared" si="36"/>
        <v>0</v>
      </c>
    </row>
    <row r="1512" spans="1:7" ht="15.75" x14ac:dyDescent="0.25">
      <c r="A1512" s="15" t="str">
        <f>'PEDIDO 19'!$B$2</f>
        <v>Santa Cruz Do Rio Pardo-Santa Cruz Moveis Ltda</v>
      </c>
      <c r="B1512" s="12" t="s">
        <v>451</v>
      </c>
      <c r="C1512" s="1">
        <f>IFERROR(VLOOKUP(1185,'PEDIDO 19'!$C$2:$E$230,3,0),0)</f>
        <v>0</v>
      </c>
      <c r="D1512" s="1">
        <f>IFERROR(VLOOKUP(1186,'PEDIDO 19'!$C$2:$E$230,3,0),0)</f>
        <v>0</v>
      </c>
      <c r="E1512" s="1">
        <f>IFERROR(VLOOKUP(1187,'PEDIDO 19'!$C$2:$E$230,3,0),0)</f>
        <v>0</v>
      </c>
      <c r="F1512" s="1">
        <f>IFERROR(VLOOKUP(1188,'PEDIDO 19'!$C$2:$E$230,3,0),0)</f>
        <v>0</v>
      </c>
      <c r="G1512" s="18">
        <f t="shared" si="36"/>
        <v>0</v>
      </c>
    </row>
    <row r="1513" spans="1:7" ht="15.75" x14ac:dyDescent="0.25">
      <c r="A1513" s="15" t="str">
        <f>'PEDIDO 19'!$B$2</f>
        <v>Santa Cruz Do Rio Pardo-Santa Cruz Moveis Ltda</v>
      </c>
      <c r="B1513" s="12" t="s">
        <v>452</v>
      </c>
      <c r="C1513" s="1">
        <f>IFERROR(VLOOKUP(1189,'PEDIDO 19'!$C$2:$E$230,3,0),0)</f>
        <v>0</v>
      </c>
      <c r="D1513" s="1">
        <f>IFERROR(VLOOKUP(1190,'PEDIDO 19'!$C$2:$E$230,3,0),0)</f>
        <v>0</v>
      </c>
      <c r="E1513" s="1">
        <f>IFERROR(VLOOKUP(1191,'PEDIDO 19'!$C$2:$E$230,3,0),0)</f>
        <v>0</v>
      </c>
      <c r="F1513" s="1">
        <f>IFERROR(VLOOKUP(1192,'PEDIDO 19'!$C$2:$E$230,3,0),0)</f>
        <v>0</v>
      </c>
      <c r="G1513" s="18">
        <f t="shared" si="36"/>
        <v>0</v>
      </c>
    </row>
    <row r="1514" spans="1:7" ht="15.75" x14ac:dyDescent="0.25">
      <c r="A1514" s="15" t="str">
        <f>'PEDIDO 19'!$B$2</f>
        <v>Santa Cruz Do Rio Pardo-Santa Cruz Moveis Ltda</v>
      </c>
      <c r="B1514" s="12" t="s">
        <v>453</v>
      </c>
      <c r="C1514" s="1">
        <f>IFERROR(VLOOKUP(1193,'PEDIDO 19'!$C$2:$E$230,3,0),0)</f>
        <v>0</v>
      </c>
      <c r="D1514" s="1">
        <f>IFERROR(VLOOKUP(1194,'PEDIDO 19'!$C$2:$E$230,3,0),0)</f>
        <v>0</v>
      </c>
      <c r="E1514" s="1">
        <f>IFERROR(VLOOKUP(1195,'PEDIDO 19'!$C$2:$E$230,3,0),0)</f>
        <v>0</v>
      </c>
      <c r="F1514" s="1">
        <f>IFERROR(VLOOKUP(1196,'PEDIDO 19'!$C$2:$E$230,3,0),0)</f>
        <v>0</v>
      </c>
      <c r="G1514" s="18">
        <f t="shared" si="36"/>
        <v>0</v>
      </c>
    </row>
    <row r="1515" spans="1:7" ht="15.75" x14ac:dyDescent="0.25">
      <c r="A1515" s="15" t="str">
        <f>'PEDIDO 19'!$B$2</f>
        <v>Santa Cruz Do Rio Pardo-Santa Cruz Moveis Ltda</v>
      </c>
      <c r="B1515" s="12" t="s">
        <v>454</v>
      </c>
      <c r="C1515" s="1">
        <f>IFERROR(VLOOKUP(1197,'PEDIDO 19'!$C$2:$E$230,3,0),0)</f>
        <v>0</v>
      </c>
      <c r="D1515" s="1">
        <f>IFERROR(VLOOKUP(1198,'PEDIDO 19'!$C$2:$E$230,3,0),0)</f>
        <v>0</v>
      </c>
      <c r="E1515" s="1">
        <f>IFERROR(VLOOKUP(1199,'PEDIDO 19'!$C$2:$E$230,3,0),0)</f>
        <v>0</v>
      </c>
      <c r="F1515" s="1">
        <f>IFERROR(VLOOKUP(1200,'PEDIDO 19'!$C$2:$E$230,3,0),0)</f>
        <v>0</v>
      </c>
      <c r="G1515" s="18">
        <f t="shared" si="36"/>
        <v>0</v>
      </c>
    </row>
    <row r="1516" spans="1:7" ht="15.75" x14ac:dyDescent="0.25">
      <c r="A1516" s="15" t="str">
        <f>'PEDIDO 19'!$B$2</f>
        <v>Santa Cruz Do Rio Pardo-Santa Cruz Moveis Ltda</v>
      </c>
      <c r="B1516" s="12" t="s">
        <v>455</v>
      </c>
      <c r="C1516" s="1">
        <f>IFERROR(VLOOKUP(1201,'PEDIDO 19'!$C$2:$E$230,3,0),0)</f>
        <v>0</v>
      </c>
      <c r="D1516" s="1">
        <f>IFERROR(VLOOKUP(1202,'PEDIDO 19'!$C$2:$E$230,3,0),0)</f>
        <v>0</v>
      </c>
      <c r="E1516" s="1">
        <f>IFERROR(VLOOKUP(1203,'PEDIDO 19'!$C$2:$E$230,3,0),0)</f>
        <v>0</v>
      </c>
      <c r="F1516" s="1">
        <f>IFERROR(VLOOKUP(1204,'PEDIDO 19'!$C$2:$E$230,3,0),0)</f>
        <v>0</v>
      </c>
      <c r="G1516" s="18">
        <f t="shared" si="36"/>
        <v>0</v>
      </c>
    </row>
    <row r="1517" spans="1:7" ht="15.75" x14ac:dyDescent="0.25">
      <c r="A1517" s="15" t="str">
        <f>'PEDIDO 19'!$B$2</f>
        <v>Santa Cruz Do Rio Pardo-Santa Cruz Moveis Ltda</v>
      </c>
      <c r="B1517" s="12" t="s">
        <v>456</v>
      </c>
      <c r="C1517" s="1">
        <f>IFERROR(VLOOKUP(1205,'PEDIDO 19'!$C$2:$E$230,3,0),0)</f>
        <v>0</v>
      </c>
      <c r="D1517" s="1">
        <f>IFERROR(VLOOKUP(1206,'PEDIDO 19'!$C$2:$E$230,3,0),0)</f>
        <v>0</v>
      </c>
      <c r="E1517" s="1">
        <f>IFERROR(VLOOKUP(1207,'PEDIDO 19'!$C$2:$E$230,3,0),0)</f>
        <v>0</v>
      </c>
      <c r="F1517" s="1">
        <f>IFERROR(VLOOKUP(1208,'PEDIDO 19'!$C$2:$E$230,3,0),0)</f>
        <v>0</v>
      </c>
      <c r="G1517" s="18">
        <f t="shared" si="36"/>
        <v>0</v>
      </c>
    </row>
    <row r="1518" spans="1:7" ht="15.75" x14ac:dyDescent="0.25">
      <c r="A1518" s="15" t="str">
        <f>'PEDIDO 19'!$B$2</f>
        <v>Santa Cruz Do Rio Pardo-Santa Cruz Moveis Ltda</v>
      </c>
      <c r="B1518" s="12" t="s">
        <v>457</v>
      </c>
      <c r="C1518" s="1">
        <f>IFERROR(VLOOKUP(1213,'PEDIDO 19'!$C$2:$E$230,3,0),0)</f>
        <v>0</v>
      </c>
      <c r="D1518" s="1">
        <f>IFERROR(VLOOKUP(1214,'PEDIDO 19'!$C$2:$E$230,3,0),0)</f>
        <v>0</v>
      </c>
      <c r="E1518" s="1">
        <f>IFERROR(VLOOKUP(1215,'PEDIDO 19'!$C$2:$E$230,3,0),0)</f>
        <v>0</v>
      </c>
      <c r="F1518" s="10">
        <f>IFERROR(VLOOKUP(1216,'PEDIDO 19'!$C$2:$E$230,3,0),0)</f>
        <v>0</v>
      </c>
      <c r="G1518" s="18">
        <f t="shared" si="36"/>
        <v>0</v>
      </c>
    </row>
    <row r="1519" spans="1:7" ht="15.75" x14ac:dyDescent="0.25">
      <c r="A1519" s="15" t="str">
        <f>'PEDIDO 19'!$B$2</f>
        <v>Santa Cruz Do Rio Pardo-Santa Cruz Moveis Ltda</v>
      </c>
      <c r="B1519" s="12" t="s">
        <v>458</v>
      </c>
      <c r="C1519" s="1">
        <f>IFERROR(VLOOKUP(1209,'PEDIDO 19'!$C$2:$E$230,3,0),0)</f>
        <v>0</v>
      </c>
      <c r="D1519" s="1">
        <f>IFERROR(VLOOKUP(1210,'PEDIDO 19'!$C$2:$E$230,3,0),0)</f>
        <v>0</v>
      </c>
      <c r="E1519" s="1">
        <f>IFERROR(VLOOKUP(1211,'PEDIDO 19'!$C$2:$E$230,3,0),0)</f>
        <v>0</v>
      </c>
      <c r="F1519" s="1">
        <f>IFERROR(VLOOKUP(1212,'PEDIDO 19'!$C$2:$E$230,3,0),0)</f>
        <v>0</v>
      </c>
      <c r="G1519" s="18">
        <f t="shared" si="36"/>
        <v>0</v>
      </c>
    </row>
    <row r="1520" spans="1:7" ht="15.75" x14ac:dyDescent="0.25">
      <c r="A1520" s="15" t="str">
        <f>'PEDIDO 19'!$B$2</f>
        <v>Santa Cruz Do Rio Pardo-Santa Cruz Moveis Ltda</v>
      </c>
      <c r="B1520" s="12" t="s">
        <v>459</v>
      </c>
      <c r="C1520" s="1">
        <f>IFERROR(VLOOKUP(1217,'PEDIDO 19'!$C$2:$E$230,3,0),0)</f>
        <v>0</v>
      </c>
      <c r="D1520" s="1">
        <f>IFERROR(VLOOKUP(1218,'PEDIDO 19'!$C$2:$E$230,3,0),0)</f>
        <v>0</v>
      </c>
      <c r="E1520" s="1">
        <f>IFERROR(VLOOKUP(1219,'PEDIDO 19'!$C$2:$E$230,3,0),0)</f>
        <v>0</v>
      </c>
      <c r="F1520" s="1">
        <f>IFERROR(VLOOKUP(1220,'PEDIDO 19'!$C$2:$E$230,3,0),0)</f>
        <v>0</v>
      </c>
      <c r="G1520" s="18">
        <f t="shared" si="36"/>
        <v>0</v>
      </c>
    </row>
    <row r="1521" spans="1:7" ht="15.75" x14ac:dyDescent="0.25">
      <c r="A1521" s="15" t="str">
        <f>'PEDIDO 19'!$B$2</f>
        <v>Santa Cruz Do Rio Pardo-Santa Cruz Moveis Ltda</v>
      </c>
      <c r="B1521" s="12" t="s">
        <v>461</v>
      </c>
      <c r="C1521" s="1">
        <f>IFERROR(VLOOKUP(1225,'PEDIDO 19'!$C$2:$E$230,3,0),0)</f>
        <v>0</v>
      </c>
      <c r="D1521" s="1">
        <f>IFERROR(VLOOKUP(1226,'PEDIDO 19'!$C$2:$E$230,3,0),0)</f>
        <v>0</v>
      </c>
      <c r="E1521" s="1">
        <f>IFERROR(VLOOKUP(1227,'PEDIDO 19'!$C$2:$E$230,3,0),0)</f>
        <v>0</v>
      </c>
      <c r="F1521" s="1">
        <f>IFERROR(VLOOKUP(1228,'PEDIDO 19'!$C$2:$E$230,3,0),0)</f>
        <v>0</v>
      </c>
      <c r="G1521" s="18">
        <f t="shared" si="36"/>
        <v>0</v>
      </c>
    </row>
    <row r="1522" spans="1:7" ht="15.75" x14ac:dyDescent="0.25">
      <c r="A1522" s="15" t="str">
        <f>'PEDIDO 19'!$B$2</f>
        <v>Santa Cruz Do Rio Pardo-Santa Cruz Moveis Ltda</v>
      </c>
      <c r="B1522" s="12" t="s">
        <v>462</v>
      </c>
      <c r="C1522" s="1">
        <f>IFERROR(VLOOKUP(1221,'PEDIDO 19'!$C$2:$E$230,3,0),0)</f>
        <v>0</v>
      </c>
      <c r="D1522" s="1">
        <f>IFERROR(VLOOKUP(1222,'PEDIDO 19'!$C$2:$E$230,3,0),0)</f>
        <v>0</v>
      </c>
      <c r="E1522" s="1">
        <f>IFERROR(VLOOKUP(1223,'PEDIDO 19'!$C$2:$E$230,3,0),0)</f>
        <v>0</v>
      </c>
      <c r="F1522" s="1">
        <f>IFERROR(VLOOKUP(1224,'PEDIDO 19'!$C$2:$E$230,3,0),0)</f>
        <v>0</v>
      </c>
      <c r="G1522" s="18">
        <f t="shared" si="36"/>
        <v>0</v>
      </c>
    </row>
    <row r="1523" spans="1:7" ht="15.75" x14ac:dyDescent="0.25">
      <c r="A1523" s="15" t="str">
        <f>'PEDIDO 19'!$B$2</f>
        <v>Santa Cruz Do Rio Pardo-Santa Cruz Moveis Ltda</v>
      </c>
      <c r="B1523" s="12" t="s">
        <v>460</v>
      </c>
      <c r="C1523" s="1">
        <f>IFERROR(VLOOKUP(1229,'PEDIDO 19'!$C$2:$E$230,3,0),0)</f>
        <v>0</v>
      </c>
      <c r="D1523" s="1">
        <f>IFERROR(VLOOKUP(1230,'PEDIDO 19'!$C$2:$E$230,3,0),0)</f>
        <v>0</v>
      </c>
      <c r="E1523" s="1">
        <f>IFERROR(VLOOKUP(1231,'PEDIDO 19'!$C$2:$E$230,3,0),0)</f>
        <v>0</v>
      </c>
      <c r="F1523" s="1">
        <f>IFERROR(VLOOKUP(1232,'PEDIDO 19'!$C$2:$E$230,3,0),0)</f>
        <v>0</v>
      </c>
      <c r="G1523" s="18">
        <f t="shared" si="36"/>
        <v>0</v>
      </c>
    </row>
    <row r="1524" spans="1:7" ht="15.75" x14ac:dyDescent="0.25">
      <c r="A1524" s="15" t="str">
        <f>'PEDIDO 19'!$B$2</f>
        <v>Santa Cruz Do Rio Pardo-Santa Cruz Moveis Ltda</v>
      </c>
      <c r="B1524" s="12" t="s">
        <v>463</v>
      </c>
      <c r="C1524" s="1">
        <f>IFERROR(VLOOKUP(1233,'PEDIDO 19'!$C$2:$E$230,3,0),0)</f>
        <v>0</v>
      </c>
      <c r="D1524" s="1">
        <f>IFERROR(VLOOKUP(1234,'PEDIDO 19'!$C$2:$E$230,3,0),0)</f>
        <v>0</v>
      </c>
      <c r="E1524" s="1">
        <f>IFERROR(VLOOKUP(1235,'PEDIDO 19'!$C$2:$E$230,3,0),0)</f>
        <v>0</v>
      </c>
      <c r="F1524" s="1">
        <f>IFERROR(VLOOKUP(1236,'PEDIDO 19'!$C$2:$E$230,3,0),0)</f>
        <v>0</v>
      </c>
      <c r="G1524" s="18">
        <f t="shared" si="36"/>
        <v>0</v>
      </c>
    </row>
    <row r="1525" spans="1:7" ht="15.75" x14ac:dyDescent="0.25">
      <c r="A1525" s="15" t="str">
        <f>'PEDIDO 19'!$B$2</f>
        <v>Santa Cruz Do Rio Pardo-Santa Cruz Moveis Ltda</v>
      </c>
      <c r="B1525" s="12" t="s">
        <v>464</v>
      </c>
      <c r="C1525" s="1">
        <f>IFERROR(VLOOKUP(1237,'PEDIDO 19'!$C$2:$E$230,3,0),0)</f>
        <v>0</v>
      </c>
      <c r="D1525" s="1">
        <f>IFERROR(VLOOKUP(1238,'PEDIDO 19'!$C$2:$E$230,3,0),0)</f>
        <v>0</v>
      </c>
      <c r="E1525" s="1">
        <f>IFERROR(VLOOKUP(1239,'PEDIDO 19'!$C$2:$E$230,3,0),0)</f>
        <v>0</v>
      </c>
      <c r="F1525" s="1">
        <f>IFERROR(VLOOKUP(1240,'PEDIDO 19'!$C$2:$E$230,3,0),0)</f>
        <v>0</v>
      </c>
      <c r="G1525" s="18">
        <f t="shared" ref="G1525:G1538" si="37">SUM(C1525+D1525+E1525+F1525)</f>
        <v>0</v>
      </c>
    </row>
    <row r="1526" spans="1:7" ht="15.75" x14ac:dyDescent="0.25">
      <c r="A1526" s="15" t="str">
        <f>'PEDIDO 19'!$B$2</f>
        <v>Santa Cruz Do Rio Pardo-Santa Cruz Moveis Ltda</v>
      </c>
      <c r="B1526" s="12" t="s">
        <v>465</v>
      </c>
      <c r="C1526" s="1">
        <f>IFERROR(VLOOKUP(1241,'PEDIDO 19'!$C$2:$E$230,3,0),0)</f>
        <v>0</v>
      </c>
      <c r="D1526" s="1">
        <f>IFERROR(VLOOKUP(1242,'PEDIDO 19'!$C$2:$E$230,3,0),0)</f>
        <v>0</v>
      </c>
      <c r="E1526" s="1">
        <f>IFERROR(VLOOKUP(1243,'PEDIDO 19'!$C$2:$E$230,3,0),0)</f>
        <v>0</v>
      </c>
      <c r="F1526" s="1">
        <f>IFERROR(VLOOKUP(1244,'PEDIDO 19'!$C$2:$E$230,3,0),0)</f>
        <v>0</v>
      </c>
      <c r="G1526" s="18">
        <f t="shared" si="37"/>
        <v>0</v>
      </c>
    </row>
    <row r="1527" spans="1:7" ht="15.75" x14ac:dyDescent="0.25">
      <c r="A1527" s="15" t="str">
        <f>'PEDIDO 19'!$B$2</f>
        <v>Santa Cruz Do Rio Pardo-Santa Cruz Moveis Ltda</v>
      </c>
      <c r="B1527" s="12" t="s">
        <v>466</v>
      </c>
      <c r="C1527" s="1">
        <f>IFERROR(VLOOKUP(1245,'PEDIDO 19'!$C$2:$E$230,3,0),0)</f>
        <v>0</v>
      </c>
      <c r="D1527" s="1">
        <f>IFERROR(VLOOKUP(1246,'PEDIDO 19'!$C$2:$E$230,3,0),0)</f>
        <v>0</v>
      </c>
      <c r="E1527" s="1">
        <f>IFERROR(VLOOKUP(1247,'PEDIDO 19'!$C$2:$E$230,3,0),0)</f>
        <v>0</v>
      </c>
      <c r="F1527" s="1">
        <f>IFERROR(VLOOKUP(1248,'PEDIDO 19'!$C$2:$E$230,3,0),0)</f>
        <v>0</v>
      </c>
      <c r="G1527" s="18">
        <f t="shared" si="37"/>
        <v>0</v>
      </c>
    </row>
    <row r="1528" spans="1:7" ht="15.75" x14ac:dyDescent="0.25">
      <c r="A1528" s="15" t="str">
        <f>'PEDIDO 19'!$B$2</f>
        <v>Santa Cruz Do Rio Pardo-Santa Cruz Moveis Ltda</v>
      </c>
      <c r="B1528" s="12" t="s">
        <v>467</v>
      </c>
      <c r="C1528" s="1">
        <f>IFERROR(VLOOKUP(25714,'PEDIDO 19'!$C$2:$E$230,3,0),0)</f>
        <v>0</v>
      </c>
      <c r="D1528" s="1"/>
      <c r="E1528" s="1"/>
      <c r="F1528" s="1"/>
      <c r="G1528" s="18">
        <f t="shared" si="37"/>
        <v>0</v>
      </c>
    </row>
    <row r="1529" spans="1:7" ht="15.75" x14ac:dyDescent="0.25">
      <c r="A1529" s="15" t="str">
        <f>'PEDIDO 19'!$B$2</f>
        <v>Santa Cruz Do Rio Pardo-Santa Cruz Moveis Ltda</v>
      </c>
      <c r="B1529" s="12" t="s">
        <v>468</v>
      </c>
      <c r="C1529" s="1">
        <f>IFERROR(VLOOKUP(25712,'PEDIDO 19'!$C$2:$E$230,3,0),0)</f>
        <v>0</v>
      </c>
      <c r="D1529" s="1"/>
      <c r="E1529" s="1"/>
      <c r="F1529" s="1"/>
      <c r="G1529" s="18">
        <f t="shared" si="37"/>
        <v>0</v>
      </c>
    </row>
    <row r="1530" spans="1:7" ht="15.75" x14ac:dyDescent="0.25">
      <c r="A1530" s="15" t="str">
        <f>'PEDIDO 19'!$B$2</f>
        <v>Santa Cruz Do Rio Pardo-Santa Cruz Moveis Ltda</v>
      </c>
      <c r="B1530" s="12" t="s">
        <v>469</v>
      </c>
      <c r="C1530" s="1">
        <f>IFERROR(VLOOKUP(25713,'PEDIDO 19'!$C$2:$E$230,3,0),0)</f>
        <v>0</v>
      </c>
      <c r="D1530" s="1"/>
      <c r="E1530" s="1"/>
      <c r="F1530" s="1"/>
      <c r="G1530" s="18">
        <f t="shared" si="37"/>
        <v>0</v>
      </c>
    </row>
    <row r="1531" spans="1:7" ht="15.75" x14ac:dyDescent="0.25">
      <c r="A1531" s="15" t="str">
        <f>'PEDIDO 19'!$B$2</f>
        <v>Santa Cruz Do Rio Pardo-Santa Cruz Moveis Ltda</v>
      </c>
      <c r="B1531" s="12" t="s">
        <v>470</v>
      </c>
      <c r="C1531" s="1">
        <f>IFERROR(VLOOKUP(1260,'PEDIDO 19'!$C$2:$E$230,3,0),0)</f>
        <v>0</v>
      </c>
      <c r="D1531" s="1"/>
      <c r="E1531" s="1"/>
      <c r="F1531" s="1"/>
      <c r="G1531" s="18">
        <f t="shared" si="37"/>
        <v>0</v>
      </c>
    </row>
    <row r="1532" spans="1:7" ht="15.75" x14ac:dyDescent="0.25">
      <c r="A1532" s="15" t="str">
        <f>'PEDIDO 19'!$B$2</f>
        <v>Santa Cruz Do Rio Pardo-Santa Cruz Moveis Ltda</v>
      </c>
      <c r="B1532" s="12" t="s">
        <v>471</v>
      </c>
      <c r="C1532" s="1">
        <f>IFERROR(VLOOKUP(1261,'PEDIDO 19'!$C$2:$E$230,3,0),0)</f>
        <v>0</v>
      </c>
      <c r="D1532" s="1"/>
      <c r="E1532" s="1"/>
      <c r="F1532" s="1"/>
      <c r="G1532" s="18">
        <f t="shared" si="37"/>
        <v>0</v>
      </c>
    </row>
    <row r="1533" spans="1:7" ht="15.75" x14ac:dyDescent="0.25">
      <c r="A1533" s="15" t="str">
        <f>'PEDIDO 19'!$B$2</f>
        <v>Santa Cruz Do Rio Pardo-Santa Cruz Moveis Ltda</v>
      </c>
      <c r="B1533" s="12" t="s">
        <v>472</v>
      </c>
      <c r="C1533" s="1">
        <f>IFERROR(VLOOKUP(1262,'PEDIDO 19'!$C$2:$E$230,3,0),0)</f>
        <v>0</v>
      </c>
      <c r="D1533" s="1"/>
      <c r="E1533" s="1"/>
      <c r="F1533" s="1"/>
      <c r="G1533" s="18">
        <f t="shared" si="37"/>
        <v>0</v>
      </c>
    </row>
    <row r="1534" spans="1:7" ht="15.75" x14ac:dyDescent="0.25">
      <c r="A1534" s="15" t="str">
        <f>'PEDIDO 19'!$B$2</f>
        <v>Santa Cruz Do Rio Pardo-Santa Cruz Moveis Ltda</v>
      </c>
      <c r="B1534" s="12" t="s">
        <v>473</v>
      </c>
      <c r="C1534" s="1">
        <f>IFERROR(VLOOKUP(1263,'PEDIDO 19'!$C$2:$E$230,3,0),0)</f>
        <v>0</v>
      </c>
      <c r="D1534" s="1"/>
      <c r="E1534" s="1"/>
      <c r="F1534" s="1"/>
      <c r="G1534" s="18">
        <f t="shared" si="37"/>
        <v>0</v>
      </c>
    </row>
    <row r="1535" spans="1:7" ht="15.75" x14ac:dyDescent="0.25">
      <c r="A1535" s="15" t="str">
        <f>'PEDIDO 19'!$B$2</f>
        <v>Santa Cruz Do Rio Pardo-Santa Cruz Moveis Ltda</v>
      </c>
      <c r="B1535" s="12" t="s">
        <v>474</v>
      </c>
      <c r="C1535" s="1">
        <f>IFERROR(VLOOKUP(1264,'PEDIDO 19'!$C$2:$E$230,3,0),0)</f>
        <v>0</v>
      </c>
      <c r="D1535" s="1"/>
      <c r="E1535" s="1"/>
      <c r="F1535" s="1"/>
      <c r="G1535" s="18">
        <f t="shared" si="37"/>
        <v>0</v>
      </c>
    </row>
    <row r="1536" spans="1:7" ht="15.75" x14ac:dyDescent="0.25">
      <c r="A1536" s="15" t="str">
        <f>'PEDIDO 19'!$B$2</f>
        <v>Santa Cruz Do Rio Pardo-Santa Cruz Moveis Ltda</v>
      </c>
      <c r="B1536" s="12" t="s">
        <v>475</v>
      </c>
      <c r="C1536" s="1">
        <f>IFERROR(VLOOKUP(1265,'PEDIDO 19'!$C$2:$E$230,3,0),0)</f>
        <v>0</v>
      </c>
      <c r="D1536" s="1"/>
      <c r="E1536" s="1"/>
      <c r="F1536" s="1"/>
      <c r="G1536" s="18">
        <f t="shared" si="37"/>
        <v>0</v>
      </c>
    </row>
    <row r="1537" spans="1:7" ht="15.75" x14ac:dyDescent="0.25">
      <c r="A1537" s="15" t="str">
        <f>'PEDIDO 19'!$B$2</f>
        <v>Santa Cruz Do Rio Pardo-Santa Cruz Moveis Ltda</v>
      </c>
      <c r="B1537" s="12" t="s">
        <v>476</v>
      </c>
      <c r="C1537" s="1">
        <f>IFERROR(VLOOKUP(1266,'PEDIDO 19'!$C$2:$E$230,3,0),0)</f>
        <v>0</v>
      </c>
      <c r="D1537" s="1"/>
      <c r="E1537" s="1"/>
      <c r="F1537" s="1"/>
      <c r="G1537" s="18">
        <f t="shared" si="37"/>
        <v>0</v>
      </c>
    </row>
    <row r="1538" spans="1:7" ht="15.75" x14ac:dyDescent="0.25">
      <c r="A1538" s="15" t="str">
        <f>'PEDIDO 19'!$B$2</f>
        <v>Santa Cruz Do Rio Pardo-Santa Cruz Moveis Ltda</v>
      </c>
      <c r="B1538" s="12" t="s">
        <v>477</v>
      </c>
      <c r="C1538" s="1">
        <f>IFERROR(VLOOKUP(1268,'PEDIDO 19'!$C$2:$E$230,3,0),0)</f>
        <v>0</v>
      </c>
      <c r="D1538" s="1">
        <f>IFERROR(VLOOKUP(1269,'PEDIDO 19'!$C$2:$E$230,3,0),0)</f>
        <v>0</v>
      </c>
      <c r="E1538" s="1">
        <f>IFERROR(VLOOKUP(1270,'PEDIDO 19'!$C$2:$E$230,3,0),0)</f>
        <v>0</v>
      </c>
      <c r="F1538" s="1">
        <f>IFERROR(VLOOKUP(1271,'PEDIDO 19'!$C$2:$E$230,3,0),0)</f>
        <v>0</v>
      </c>
      <c r="G1538" s="18">
        <f t="shared" si="37"/>
        <v>0</v>
      </c>
    </row>
    <row r="1539" spans="1:7" x14ac:dyDescent="0.25">
      <c r="A1539" s="17"/>
      <c r="B1539" s="13"/>
      <c r="C1539" s="13"/>
      <c r="D1539" s="13"/>
      <c r="E1539" s="13"/>
      <c r="F1539" s="13"/>
      <c r="G1539" s="13"/>
    </row>
    <row r="1540" spans="1:7" x14ac:dyDescent="0.25">
      <c r="A1540" s="17"/>
      <c r="B1540" s="13"/>
      <c r="C1540" s="13"/>
      <c r="D1540" s="13"/>
      <c r="E1540" s="13"/>
      <c r="F1540" s="13"/>
      <c r="G1540" s="13"/>
    </row>
    <row r="1541" spans="1:7" ht="15.75" x14ac:dyDescent="0.25">
      <c r="A1541" s="15" t="str">
        <f>'PEDIDO 20'!$B$2</f>
        <v>Santa Cruz Do Rio Pardo-L D Comercio Moveis E Elet</v>
      </c>
      <c r="B1541" s="12" t="s">
        <v>399</v>
      </c>
      <c r="C1541" s="1">
        <f>IFERROR(VLOOKUP(1,'PEDIDO 20'!$C$2:$E$230,3,0),0)</f>
        <v>0</v>
      </c>
      <c r="D1541" s="1">
        <f>IFERROR(VLOOKUP(2,'PEDIDO 20'!$C$2:$E$230,3,0),0)</f>
        <v>0</v>
      </c>
      <c r="E1541" s="1">
        <f>IFERROR(VLOOKUP(3,'PEDIDO 20'!$C$2:$E$230,3,0),0)</f>
        <v>0</v>
      </c>
      <c r="F1541" s="1">
        <f>IFERROR(VLOOKUP(282,'PEDIDO 20'!$C$2:$E$230,3,0),0)</f>
        <v>4</v>
      </c>
      <c r="G1541" s="18">
        <f>SUM(C1541+D1541+E1541+F1541)</f>
        <v>4</v>
      </c>
    </row>
    <row r="1542" spans="1:7" ht="15.75" x14ac:dyDescent="0.25">
      <c r="A1542" s="15" t="str">
        <f>'PEDIDO 20'!$B$2</f>
        <v>Santa Cruz Do Rio Pardo-L D Comercio Moveis E Elet</v>
      </c>
      <c r="B1542" s="12" t="s">
        <v>400</v>
      </c>
      <c r="C1542" s="1">
        <f>IFERROR(VLOOKUP(5,'PEDIDO 20'!$C$2:$E$230,3,0),0)</f>
        <v>0</v>
      </c>
      <c r="D1542" s="1">
        <f>IFERROR(VLOOKUP(6,'PEDIDO 20'!$C$2:$E$230,3,0),0)</f>
        <v>0</v>
      </c>
      <c r="E1542" s="1">
        <f>IFERROR(VLOOKUP(7,'PEDIDO 20'!$C$2:$E$230,3,0),0)</f>
        <v>0</v>
      </c>
      <c r="F1542" s="1">
        <f>IFERROR(VLOOKUP(258,'PEDIDO 20'!$C$2:$E$230,3,0),0)</f>
        <v>0</v>
      </c>
      <c r="G1542" s="18">
        <f t="shared" ref="G1542:G1605" si="38">SUM(C1542+D1542+E1542+F1542)</f>
        <v>0</v>
      </c>
    </row>
    <row r="1543" spans="1:7" ht="15.75" x14ac:dyDescent="0.25">
      <c r="A1543" s="15" t="str">
        <f>'PEDIDO 20'!$B$2</f>
        <v>Santa Cruz Do Rio Pardo-L D Comercio Moveis E Elet</v>
      </c>
      <c r="B1543" s="12" t="s">
        <v>401</v>
      </c>
      <c r="C1543" s="1">
        <f>IFERROR(VLOOKUP(13,'PEDIDO 20'!$C$2:$E$230,3,0),0)</f>
        <v>0</v>
      </c>
      <c r="D1543" s="1">
        <f>IFERROR(VLOOKUP(14,'PEDIDO 20'!$C$2:$E$230,3,0),0)</f>
        <v>0</v>
      </c>
      <c r="E1543" s="1">
        <f>IFERROR(VLOOKUP(15,'PEDIDO 20'!$C$2:$E$230,3,0),0)</f>
        <v>0</v>
      </c>
      <c r="F1543" s="1">
        <f>IFERROR(VLOOKUP(289,'PEDIDO 20'!$C$2:$E$230,3,0),0)</f>
        <v>0</v>
      </c>
      <c r="G1543" s="18">
        <f t="shared" si="38"/>
        <v>0</v>
      </c>
    </row>
    <row r="1544" spans="1:7" ht="15.75" x14ac:dyDescent="0.25">
      <c r="A1544" s="15" t="str">
        <f>'PEDIDO 20'!$B$2</f>
        <v>Santa Cruz Do Rio Pardo-L D Comercio Moveis E Elet</v>
      </c>
      <c r="B1544" s="12" t="s">
        <v>402</v>
      </c>
      <c r="C1544" s="1">
        <f>IFERROR(VLOOKUP(267,'PEDIDO 20'!$C$2:$E$230,3,0),0)</f>
        <v>0</v>
      </c>
      <c r="D1544" s="1">
        <f>IFERROR(VLOOKUP(268,'PEDIDO 20'!$C$2:$E$230,3,0),0)</f>
        <v>0</v>
      </c>
      <c r="E1544" s="1">
        <f>IFERROR(VLOOKUP(270,'PEDIDO 20'!$C$2:$E$230,3,0),0)</f>
        <v>0</v>
      </c>
      <c r="F1544" s="1">
        <f>IFERROR(VLOOKUP(269,'PEDIDO 20'!$C$2:$E$230,3,0),0)</f>
        <v>0</v>
      </c>
      <c r="G1544" s="18">
        <f t="shared" si="38"/>
        <v>0</v>
      </c>
    </row>
    <row r="1545" spans="1:7" ht="15.75" x14ac:dyDescent="0.25">
      <c r="A1545" s="15" t="str">
        <f>'PEDIDO 20'!$B$2</f>
        <v>Santa Cruz Do Rio Pardo-L D Comercio Moveis E Elet</v>
      </c>
      <c r="B1545" s="12" t="s">
        <v>403</v>
      </c>
      <c r="C1545" s="1">
        <f>IFERROR(VLOOKUP(17,'PEDIDO 20'!$C$2:$E$230,3,0),0)</f>
        <v>0</v>
      </c>
      <c r="D1545" s="1">
        <f>IFERROR(VLOOKUP(18,'PEDIDO 20'!$C$2:$E$230,3,0),0)</f>
        <v>0</v>
      </c>
      <c r="E1545" s="1">
        <f>IFERROR(VLOOKUP(19,'PEDIDO 20'!$C$2:$E$230,3,0),0)</f>
        <v>0</v>
      </c>
      <c r="F1545" s="1">
        <f>IFERROR(VLOOKUP(290,'PEDIDO 20'!$C$2:$E$230,3,0),0)</f>
        <v>0</v>
      </c>
      <c r="G1545" s="18">
        <f t="shared" si="38"/>
        <v>0</v>
      </c>
    </row>
    <row r="1546" spans="1:7" ht="15.75" x14ac:dyDescent="0.25">
      <c r="A1546" s="15" t="str">
        <f>'PEDIDO 20'!$B$2</f>
        <v>Santa Cruz Do Rio Pardo-L D Comercio Moveis E Elet</v>
      </c>
      <c r="B1546" s="12" t="s">
        <v>404</v>
      </c>
      <c r="C1546" s="1">
        <f>IFERROR(VLOOKUP(23,'PEDIDO 20'!$C$2:$E$230,3,0),0)</f>
        <v>0</v>
      </c>
      <c r="D1546" s="1">
        <f>IFERROR(VLOOKUP(24,'PEDIDO 20'!$C$2:$E$230,3,0),0)</f>
        <v>0</v>
      </c>
      <c r="E1546" s="1">
        <f>IFERROR(VLOOKUP(25,'PEDIDO 20'!$C$2:$E$230,3,0),0)</f>
        <v>0</v>
      </c>
      <c r="F1546" s="1">
        <f>IFERROR(VLOOKUP(291,'PEDIDO 20'!$C$2:$E$230,3,0),0)</f>
        <v>0</v>
      </c>
      <c r="G1546" s="18">
        <f t="shared" si="38"/>
        <v>0</v>
      </c>
    </row>
    <row r="1547" spans="1:7" ht="15.75" x14ac:dyDescent="0.25">
      <c r="A1547" s="15" t="str">
        <f>'PEDIDO 20'!$B$2</f>
        <v>Santa Cruz Do Rio Pardo-L D Comercio Moveis E Elet</v>
      </c>
      <c r="B1547" s="12" t="s">
        <v>405</v>
      </c>
      <c r="C1547" s="1">
        <f>IFERROR(VLOOKUP(27,'PEDIDO 20'!$C$2:$E$230,3,0),0)</f>
        <v>0</v>
      </c>
      <c r="D1547" s="1">
        <f>IFERROR(VLOOKUP(28,'PEDIDO 20'!$C$2:$E$230,3,0),0)</f>
        <v>0</v>
      </c>
      <c r="E1547" s="1">
        <f>IFERROR(VLOOKUP(29,'PEDIDO 20'!$C$2:$E$230,3,0),0)</f>
        <v>0</v>
      </c>
      <c r="F1547" s="1">
        <f>IFERROR(VLOOKUP(292,'PEDIDO 20'!$C$2:$E$230,3,0),0)</f>
        <v>0</v>
      </c>
      <c r="G1547" s="18">
        <f t="shared" si="38"/>
        <v>0</v>
      </c>
    </row>
    <row r="1548" spans="1:7" ht="15.75" x14ac:dyDescent="0.25">
      <c r="A1548" s="15" t="str">
        <f>'PEDIDO 20'!$B$2</f>
        <v>Santa Cruz Do Rio Pardo-L D Comercio Moveis E Elet</v>
      </c>
      <c r="B1548" s="12" t="s">
        <v>406</v>
      </c>
      <c r="C1548" s="1">
        <f>IFERROR(VLOOKUP(227,'PEDIDO 20'!$C$2:$E$230,3,0),0)</f>
        <v>0</v>
      </c>
      <c r="D1548" s="1">
        <f>IFERROR(VLOOKUP(228,'PEDIDO 20'!$C$2:$E$230,3,0),0)</f>
        <v>0</v>
      </c>
      <c r="E1548" s="1">
        <f>IFERROR(VLOOKUP(229,'PEDIDO 20'!$C$2:$E$230,3,0),0)</f>
        <v>0</v>
      </c>
      <c r="F1548" s="1">
        <f>IFERROR(VLOOKUP(230,'PEDIDO 20'!$C$2:$E$230,3,0),0)</f>
        <v>0</v>
      </c>
      <c r="G1548" s="18">
        <f t="shared" si="38"/>
        <v>0</v>
      </c>
    </row>
    <row r="1549" spans="1:7" ht="15.75" x14ac:dyDescent="0.25">
      <c r="A1549" s="15" t="str">
        <f>'PEDIDO 20'!$B$2</f>
        <v>Santa Cruz Do Rio Pardo-L D Comercio Moveis E Elet</v>
      </c>
      <c r="B1549" s="12" t="s">
        <v>407</v>
      </c>
      <c r="C1549" s="1">
        <f>IFERROR(VLOOKUP(231,'PEDIDO 20'!$C$2:$E$230,3,0),0)</f>
        <v>0</v>
      </c>
      <c r="D1549" s="1">
        <f>IFERROR(VLOOKUP(232,'PEDIDO 20'!$C$2:$E$230,3,0),0)</f>
        <v>0</v>
      </c>
      <c r="E1549" s="1">
        <f>IFERROR(VLOOKUP(234,'PEDIDO 20'!$C$2:$E$230,3,0),0)</f>
        <v>0</v>
      </c>
      <c r="F1549" s="1">
        <f>IFERROR(VLOOKUP(233,'PEDIDO 20'!$C$2:$E$230,3,0),0)</f>
        <v>3</v>
      </c>
      <c r="G1549" s="18">
        <f t="shared" si="38"/>
        <v>3</v>
      </c>
    </row>
    <row r="1550" spans="1:7" ht="15.75" x14ac:dyDescent="0.25">
      <c r="A1550" s="15" t="str">
        <f>'PEDIDO 20'!$B$2</f>
        <v>Santa Cruz Do Rio Pardo-L D Comercio Moveis E Elet</v>
      </c>
      <c r="B1550" s="12" t="s">
        <v>408</v>
      </c>
      <c r="C1550" s="1">
        <f>IFERROR(VLOOKUP(237,'PEDIDO 20'!$C$2:$E$230,3,0),0)</f>
        <v>0</v>
      </c>
      <c r="D1550" s="1">
        <f>IFERROR(VLOOKUP(238,'PEDIDO 20'!$C$2:$E$230,3,0),0)</f>
        <v>0</v>
      </c>
      <c r="E1550" s="1">
        <f>IFERROR(VLOOKUP(240,'PEDIDO 20'!$C$2:$E$230,3,0),0)</f>
        <v>0</v>
      </c>
      <c r="F1550" s="1">
        <f>IFERROR(VLOOKUP(239,'PEDIDO 20'!$C$2:$E$230,3,0),0)</f>
        <v>2</v>
      </c>
      <c r="G1550" s="18">
        <f t="shared" si="38"/>
        <v>2</v>
      </c>
    </row>
    <row r="1551" spans="1:7" ht="15.75" x14ac:dyDescent="0.25">
      <c r="A1551" s="15" t="str">
        <f>'PEDIDO 20'!$B$2</f>
        <v>Santa Cruz Do Rio Pardo-L D Comercio Moveis E Elet</v>
      </c>
      <c r="B1551" s="12" t="s">
        <v>409</v>
      </c>
      <c r="C1551" s="1">
        <f>IFERROR(VLOOKUP(25707,'PEDIDO 20'!$C$2:$E$230,3,0),0)</f>
        <v>0</v>
      </c>
      <c r="D1551" s="1">
        <f>IFERROR(VLOOKUP(25708,'PEDIDO 20'!$C$2:$E$230,3,0),0)</f>
        <v>0</v>
      </c>
      <c r="E1551" s="1">
        <f>IFERROR(VLOOKUP(25710,'PEDIDO 20'!$C$2:$E$230,3,0),0)</f>
        <v>0</v>
      </c>
      <c r="F1551" s="1">
        <f>IFERROR(VLOOKUP(25709,'PEDIDO 20'!$C$2:$E$230,3,0),0)</f>
        <v>0</v>
      </c>
      <c r="G1551" s="18">
        <f t="shared" si="38"/>
        <v>0</v>
      </c>
    </row>
    <row r="1552" spans="1:7" ht="15.75" x14ac:dyDescent="0.25">
      <c r="A1552" s="15" t="str">
        <f>'PEDIDO 20'!$B$2</f>
        <v>Santa Cruz Do Rio Pardo-L D Comercio Moveis E Elet</v>
      </c>
      <c r="B1552" s="12" t="s">
        <v>410</v>
      </c>
      <c r="C1552" s="1">
        <f>IFERROR(VLOOKUP(25711,'PEDIDO 20'!$C$2:$E$230,3,0),0)</f>
        <v>0</v>
      </c>
      <c r="D1552" s="1"/>
      <c r="E1552" s="1"/>
      <c r="F1552" s="1"/>
      <c r="G1552" s="18">
        <f t="shared" si="38"/>
        <v>0</v>
      </c>
    </row>
    <row r="1553" spans="1:7" ht="15.75" x14ac:dyDescent="0.25">
      <c r="A1553" s="15" t="str">
        <f>'PEDIDO 20'!$B$2</f>
        <v>Santa Cruz Do Rio Pardo-L D Comercio Moveis E Elet</v>
      </c>
      <c r="B1553" s="12" t="s">
        <v>411</v>
      </c>
      <c r="C1553" s="1">
        <f>IFERROR(VLOOKUP(35,'PEDIDO 20'!$C$2:$E$230,3,0),0)</f>
        <v>1</v>
      </c>
      <c r="D1553" s="1">
        <f>IFERROR(VLOOKUP(36,'PEDIDO 20'!$C$2:$E$230,3,0),0)</f>
        <v>0</v>
      </c>
      <c r="E1553" s="1">
        <f>IFERROR(VLOOKUP(37,'PEDIDO 20'!$C$2:$E$230,3,0),0)</f>
        <v>0</v>
      </c>
      <c r="F1553" s="1">
        <f>IFERROR(VLOOKUP(294,'PEDIDO 20'!$C$2:$E$230,3,0),0)</f>
        <v>1</v>
      </c>
      <c r="G1553" s="18">
        <f t="shared" si="38"/>
        <v>2</v>
      </c>
    </row>
    <row r="1554" spans="1:7" ht="15.75" x14ac:dyDescent="0.25">
      <c r="A1554" s="15" t="str">
        <f>'PEDIDO 20'!$B$2</f>
        <v>Santa Cruz Do Rio Pardo-L D Comercio Moveis E Elet</v>
      </c>
      <c r="B1554" s="12" t="s">
        <v>412</v>
      </c>
      <c r="C1554" s="1">
        <f>IFERROR(VLOOKUP(39,'PEDIDO 20'!$C$2:$E$230,3,0),0)</f>
        <v>0</v>
      </c>
      <c r="D1554" s="1">
        <f>IFERROR(VLOOKUP(40,'PEDIDO 20'!$C$2:$E$230,3,0),0)</f>
        <v>0</v>
      </c>
      <c r="E1554" s="1">
        <f>IFERROR(VLOOKUP(42,'PEDIDO 20'!$C$2:$E$230,3,0),0)</f>
        <v>0</v>
      </c>
      <c r="F1554" s="1">
        <f>IFERROR(VLOOKUP(295,'PEDIDO 20'!$C$2:$E$230,3,0),0)</f>
        <v>0</v>
      </c>
      <c r="G1554" s="18">
        <f t="shared" si="38"/>
        <v>0</v>
      </c>
    </row>
    <row r="1555" spans="1:7" ht="15.75" x14ac:dyDescent="0.25">
      <c r="A1555" s="15" t="str">
        <f>'PEDIDO 20'!$B$2</f>
        <v>Santa Cruz Do Rio Pardo-L D Comercio Moveis E Elet</v>
      </c>
      <c r="B1555" s="12" t="s">
        <v>413</v>
      </c>
      <c r="C1555" s="1">
        <f>IFERROR(VLOOKUP(44,'PEDIDO 20'!$C$2:$E$230,3,0),0)</f>
        <v>0</v>
      </c>
      <c r="D1555" s="1">
        <f>IFERROR(VLOOKUP(45,'PEDIDO 20'!$C$2:$E$230,3,0),0)</f>
        <v>0</v>
      </c>
      <c r="E1555" s="1">
        <f>IFERROR(VLOOKUP(46,'PEDIDO 20'!$C$2:$E$230,3,0),0)</f>
        <v>0</v>
      </c>
      <c r="F1555" s="1">
        <f>IFERROR(VLOOKUP(283,'PEDIDO 20'!$C$2:$E$230,3,0),0)</f>
        <v>1</v>
      </c>
      <c r="G1555" s="18">
        <f t="shared" si="38"/>
        <v>1</v>
      </c>
    </row>
    <row r="1556" spans="1:7" ht="15.75" x14ac:dyDescent="0.25">
      <c r="A1556" s="15" t="str">
        <f>'PEDIDO 20'!$B$2</f>
        <v>Santa Cruz Do Rio Pardo-L D Comercio Moveis E Elet</v>
      </c>
      <c r="B1556" s="12" t="s">
        <v>414</v>
      </c>
      <c r="C1556" s="1">
        <f>IFERROR(VLOOKUP(48,'PEDIDO 20'!$C$2:$E$230,3,0),0)</f>
        <v>0</v>
      </c>
      <c r="D1556" s="1">
        <f>IFERROR(VLOOKUP(49,'PEDIDO 20'!$C$2:$E$230,3,0),0)</f>
        <v>0</v>
      </c>
      <c r="E1556" s="1">
        <f>IFERROR(VLOOKUP(50,'PEDIDO 20'!$C$2:$E$230,3,0),0)</f>
        <v>0</v>
      </c>
      <c r="F1556" s="1">
        <f>IFERROR(VLOOKUP(298,'PEDIDO 20'!$C$2:$E$230,3,0),0)</f>
        <v>0</v>
      </c>
      <c r="G1556" s="18">
        <f t="shared" si="38"/>
        <v>0</v>
      </c>
    </row>
    <row r="1557" spans="1:7" ht="15.75" x14ac:dyDescent="0.25">
      <c r="A1557" s="15" t="str">
        <f>'PEDIDO 20'!$B$2</f>
        <v>Santa Cruz Do Rio Pardo-L D Comercio Moveis E Elet</v>
      </c>
      <c r="B1557" s="12" t="s">
        <v>415</v>
      </c>
      <c r="C1557" s="1">
        <f>IFERROR(VLOOKUP(52,'PEDIDO 20'!$C$2:$E$230,3,0),0)</f>
        <v>0</v>
      </c>
      <c r="D1557" s="1">
        <f>IFERROR(VLOOKUP(53,'PEDIDO 20'!$C$2:$E$230,3,0),0)</f>
        <v>0</v>
      </c>
      <c r="E1557" s="1">
        <f>IFERROR(VLOOKUP(54,'PEDIDO 20'!$C$2:$E$230,3,0),0)</f>
        <v>0</v>
      </c>
      <c r="F1557" s="1">
        <f>IFERROR(VLOOKUP(299,'PEDIDO 20'!$C$2:$E$230,3,0),0)</f>
        <v>0</v>
      </c>
      <c r="G1557" s="18">
        <f t="shared" si="38"/>
        <v>0</v>
      </c>
    </row>
    <row r="1558" spans="1:7" ht="15.75" x14ac:dyDescent="0.25">
      <c r="A1558" s="15" t="str">
        <f>'PEDIDO 20'!$B$2</f>
        <v>Santa Cruz Do Rio Pardo-L D Comercio Moveis E Elet</v>
      </c>
      <c r="B1558" s="12" t="s">
        <v>416</v>
      </c>
      <c r="C1558" s="1">
        <f>IFERROR(VLOOKUP(56,'PEDIDO 20'!$C$2:$E$230,3,0),0)</f>
        <v>0</v>
      </c>
      <c r="D1558" s="1">
        <f>IFERROR(VLOOKUP(61,'PEDIDO 20'!$C$2:$E$230,3,0),0)</f>
        <v>0</v>
      </c>
      <c r="E1558" s="1">
        <f>IFERROR(VLOOKUP(58,'PEDIDO 20'!$C$2:$E$230,3,0),0)</f>
        <v>0</v>
      </c>
      <c r="F1558" s="1">
        <f>IFERROR(VLOOKUP(300,'PEDIDO 20'!$C$2:$E$230,3,0),0)</f>
        <v>0</v>
      </c>
      <c r="G1558" s="18">
        <f t="shared" si="38"/>
        <v>0</v>
      </c>
    </row>
    <row r="1559" spans="1:7" ht="15.75" x14ac:dyDescent="0.25">
      <c r="A1559" s="15" t="str">
        <f>'PEDIDO 20'!$B$2</f>
        <v>Santa Cruz Do Rio Pardo-L D Comercio Moveis E Elet</v>
      </c>
      <c r="B1559" s="12" t="s">
        <v>417</v>
      </c>
      <c r="C1559" s="1">
        <f>IFERROR(VLOOKUP(60,'PEDIDO 20'!$C$2:$E$230,3,0),0)</f>
        <v>0</v>
      </c>
      <c r="D1559" s="1">
        <f>IFERROR(VLOOKUP(120,'PEDIDO 20'!$C$2:$E$230,3,0),0)</f>
        <v>0</v>
      </c>
      <c r="E1559" s="1">
        <f>IFERROR(VLOOKUP(62,'PEDIDO 20'!$C$2:$E$230,3,0),0)</f>
        <v>0</v>
      </c>
      <c r="F1559" s="1">
        <f>IFERROR(VLOOKUP(301,'PEDIDO 20'!$C$2:$E$230,3,0),0)</f>
        <v>0</v>
      </c>
      <c r="G1559" s="18">
        <f t="shared" si="38"/>
        <v>0</v>
      </c>
    </row>
    <row r="1560" spans="1:7" ht="15.75" x14ac:dyDescent="0.25">
      <c r="A1560" s="15" t="str">
        <f>'PEDIDO 20'!$B$2</f>
        <v>Santa Cruz Do Rio Pardo-L D Comercio Moveis E Elet</v>
      </c>
      <c r="B1560" s="12" t="s">
        <v>426</v>
      </c>
      <c r="C1560" s="1">
        <f>IFERROR(VLOOKUP(112,'PEDIDO 20'!$C$2:$E$230,3,0),0)</f>
        <v>0</v>
      </c>
      <c r="D1560" s="1">
        <f>IFERROR(VLOOKUP(113,'PEDIDO 20'!$C$2:$E$230,3,0),0)</f>
        <v>0</v>
      </c>
      <c r="E1560" s="1">
        <f>IFERROR(VLOOKUP(114,'PEDIDO 20'!$C$2:$E$230,3,0),0)</f>
        <v>0</v>
      </c>
      <c r="F1560" s="1">
        <f>IFERROR(VLOOKUP(296,'PEDIDO 20'!$C$2:$E$230,3,0),0)</f>
        <v>0</v>
      </c>
      <c r="G1560" s="18">
        <f t="shared" si="38"/>
        <v>0</v>
      </c>
    </row>
    <row r="1561" spans="1:7" ht="15.75" x14ac:dyDescent="0.25">
      <c r="A1561" s="15" t="str">
        <f>'PEDIDO 20'!$B$2</f>
        <v>Santa Cruz Do Rio Pardo-L D Comercio Moveis E Elet</v>
      </c>
      <c r="B1561" s="12" t="s">
        <v>427</v>
      </c>
      <c r="C1561" s="1">
        <f>IFERROR(VLOOKUP(116,'PEDIDO 20'!$C$2:$E$230,3,0),0)</f>
        <v>0</v>
      </c>
      <c r="D1561" s="1">
        <f>IFERROR(VLOOKUP(117,'PEDIDO 20'!$C$2:$E$230,3,0),0)</f>
        <v>0</v>
      </c>
      <c r="E1561" s="1">
        <f>IFERROR(VLOOKUP(118,'PEDIDO 20'!$C$2:$E$230,3,0),0)</f>
        <v>0</v>
      </c>
      <c r="F1561" s="1">
        <f>IFERROR(VLOOKUP(293,'PEDIDO 20'!$C$2:$E$230,3,0),0)</f>
        <v>0</v>
      </c>
      <c r="G1561" s="18">
        <f t="shared" si="38"/>
        <v>0</v>
      </c>
    </row>
    <row r="1562" spans="1:7" ht="15.75" x14ac:dyDescent="0.25">
      <c r="A1562" s="15" t="str">
        <f>'PEDIDO 20'!$B$2</f>
        <v>Santa Cruz Do Rio Pardo-L D Comercio Moveis E Elet</v>
      </c>
      <c r="B1562" s="12" t="s">
        <v>418</v>
      </c>
      <c r="C1562" s="1">
        <f>IFERROR(VLOOKUP(963,'PEDIDO 20'!$C$2:$E$230,3,0),0)</f>
        <v>1</v>
      </c>
      <c r="D1562" s="1">
        <f>IFERROR(VLOOKUP(965,'PEDIDO 20'!$C$2:$E$230,3,0),0)</f>
        <v>0</v>
      </c>
      <c r="E1562" s="1">
        <f>IFERROR(VLOOKUP(966,'PEDIDO 20'!$C$2:$E$230,3,0),0)</f>
        <v>1</v>
      </c>
      <c r="F1562" s="1">
        <f>IFERROR(VLOOKUP(964,'PEDIDO 20'!$C$2:$E$230,3,0),0)</f>
        <v>2</v>
      </c>
      <c r="G1562" s="18">
        <f t="shared" si="38"/>
        <v>4</v>
      </c>
    </row>
    <row r="1563" spans="1:7" ht="15.75" x14ac:dyDescent="0.25">
      <c r="A1563" s="15" t="str">
        <f>'PEDIDO 20'!$B$2</f>
        <v>Santa Cruz Do Rio Pardo-L D Comercio Moveis E Elet</v>
      </c>
      <c r="B1563" s="12" t="s">
        <v>419</v>
      </c>
      <c r="C1563" s="1">
        <f>IFERROR(VLOOKUP(2042,'PEDIDO 20'!$C$2:$E$230,3,0),0)</f>
        <v>0</v>
      </c>
      <c r="D1563" s="1">
        <f>IFERROR(VLOOKUP(2041,'PEDIDO 20'!$C$2:$E$230,3,0),0)</f>
        <v>0</v>
      </c>
      <c r="E1563" s="1">
        <f>IFERROR(VLOOKUP(2043,'PEDIDO 20'!$C$2:$E$230,3,0),0)</f>
        <v>0</v>
      </c>
      <c r="F1563" s="1">
        <f>IFERROR(VLOOKUP(2040,'PEDIDO 20'!$C$2:$E$230,3,0),0)</f>
        <v>0</v>
      </c>
      <c r="G1563" s="18">
        <f t="shared" si="38"/>
        <v>0</v>
      </c>
    </row>
    <row r="1564" spans="1:7" ht="15.75" x14ac:dyDescent="0.25">
      <c r="A1564" s="15" t="str">
        <f>'PEDIDO 20'!$B$2</f>
        <v>Santa Cruz Do Rio Pardo-L D Comercio Moveis E Elet</v>
      </c>
      <c r="B1564" s="12" t="s">
        <v>420</v>
      </c>
      <c r="C1564" s="1">
        <f>IFERROR(VLOOKUP(2045,'PEDIDO 20'!$C$2:$E$230,3,0),0)</f>
        <v>0</v>
      </c>
      <c r="D1564" s="1">
        <f>IFERROR(VLOOKUP(2046,'PEDIDO 20'!$C$2:$E$230,3,0),0)</f>
        <v>0</v>
      </c>
      <c r="E1564" s="1">
        <f>IFERROR(VLOOKUP(2047,'PEDIDO 20'!$C$2:$E$230,3,0),0)</f>
        <v>0</v>
      </c>
      <c r="F1564" s="1">
        <f>IFERROR(VLOOKUP(2048,'PEDIDO 20'!$C$2:$E$230,3,0),0)</f>
        <v>0</v>
      </c>
      <c r="G1564" s="18">
        <f t="shared" si="38"/>
        <v>0</v>
      </c>
    </row>
    <row r="1565" spans="1:7" ht="15.75" x14ac:dyDescent="0.25">
      <c r="A1565" s="15" t="str">
        <f>'PEDIDO 20'!$B$2</f>
        <v>Santa Cruz Do Rio Pardo-L D Comercio Moveis E Elet</v>
      </c>
      <c r="B1565" s="12" t="s">
        <v>421</v>
      </c>
      <c r="C1565" s="1">
        <f>IFERROR(VLOOKUP(2050,'PEDIDO 20'!$C$2:$E$230,3,0),0)</f>
        <v>0</v>
      </c>
      <c r="D1565" s="1">
        <f>IFERROR(VLOOKUP(2051,'PEDIDO 20'!$C$2:$E$230,3,0),0)</f>
        <v>0</v>
      </c>
      <c r="E1565" s="1">
        <f>IFERROR(VLOOKUP(2052,'PEDIDO 20'!$C$2:$E$230,3,0),0)</f>
        <v>0</v>
      </c>
      <c r="F1565" s="1">
        <f>IFERROR(VLOOKUP(2053,'PEDIDO 20'!$C$2:$E$230,3,0),0)</f>
        <v>0</v>
      </c>
      <c r="G1565" s="18">
        <f t="shared" si="38"/>
        <v>0</v>
      </c>
    </row>
    <row r="1566" spans="1:7" ht="15.75" x14ac:dyDescent="0.25">
      <c r="A1566" s="15" t="str">
        <f>'PEDIDO 20'!$B$2</f>
        <v>Santa Cruz Do Rio Pardo-L D Comercio Moveis E Elet</v>
      </c>
      <c r="B1566" s="12" t="s">
        <v>422</v>
      </c>
      <c r="C1566" s="1">
        <f>IFERROR(VLOOKUP(216,'PEDIDO 20'!$C$2:$E$230,3,0),0)</f>
        <v>0</v>
      </c>
      <c r="D1566" s="1">
        <f>IFERROR(VLOOKUP(217,'PEDIDO 20'!$C$2:$E$230,3,0),0)</f>
        <v>0</v>
      </c>
      <c r="E1566" s="1">
        <f>IFERROR(VLOOKUP(218,'PEDIDO 20'!$C$2:$E$230,3,0),0)</f>
        <v>0</v>
      </c>
      <c r="F1566" s="1">
        <f>IFERROR(VLOOKUP(305,'PEDIDO 20'!$C$2:$E$230,3,0),0)</f>
        <v>0</v>
      </c>
      <c r="G1566" s="18">
        <f t="shared" si="38"/>
        <v>0</v>
      </c>
    </row>
    <row r="1567" spans="1:7" ht="15.75" x14ac:dyDescent="0.25">
      <c r="A1567" s="15" t="str">
        <f>'PEDIDO 20'!$B$2</f>
        <v>Santa Cruz Do Rio Pardo-L D Comercio Moveis E Elet</v>
      </c>
      <c r="B1567" s="12" t="s">
        <v>423</v>
      </c>
      <c r="C1567" s="1">
        <f>IFERROR(VLOOKUP(100,'PEDIDO 20'!$C$2:$E$230,3,0),0)</f>
        <v>0</v>
      </c>
      <c r="D1567" s="1">
        <f>IFERROR(VLOOKUP(101,'PEDIDO 20'!$C$2:$E$230,3,0),0)</f>
        <v>0</v>
      </c>
      <c r="E1567" s="1">
        <f>IFERROR(VLOOKUP(102,'PEDIDO 20'!$C$2:$E$230,3,0),0)</f>
        <v>0</v>
      </c>
      <c r="F1567" s="1">
        <f>IFERROR(VLOOKUP(306,'PEDIDO 20'!$C$2:$E$230,3,0),0)</f>
        <v>0</v>
      </c>
      <c r="G1567" s="18">
        <f t="shared" si="38"/>
        <v>0</v>
      </c>
    </row>
    <row r="1568" spans="1:7" ht="15.75" x14ac:dyDescent="0.25">
      <c r="A1568" s="15" t="str">
        <f>'PEDIDO 20'!$B$2</f>
        <v>Santa Cruz Do Rio Pardo-L D Comercio Moveis E Elet</v>
      </c>
      <c r="B1568" s="12" t="s">
        <v>424</v>
      </c>
      <c r="C1568" s="1">
        <f>IFERROR(VLOOKUP(104,'PEDIDO 20'!$C$2:$E$230,3,0),0)</f>
        <v>0</v>
      </c>
      <c r="D1568" s="1">
        <f>IFERROR(VLOOKUP(105,'PEDIDO 20'!$C$2:$E$230,3,0),0)</f>
        <v>0</v>
      </c>
      <c r="E1568" s="1">
        <f>IFERROR(VLOOKUP(106,'PEDIDO 20'!$C$2:$E$230,3,0),0)</f>
        <v>0</v>
      </c>
      <c r="F1568" s="1">
        <f>IFERROR(VLOOKUP(307,'PEDIDO 20'!$C$2:$E$230,3,0),0)</f>
        <v>0</v>
      </c>
      <c r="G1568" s="18">
        <f t="shared" si="38"/>
        <v>0</v>
      </c>
    </row>
    <row r="1569" spans="1:7" ht="15.75" x14ac:dyDescent="0.25">
      <c r="A1569" s="15" t="str">
        <f>'PEDIDO 20'!$B$2</f>
        <v>Santa Cruz Do Rio Pardo-L D Comercio Moveis E Elet</v>
      </c>
      <c r="B1569" s="12" t="s">
        <v>425</v>
      </c>
      <c r="C1569" s="1">
        <f>IFERROR(VLOOKUP(400,'PEDIDO 20'!$C$2:$E$230,3,0),0)</f>
        <v>0</v>
      </c>
      <c r="D1569" s="1">
        <f>IFERROR(VLOOKUP(401,'PEDIDO 20'!$C$2:$E$230,3,0),0)</f>
        <v>0</v>
      </c>
      <c r="E1569" s="1">
        <f>IFERROR(VLOOKUP(402,'PEDIDO 20'!$C$2:$E$230,3,0),0)</f>
        <v>0</v>
      </c>
      <c r="F1569" s="1">
        <f>IFERROR(VLOOKUP(403,'PEDIDO 20'!$C$2:$E$230,3,0),0)</f>
        <v>0</v>
      </c>
      <c r="G1569" s="18">
        <f t="shared" si="38"/>
        <v>0</v>
      </c>
    </row>
    <row r="1570" spans="1:7" ht="15.75" x14ac:dyDescent="0.25">
      <c r="A1570" s="15" t="str">
        <f>'PEDIDO 20'!$B$2</f>
        <v>Santa Cruz Do Rio Pardo-L D Comercio Moveis E Elet</v>
      </c>
      <c r="B1570" s="12" t="s">
        <v>428</v>
      </c>
      <c r="C1570" s="1">
        <f>IFERROR(VLOOKUP(22,'PEDIDO 20'!$C$2:$E$230,3,0),0)</f>
        <v>0</v>
      </c>
      <c r="D1570" s="1"/>
      <c r="E1570" s="1"/>
      <c r="F1570" s="1"/>
      <c r="G1570" s="18">
        <f t="shared" si="38"/>
        <v>0</v>
      </c>
    </row>
    <row r="1571" spans="1:7" ht="15.75" x14ac:dyDescent="0.25">
      <c r="A1571" s="15" t="str">
        <f>'PEDIDO 20'!$B$2</f>
        <v>Santa Cruz Do Rio Pardo-L D Comercio Moveis E Elet</v>
      </c>
      <c r="B1571" s="12" t="s">
        <v>429</v>
      </c>
      <c r="C1571" s="1">
        <f>IFERROR(VLOOKUP(21,'PEDIDO 20'!$C$2:$E$230,3,0),0)</f>
        <v>0</v>
      </c>
      <c r="D1571" s="1"/>
      <c r="E1571" s="1"/>
      <c r="F1571" s="1"/>
      <c r="G1571" s="18">
        <f t="shared" si="38"/>
        <v>0</v>
      </c>
    </row>
    <row r="1572" spans="1:7" ht="15.75" x14ac:dyDescent="0.25">
      <c r="A1572" s="15" t="str">
        <f>'PEDIDO 20'!$B$2</f>
        <v>Santa Cruz Do Rio Pardo-L D Comercio Moveis E Elet</v>
      </c>
      <c r="B1572" s="12" t="s">
        <v>430</v>
      </c>
      <c r="C1572" s="1">
        <f>IFERROR(VLOOKUP(1125,'PEDIDO 20'!$C$2:$E$230,3,0),0)</f>
        <v>0</v>
      </c>
      <c r="D1572" s="1">
        <f>IFERROR(VLOOKUP(1126,'PEDIDO 20'!$C$2:$E$230,3,0),0)</f>
        <v>0</v>
      </c>
      <c r="E1572" s="1">
        <f>IFERROR(VLOOKUP(1127,'PEDIDO 20'!$C$2:$E$230,3,0),0)</f>
        <v>0</v>
      </c>
      <c r="F1572" s="1">
        <f>IFERROR(VLOOKUP(1128,'PEDIDO 20'!$C$2:$E$230,3,0),0)</f>
        <v>0</v>
      </c>
      <c r="G1572" s="18">
        <f t="shared" si="38"/>
        <v>0</v>
      </c>
    </row>
    <row r="1573" spans="1:7" ht="15.75" x14ac:dyDescent="0.25">
      <c r="A1573" s="15" t="str">
        <f>'PEDIDO 20'!$B$2</f>
        <v>Santa Cruz Do Rio Pardo-L D Comercio Moveis E Elet</v>
      </c>
      <c r="B1573" s="12" t="s">
        <v>431</v>
      </c>
      <c r="C1573" s="1">
        <f>IFERROR(VLOOKUP(1133,'PEDIDO 20'!$C$2:$E$230,3,0),0)</f>
        <v>0</v>
      </c>
      <c r="D1573" s="1">
        <f>IFERROR(VLOOKUP(1134,'PEDIDO 20'!$C$2:$E$230,3,0),0)</f>
        <v>0</v>
      </c>
      <c r="E1573" s="1">
        <f>IFERROR(VLOOKUP(1135,'PEDIDO 20'!$C$2:$E$230,3,0),0)</f>
        <v>0</v>
      </c>
      <c r="F1573" s="1">
        <f>IFERROR(VLOOKUP(1136,'PEDIDO 20'!$C$2:$E$230,3,0),0)</f>
        <v>0</v>
      </c>
      <c r="G1573" s="18">
        <f t="shared" si="38"/>
        <v>0</v>
      </c>
    </row>
    <row r="1574" spans="1:7" ht="15.75" x14ac:dyDescent="0.25">
      <c r="A1574" s="15" t="str">
        <f>'PEDIDO 20'!$B$2</f>
        <v>Santa Cruz Do Rio Pardo-L D Comercio Moveis E Elet</v>
      </c>
      <c r="B1574" s="12" t="s">
        <v>432</v>
      </c>
      <c r="C1574" s="1">
        <f>IFERROR(VLOOKUP(1105,'PEDIDO 20'!$C$2:$E$230,3,0),0)</f>
        <v>0</v>
      </c>
      <c r="D1574" s="1">
        <f>IFERROR(VLOOKUP(1106,'PEDIDO 20'!$C$2:$E$230,3,0),0)</f>
        <v>0</v>
      </c>
      <c r="E1574" s="1">
        <f>IFERROR(VLOOKUP(1107,'PEDIDO 20'!$C$2:$E$230,3,0),0)</f>
        <v>0</v>
      </c>
      <c r="F1574" s="1">
        <f>IFERROR(VLOOKUP(1108,'PEDIDO 20'!$C$2:$E$230,3,0),0)</f>
        <v>0</v>
      </c>
      <c r="G1574" s="18">
        <f t="shared" si="38"/>
        <v>0</v>
      </c>
    </row>
    <row r="1575" spans="1:7" ht="15.75" x14ac:dyDescent="0.25">
      <c r="A1575" s="15" t="str">
        <f>'PEDIDO 20'!$B$2</f>
        <v>Santa Cruz Do Rio Pardo-L D Comercio Moveis E Elet</v>
      </c>
      <c r="B1575" s="12" t="s">
        <v>433</v>
      </c>
      <c r="C1575" s="1">
        <f>IFERROR(VLOOKUP(1109,'PEDIDO 20'!$C$2:$E$230,3,0),0)</f>
        <v>0</v>
      </c>
      <c r="D1575" s="1">
        <f>IFERROR(VLOOKUP(1110,'PEDIDO 20'!$C$2:$E$230,3,0),0)</f>
        <v>0</v>
      </c>
      <c r="E1575" s="1">
        <f>IFERROR(VLOOKUP(1111,'PEDIDO 20'!$C$2:$E$230,3,0),0)</f>
        <v>0</v>
      </c>
      <c r="F1575" s="1">
        <f>IFERROR(VLOOKUP(1112,'PEDIDO 20'!$C$2:$E$230,3,0),0)</f>
        <v>0</v>
      </c>
      <c r="G1575" s="18">
        <f t="shared" si="38"/>
        <v>0</v>
      </c>
    </row>
    <row r="1576" spans="1:7" ht="15.75" x14ac:dyDescent="0.25">
      <c r="A1576" s="15" t="str">
        <f>'PEDIDO 20'!$B$2</f>
        <v>Santa Cruz Do Rio Pardo-L D Comercio Moveis E Elet</v>
      </c>
      <c r="B1576" s="12" t="s">
        <v>434</v>
      </c>
      <c r="C1576" s="1">
        <f>IFERROR(VLOOKUP(1113,'PEDIDO 20'!$C$2:$E$230,3,0),0)</f>
        <v>0</v>
      </c>
      <c r="D1576" s="1">
        <f>IFERROR(VLOOKUP(1114,'PEDIDO 20'!$C$2:$E$230,3,0),0)</f>
        <v>0</v>
      </c>
      <c r="E1576" s="1">
        <f>IFERROR(VLOOKUP(1115,'PEDIDO 20'!$C$2:$E$230,3,0),0)</f>
        <v>0</v>
      </c>
      <c r="F1576" s="1">
        <f>IFERROR(VLOOKUP(1116,'PEDIDO 20'!$C$2:$E$230,3,0),0)</f>
        <v>0</v>
      </c>
      <c r="G1576" s="18">
        <f t="shared" si="38"/>
        <v>0</v>
      </c>
    </row>
    <row r="1577" spans="1:7" ht="15.75" x14ac:dyDescent="0.25">
      <c r="A1577" s="15" t="str">
        <f>'PEDIDO 20'!$B$2</f>
        <v>Santa Cruz Do Rio Pardo-L D Comercio Moveis E Elet</v>
      </c>
      <c r="B1577" s="12" t="s">
        <v>435</v>
      </c>
      <c r="C1577" s="1">
        <f>IFERROR(VLOOKUP(1117,'PEDIDO 20'!$C$2:$E$230,3,0),0)</f>
        <v>0</v>
      </c>
      <c r="D1577" s="1">
        <f>IFERROR(VLOOKUP(1118,'PEDIDO 20'!$C$2:$E$230,3,0),0)</f>
        <v>0</v>
      </c>
      <c r="E1577" s="1">
        <f>IFERROR(VLOOKUP(1119,'PEDIDO 20'!$C$2:$E$230,3,0),0)</f>
        <v>0</v>
      </c>
      <c r="F1577" s="1">
        <f>IFERROR(VLOOKUP(1120,'PEDIDO 20'!$C$2:$E$230,3,0),0)</f>
        <v>0</v>
      </c>
      <c r="G1577" s="18">
        <f t="shared" si="38"/>
        <v>0</v>
      </c>
    </row>
    <row r="1578" spans="1:7" ht="15.75" x14ac:dyDescent="0.25">
      <c r="A1578" s="15" t="str">
        <f>'PEDIDO 20'!$B$2</f>
        <v>Santa Cruz Do Rio Pardo-L D Comercio Moveis E Elet</v>
      </c>
      <c r="B1578" s="12" t="s">
        <v>436</v>
      </c>
      <c r="C1578" s="1">
        <f>IFERROR(VLOOKUP(1121,'PEDIDO 20'!$C$2:$E$230,3,0),0)</f>
        <v>0</v>
      </c>
      <c r="D1578" s="1">
        <f>IFERROR(VLOOKUP(1122,'PEDIDO 20'!$C$2:$E$230,3,0),0)</f>
        <v>0</v>
      </c>
      <c r="E1578" s="1">
        <f>IFERROR(VLOOKUP(1123,'PEDIDO 20'!$C$2:$E$230,3,0),0)</f>
        <v>0</v>
      </c>
      <c r="F1578" s="1">
        <f>IFERROR(VLOOKUP(1124,'PEDIDO 20'!$C$2:$E$230,3,0),0)</f>
        <v>0</v>
      </c>
      <c r="G1578" s="18">
        <f t="shared" si="38"/>
        <v>0</v>
      </c>
    </row>
    <row r="1579" spans="1:7" ht="15.75" x14ac:dyDescent="0.25">
      <c r="A1579" s="15" t="str">
        <f>'PEDIDO 20'!$B$2</f>
        <v>Santa Cruz Do Rio Pardo-L D Comercio Moveis E Elet</v>
      </c>
      <c r="B1579" s="12" t="s">
        <v>437</v>
      </c>
      <c r="C1579" s="1">
        <f>IFERROR(VLOOKUP(1129,'PEDIDO 20'!$C$2:$E$230,3,0),0)</f>
        <v>0</v>
      </c>
      <c r="D1579" s="1">
        <f>IFERROR(VLOOKUP(1130,'PEDIDO 20'!$C$2:$E$230,3,0),0)</f>
        <v>0</v>
      </c>
      <c r="E1579" s="1">
        <f>IFERROR(VLOOKUP(1131,'PEDIDO 20'!$C$2:$E$230,3,0),0)</f>
        <v>0</v>
      </c>
      <c r="F1579" s="1">
        <f>IFERROR(VLOOKUP(1132,'PEDIDO 20'!$C$2:$E$230,3,0),0)</f>
        <v>0</v>
      </c>
      <c r="G1579" s="18">
        <f t="shared" si="38"/>
        <v>0</v>
      </c>
    </row>
    <row r="1580" spans="1:7" ht="15.75" x14ac:dyDescent="0.25">
      <c r="A1580" s="15" t="str">
        <f>'PEDIDO 20'!$B$2</f>
        <v>Santa Cruz Do Rio Pardo-L D Comercio Moveis E Elet</v>
      </c>
      <c r="B1580" s="12" t="s">
        <v>438</v>
      </c>
      <c r="C1580" s="1">
        <f>IFERROR(VLOOKUP(1137,'PEDIDO 20'!$C$2:$E$230,3,0),0)</f>
        <v>0</v>
      </c>
      <c r="D1580" s="1">
        <f>IFERROR(VLOOKUP(1138,'PEDIDO 20'!$C$2:$E$230,3,0),0)</f>
        <v>0</v>
      </c>
      <c r="E1580" s="1">
        <f>IFERROR(VLOOKUP(1139,'PEDIDO 20'!$C$2:$E$230,3,0),0)</f>
        <v>0</v>
      </c>
      <c r="F1580" s="1">
        <f>IFERROR(VLOOKUP(1140,'PEDIDO 20'!$C$2:$E$230,3,0),0)</f>
        <v>0</v>
      </c>
      <c r="G1580" s="18">
        <f t="shared" si="38"/>
        <v>0</v>
      </c>
    </row>
    <row r="1581" spans="1:7" ht="15.75" x14ac:dyDescent="0.25">
      <c r="A1581" s="15" t="str">
        <f>'PEDIDO 20'!$B$2</f>
        <v>Santa Cruz Do Rio Pardo-L D Comercio Moveis E Elet</v>
      </c>
      <c r="B1581" s="12" t="s">
        <v>439</v>
      </c>
      <c r="C1581" s="1">
        <f>IFERROR(VLOOKUP(1141,'PEDIDO 20'!$C$2:$E$230,3,0),0)</f>
        <v>0</v>
      </c>
      <c r="D1581" s="1">
        <f>IFERROR(VLOOKUP(1142,'PEDIDO 20'!$C$2:$E$230,3,0),0)</f>
        <v>0</v>
      </c>
      <c r="E1581" s="1">
        <f>IFERROR(VLOOKUP(1143,'PEDIDO 20'!$C$2:$E$230,3,0),0)</f>
        <v>0</v>
      </c>
      <c r="F1581" s="1">
        <f>IFERROR(VLOOKUP(1144,'PEDIDO 20'!$C$2:$E$230,3,0),0)</f>
        <v>0</v>
      </c>
      <c r="G1581" s="18">
        <f t="shared" si="38"/>
        <v>0</v>
      </c>
    </row>
    <row r="1582" spans="1:7" ht="15.75" x14ac:dyDescent="0.25">
      <c r="A1582" s="15" t="str">
        <f>'PEDIDO 20'!$B$2</f>
        <v>Santa Cruz Do Rio Pardo-L D Comercio Moveis E Elet</v>
      </c>
      <c r="B1582" s="12" t="s">
        <v>440</v>
      </c>
      <c r="C1582" s="1">
        <f>IFERROR(VLOOKUP(1145,'PEDIDO 20'!$C$2:$E$230,3,0),0)</f>
        <v>0</v>
      </c>
      <c r="D1582" s="1">
        <f>IFERROR(VLOOKUP(1146,'PEDIDO 20'!$C$2:$E$230,3,0),0)</f>
        <v>0</v>
      </c>
      <c r="E1582" s="1">
        <f>IFERROR(VLOOKUP(1147,'PEDIDO 20'!$C$2:$E$230,3,0),0)</f>
        <v>0</v>
      </c>
      <c r="F1582" s="1">
        <f>IFERROR(VLOOKUP(1148,'PEDIDO 20'!$C$2:$E$230,3,0),0)</f>
        <v>0</v>
      </c>
      <c r="G1582" s="18">
        <f t="shared" si="38"/>
        <v>0</v>
      </c>
    </row>
    <row r="1583" spans="1:7" ht="15.75" x14ac:dyDescent="0.25">
      <c r="A1583" s="15" t="str">
        <f>'PEDIDO 20'!$B$2</f>
        <v>Santa Cruz Do Rio Pardo-L D Comercio Moveis E Elet</v>
      </c>
      <c r="B1583" s="12" t="s">
        <v>441</v>
      </c>
      <c r="C1583" s="1">
        <f>IFERROR(VLOOKUP(1149,'PEDIDO 20'!$C$2:$E$230,3,0),0)</f>
        <v>0</v>
      </c>
      <c r="D1583" s="1">
        <f>IFERROR(VLOOKUP(1150,'PEDIDO 20'!$C$2:$E$230,3,0),0)</f>
        <v>0</v>
      </c>
      <c r="E1583" s="1">
        <f>IFERROR(VLOOKUP(1151,'PEDIDO 20'!$C$2:$E$230,3,0),0)</f>
        <v>0</v>
      </c>
      <c r="F1583" s="1">
        <f>IFERROR(VLOOKUP(1152,'PEDIDO 20'!$C$2:$E$230,3,0),0)</f>
        <v>0</v>
      </c>
      <c r="G1583" s="18">
        <f t="shared" si="38"/>
        <v>0</v>
      </c>
    </row>
    <row r="1584" spans="1:7" ht="15.75" x14ac:dyDescent="0.25">
      <c r="A1584" s="15" t="str">
        <f>'PEDIDO 20'!$B$2</f>
        <v>Santa Cruz Do Rio Pardo-L D Comercio Moveis E Elet</v>
      </c>
      <c r="B1584" s="12" t="s">
        <v>442</v>
      </c>
      <c r="C1584" s="1">
        <f>IFERROR(VLOOKUP(1153,'PEDIDO 20'!$C$2:$E$230,3,0),0)</f>
        <v>0</v>
      </c>
      <c r="D1584" s="1">
        <f>IFERROR(VLOOKUP(1154,'PEDIDO 20'!$C$2:$E$230,3,0),0)</f>
        <v>0</v>
      </c>
      <c r="E1584" s="1">
        <f>IFERROR(VLOOKUP(1155,'PEDIDO 20'!$C$2:$E$230,3,0),0)</f>
        <v>0</v>
      </c>
      <c r="F1584" s="1">
        <f>IFERROR(VLOOKUP(1156,'PEDIDO 20'!$C$2:$E$230,3,0),0)</f>
        <v>0</v>
      </c>
      <c r="G1584" s="18">
        <f t="shared" si="38"/>
        <v>0</v>
      </c>
    </row>
    <row r="1585" spans="1:7" ht="15.75" x14ac:dyDescent="0.25">
      <c r="A1585" s="15" t="str">
        <f>'PEDIDO 20'!$B$2</f>
        <v>Santa Cruz Do Rio Pardo-L D Comercio Moveis E Elet</v>
      </c>
      <c r="B1585" s="12" t="s">
        <v>443</v>
      </c>
      <c r="C1585" s="1">
        <f>IFERROR(VLOOKUP(1157,'PEDIDO 20'!$C$2:$E$230,3,0),0)</f>
        <v>0</v>
      </c>
      <c r="D1585" s="1">
        <f>IFERROR(VLOOKUP(1158,'PEDIDO 20'!$C$2:$E$230,3,0),0)</f>
        <v>0</v>
      </c>
      <c r="E1585" s="1">
        <f>IFERROR(VLOOKUP(1159,'PEDIDO 20'!$C$2:$E$230,3,0),0)</f>
        <v>0</v>
      </c>
      <c r="F1585" s="1">
        <f>IFERROR(VLOOKUP(1160,'PEDIDO 20'!$C$2:$E$230,3,0),0)</f>
        <v>0</v>
      </c>
      <c r="G1585" s="18">
        <f t="shared" si="38"/>
        <v>0</v>
      </c>
    </row>
    <row r="1586" spans="1:7" ht="15.75" x14ac:dyDescent="0.25">
      <c r="A1586" s="15" t="str">
        <f>'PEDIDO 20'!$B$2</f>
        <v>Santa Cruz Do Rio Pardo-L D Comercio Moveis E Elet</v>
      </c>
      <c r="B1586" s="12" t="s">
        <v>444</v>
      </c>
      <c r="C1586" s="1">
        <f>IFERROR(VLOOKUP(1161,'PEDIDO 20'!$C$2:$E$230,3,0),0)</f>
        <v>0</v>
      </c>
      <c r="D1586" s="1">
        <f>IFERROR(VLOOKUP(1162,'PEDIDO 20'!$C$2:$E$230,3,0),0)</f>
        <v>0</v>
      </c>
      <c r="E1586" s="1">
        <f>IFERROR(VLOOKUP(1163,'PEDIDO 20'!$C$2:$E$230,3,0),0)</f>
        <v>0</v>
      </c>
      <c r="F1586" s="1">
        <f>IFERROR(VLOOKUP(1164,'PEDIDO 20'!$C$2:$E$230,3,0),0)</f>
        <v>0</v>
      </c>
      <c r="G1586" s="18">
        <f t="shared" si="38"/>
        <v>0</v>
      </c>
    </row>
    <row r="1587" spans="1:7" ht="15.75" x14ac:dyDescent="0.25">
      <c r="A1587" s="15" t="str">
        <f>'PEDIDO 20'!$B$2</f>
        <v>Santa Cruz Do Rio Pardo-L D Comercio Moveis E Elet</v>
      </c>
      <c r="B1587" s="12" t="s">
        <v>445</v>
      </c>
      <c r="C1587" s="1">
        <f>IFERROR(VLOOKUP(1165,'PEDIDO 20'!$C$2:$E$230,3,0),0)</f>
        <v>0</v>
      </c>
      <c r="D1587" s="1">
        <f>IFERROR(VLOOKUP(1166,'PEDIDO 20'!$C$2:$E$230,3,0),0)</f>
        <v>0</v>
      </c>
      <c r="E1587" s="1">
        <f>IFERROR(VLOOKUP(1167,'PEDIDO 20'!$C$2:$E$230,3,0),0)</f>
        <v>0</v>
      </c>
      <c r="F1587" s="1">
        <f>IFERROR(VLOOKUP(1168,'PEDIDO 20'!$C$2:$E$230,3,0),0)</f>
        <v>0</v>
      </c>
      <c r="G1587" s="18">
        <f t="shared" si="38"/>
        <v>0</v>
      </c>
    </row>
    <row r="1588" spans="1:7" ht="15.75" x14ac:dyDescent="0.25">
      <c r="A1588" s="15" t="str">
        <f>'PEDIDO 20'!$B$2</f>
        <v>Santa Cruz Do Rio Pardo-L D Comercio Moveis E Elet</v>
      </c>
      <c r="B1588" s="12" t="s">
        <v>446</v>
      </c>
      <c r="C1588" s="1">
        <f>IFERROR(VLOOKUP(1169,'PEDIDO 20'!$C$2:$E$230,3,0),0)</f>
        <v>0</v>
      </c>
      <c r="D1588" s="1">
        <f>IFERROR(VLOOKUP(1170,'PEDIDO 20'!$C$2:$E$230,3,0),0)</f>
        <v>0</v>
      </c>
      <c r="E1588" s="1">
        <f>IFERROR(VLOOKUP(1171,'PEDIDO 20'!$C$2:$E$230,3,0),0)</f>
        <v>0</v>
      </c>
      <c r="F1588" s="1">
        <f>IFERROR(VLOOKUP(1172,'PEDIDO 20'!$C$2:$E$230,3,0),0)</f>
        <v>0</v>
      </c>
      <c r="G1588" s="18">
        <f t="shared" si="38"/>
        <v>0</v>
      </c>
    </row>
    <row r="1589" spans="1:7" ht="15.75" x14ac:dyDescent="0.25">
      <c r="A1589" s="15" t="str">
        <f>'PEDIDO 20'!$B$2</f>
        <v>Santa Cruz Do Rio Pardo-L D Comercio Moveis E Elet</v>
      </c>
      <c r="B1589" s="12" t="s">
        <v>447</v>
      </c>
      <c r="C1589" s="1">
        <f>IFERROR(VLOOKUP(1173,'PEDIDO 20'!$C$2:$E$230,3,0),0)</f>
        <v>0</v>
      </c>
      <c r="D1589" s="1">
        <f>IFERROR(VLOOKUP(1174,'PEDIDO 20'!$C$2:$E$230,3,0),0)</f>
        <v>0</v>
      </c>
      <c r="E1589" s="1">
        <f>IFERROR(VLOOKUP(1175,'PEDIDO 20'!$C$2:$E$230,3,0),0)</f>
        <v>0</v>
      </c>
      <c r="F1589" s="1">
        <f>IFERROR(VLOOKUP(1176,'PEDIDO 20'!$C$2:$E$230,3,0),0)</f>
        <v>0</v>
      </c>
      <c r="G1589" s="18">
        <f t="shared" si="38"/>
        <v>0</v>
      </c>
    </row>
    <row r="1590" spans="1:7" ht="15.75" x14ac:dyDescent="0.25">
      <c r="A1590" s="15" t="str">
        <f>'PEDIDO 20'!$B$2</f>
        <v>Santa Cruz Do Rio Pardo-L D Comercio Moveis E Elet</v>
      </c>
      <c r="B1590" s="12" t="s">
        <v>448</v>
      </c>
      <c r="C1590" s="1">
        <f>IFERROR(VLOOKUP(1249,'PEDIDO 20'!$C$2:$E$230,3,0),0)</f>
        <v>0</v>
      </c>
      <c r="D1590" s="1">
        <f>IFERROR(VLOOKUP(1250,'PEDIDO 20'!$C$2:$E$230,3,0),0)</f>
        <v>0</v>
      </c>
      <c r="E1590" s="1">
        <f>IFERROR(VLOOKUP(1251,'PEDIDO 20'!$C$2:$E$230,3,0),0)</f>
        <v>0</v>
      </c>
      <c r="F1590" s="1">
        <f>IFERROR(VLOOKUP(1252,'PEDIDO 20'!$C$2:$E$230,3,0),0)</f>
        <v>0</v>
      </c>
      <c r="G1590" s="18">
        <f t="shared" si="38"/>
        <v>0</v>
      </c>
    </row>
    <row r="1591" spans="1:7" ht="15.75" x14ac:dyDescent="0.25">
      <c r="A1591" s="15" t="str">
        <f>'PEDIDO 20'!$B$2</f>
        <v>Santa Cruz Do Rio Pardo-L D Comercio Moveis E Elet</v>
      </c>
      <c r="B1591" s="12" t="s">
        <v>449</v>
      </c>
      <c r="C1591" s="1">
        <f>IFERROR(VLOOKUP(1177,'PEDIDO 20'!$C$2:$E$230,3,0),0)</f>
        <v>0</v>
      </c>
      <c r="D1591" s="1">
        <f>IFERROR(VLOOKUP(1178,'PEDIDO 20'!$C$2:$E$230,3,0),0)</f>
        <v>0</v>
      </c>
      <c r="E1591" s="1">
        <f>IFERROR(VLOOKUP(1179,'PEDIDO 20'!$C$2:$E$230,3,0),0)</f>
        <v>0</v>
      </c>
      <c r="F1591" s="1">
        <f>IFERROR(VLOOKUP(1180,'PEDIDO 20'!$C$2:$E$230,3,0),0)</f>
        <v>0</v>
      </c>
      <c r="G1591" s="18">
        <f t="shared" si="38"/>
        <v>0</v>
      </c>
    </row>
    <row r="1592" spans="1:7" ht="15.75" x14ac:dyDescent="0.25">
      <c r="A1592" s="15" t="str">
        <f>'PEDIDO 20'!$B$2</f>
        <v>Santa Cruz Do Rio Pardo-L D Comercio Moveis E Elet</v>
      </c>
      <c r="B1592" s="12" t="s">
        <v>450</v>
      </c>
      <c r="C1592" s="1">
        <f>IFERROR(VLOOKUP(1181,'PEDIDO 20'!$C$2:$E$230,3,0),0)</f>
        <v>0</v>
      </c>
      <c r="D1592" s="1">
        <f>IFERROR(VLOOKUP(1182,'PEDIDO 20'!$C$2:$E$230,3,0),0)</f>
        <v>0</v>
      </c>
      <c r="E1592" s="1">
        <f>IFERROR(VLOOKUP(1183,'PEDIDO 20'!$C$2:$E$230,3,0),0)</f>
        <v>0</v>
      </c>
      <c r="F1592" s="1">
        <f>IFERROR(VLOOKUP(1184,'PEDIDO 20'!$C$2:$E$230,3,0),0)</f>
        <v>0</v>
      </c>
      <c r="G1592" s="18">
        <f t="shared" si="38"/>
        <v>0</v>
      </c>
    </row>
    <row r="1593" spans="1:7" ht="15.75" x14ac:dyDescent="0.25">
      <c r="A1593" s="15" t="str">
        <f>'PEDIDO 20'!$B$2</f>
        <v>Santa Cruz Do Rio Pardo-L D Comercio Moveis E Elet</v>
      </c>
      <c r="B1593" s="12" t="s">
        <v>451</v>
      </c>
      <c r="C1593" s="1">
        <f>IFERROR(VLOOKUP(1185,'PEDIDO 20'!$C$2:$E$230,3,0),0)</f>
        <v>0</v>
      </c>
      <c r="D1593" s="1">
        <f>IFERROR(VLOOKUP(1186,'PEDIDO 20'!$C$2:$E$230,3,0),0)</f>
        <v>0</v>
      </c>
      <c r="E1593" s="1">
        <f>IFERROR(VLOOKUP(1187,'PEDIDO 20'!$C$2:$E$230,3,0),0)</f>
        <v>0</v>
      </c>
      <c r="F1593" s="1">
        <f>IFERROR(VLOOKUP(1188,'PEDIDO 20'!$C$2:$E$230,3,0),0)</f>
        <v>0</v>
      </c>
      <c r="G1593" s="18">
        <f t="shared" si="38"/>
        <v>0</v>
      </c>
    </row>
    <row r="1594" spans="1:7" ht="15.75" x14ac:dyDescent="0.25">
      <c r="A1594" s="15" t="str">
        <f>'PEDIDO 20'!$B$2</f>
        <v>Santa Cruz Do Rio Pardo-L D Comercio Moveis E Elet</v>
      </c>
      <c r="B1594" s="12" t="s">
        <v>452</v>
      </c>
      <c r="C1594" s="1">
        <f>IFERROR(VLOOKUP(1189,'PEDIDO 20'!$C$2:$E$230,3,0),0)</f>
        <v>0</v>
      </c>
      <c r="D1594" s="1">
        <f>IFERROR(VLOOKUP(1190,'PEDIDO 20'!$C$2:$E$230,3,0),0)</f>
        <v>0</v>
      </c>
      <c r="E1594" s="1">
        <f>IFERROR(VLOOKUP(1191,'PEDIDO 20'!$C$2:$E$230,3,0),0)</f>
        <v>0</v>
      </c>
      <c r="F1594" s="1">
        <f>IFERROR(VLOOKUP(1192,'PEDIDO 20'!$C$2:$E$230,3,0),0)</f>
        <v>0</v>
      </c>
      <c r="G1594" s="18">
        <f t="shared" si="38"/>
        <v>0</v>
      </c>
    </row>
    <row r="1595" spans="1:7" ht="15.75" x14ac:dyDescent="0.25">
      <c r="A1595" s="15" t="str">
        <f>'PEDIDO 20'!$B$2</f>
        <v>Santa Cruz Do Rio Pardo-L D Comercio Moveis E Elet</v>
      </c>
      <c r="B1595" s="12" t="s">
        <v>453</v>
      </c>
      <c r="C1595" s="1">
        <f>IFERROR(VLOOKUP(1193,'PEDIDO 20'!$C$2:$E$230,3,0),0)</f>
        <v>0</v>
      </c>
      <c r="D1595" s="1">
        <f>IFERROR(VLOOKUP(1194,'PEDIDO 20'!$C$2:$E$230,3,0),0)</f>
        <v>0</v>
      </c>
      <c r="E1595" s="1">
        <f>IFERROR(VLOOKUP(1195,'PEDIDO 20'!$C$2:$E$230,3,0),0)</f>
        <v>0</v>
      </c>
      <c r="F1595" s="1">
        <f>IFERROR(VLOOKUP(1196,'PEDIDO 20'!$C$2:$E$230,3,0),0)</f>
        <v>0</v>
      </c>
      <c r="G1595" s="18">
        <f t="shared" si="38"/>
        <v>0</v>
      </c>
    </row>
    <row r="1596" spans="1:7" ht="15.75" x14ac:dyDescent="0.25">
      <c r="A1596" s="15" t="str">
        <f>'PEDIDO 20'!$B$2</f>
        <v>Santa Cruz Do Rio Pardo-L D Comercio Moveis E Elet</v>
      </c>
      <c r="B1596" s="12" t="s">
        <v>454</v>
      </c>
      <c r="C1596" s="1">
        <f>IFERROR(VLOOKUP(1197,'PEDIDO 20'!$C$2:$E$230,3,0),0)</f>
        <v>0</v>
      </c>
      <c r="D1596" s="1">
        <f>IFERROR(VLOOKUP(1198,'PEDIDO 20'!$C$2:$E$230,3,0),0)</f>
        <v>0</v>
      </c>
      <c r="E1596" s="1">
        <f>IFERROR(VLOOKUP(1199,'PEDIDO 20'!$C$2:$E$230,3,0),0)</f>
        <v>0</v>
      </c>
      <c r="F1596" s="1">
        <f>IFERROR(VLOOKUP(1200,'PEDIDO 20'!$C$2:$E$230,3,0),0)</f>
        <v>0</v>
      </c>
      <c r="G1596" s="18">
        <f t="shared" si="38"/>
        <v>0</v>
      </c>
    </row>
    <row r="1597" spans="1:7" ht="15.75" x14ac:dyDescent="0.25">
      <c r="A1597" s="15" t="str">
        <f>'PEDIDO 20'!$B$2</f>
        <v>Santa Cruz Do Rio Pardo-L D Comercio Moveis E Elet</v>
      </c>
      <c r="B1597" s="12" t="s">
        <v>455</v>
      </c>
      <c r="C1597" s="1">
        <f>IFERROR(VLOOKUP(1201,'PEDIDO 20'!$C$2:$E$230,3,0),0)</f>
        <v>0</v>
      </c>
      <c r="D1597" s="1">
        <f>IFERROR(VLOOKUP(1202,'PEDIDO 20'!$C$2:$E$230,3,0),0)</f>
        <v>0</v>
      </c>
      <c r="E1597" s="1">
        <f>IFERROR(VLOOKUP(1203,'PEDIDO 20'!$C$2:$E$230,3,0),0)</f>
        <v>0</v>
      </c>
      <c r="F1597" s="1">
        <f>IFERROR(VLOOKUP(1204,'PEDIDO 20'!$C$2:$E$230,3,0),0)</f>
        <v>0</v>
      </c>
      <c r="G1597" s="18">
        <f t="shared" si="38"/>
        <v>0</v>
      </c>
    </row>
    <row r="1598" spans="1:7" ht="15.75" x14ac:dyDescent="0.25">
      <c r="A1598" s="15" t="str">
        <f>'PEDIDO 20'!$B$2</f>
        <v>Santa Cruz Do Rio Pardo-L D Comercio Moveis E Elet</v>
      </c>
      <c r="B1598" s="12" t="s">
        <v>456</v>
      </c>
      <c r="C1598" s="1">
        <f>IFERROR(VLOOKUP(1205,'PEDIDO 20'!$C$2:$E$230,3,0),0)</f>
        <v>0</v>
      </c>
      <c r="D1598" s="1">
        <f>IFERROR(VLOOKUP(1206,'PEDIDO 20'!$C$2:$E$230,3,0),0)</f>
        <v>0</v>
      </c>
      <c r="E1598" s="1">
        <f>IFERROR(VLOOKUP(1207,'PEDIDO 20'!$C$2:$E$230,3,0),0)</f>
        <v>0</v>
      </c>
      <c r="F1598" s="1">
        <f>IFERROR(VLOOKUP(1208,'PEDIDO 20'!$C$2:$E$230,3,0),0)</f>
        <v>0</v>
      </c>
      <c r="G1598" s="18">
        <f t="shared" si="38"/>
        <v>0</v>
      </c>
    </row>
    <row r="1599" spans="1:7" ht="15.75" x14ac:dyDescent="0.25">
      <c r="A1599" s="15" t="str">
        <f>'PEDIDO 20'!$B$2</f>
        <v>Santa Cruz Do Rio Pardo-L D Comercio Moveis E Elet</v>
      </c>
      <c r="B1599" s="12" t="s">
        <v>457</v>
      </c>
      <c r="C1599" s="1">
        <f>IFERROR(VLOOKUP(1213,'PEDIDO 20'!$C$2:$E$230,3,0),0)</f>
        <v>0</v>
      </c>
      <c r="D1599" s="1">
        <f>IFERROR(VLOOKUP(1214,'PEDIDO 20'!$C$2:$E$230,3,0),0)</f>
        <v>0</v>
      </c>
      <c r="E1599" s="1">
        <f>IFERROR(VLOOKUP(1215,'PEDIDO 20'!$C$2:$E$230,3,0),0)</f>
        <v>0</v>
      </c>
      <c r="F1599" s="10">
        <f>IFERROR(VLOOKUP(1216,'PEDIDO 20'!$C$2:$E$230,3,0),0)</f>
        <v>0</v>
      </c>
      <c r="G1599" s="18">
        <f t="shared" si="38"/>
        <v>0</v>
      </c>
    </row>
    <row r="1600" spans="1:7" ht="15.75" x14ac:dyDescent="0.25">
      <c r="A1600" s="15" t="str">
        <f>'PEDIDO 20'!$B$2</f>
        <v>Santa Cruz Do Rio Pardo-L D Comercio Moveis E Elet</v>
      </c>
      <c r="B1600" s="12" t="s">
        <v>458</v>
      </c>
      <c r="C1600" s="1">
        <f>IFERROR(VLOOKUP(1209,'PEDIDO 20'!$C$2:$E$230,3,0),0)</f>
        <v>0</v>
      </c>
      <c r="D1600" s="1">
        <f>IFERROR(VLOOKUP(1210,'PEDIDO 20'!$C$2:$E$230,3,0),0)</f>
        <v>0</v>
      </c>
      <c r="E1600" s="1">
        <f>IFERROR(VLOOKUP(1211,'PEDIDO 20'!$C$2:$E$230,3,0),0)</f>
        <v>0</v>
      </c>
      <c r="F1600" s="1">
        <f>IFERROR(VLOOKUP(1212,'PEDIDO 20'!$C$2:$E$230,3,0),0)</f>
        <v>0</v>
      </c>
      <c r="G1600" s="18">
        <f t="shared" si="38"/>
        <v>0</v>
      </c>
    </row>
    <row r="1601" spans="1:7" ht="15.75" x14ac:dyDescent="0.25">
      <c r="A1601" s="15" t="str">
        <f>'PEDIDO 20'!$B$2</f>
        <v>Santa Cruz Do Rio Pardo-L D Comercio Moveis E Elet</v>
      </c>
      <c r="B1601" s="12" t="s">
        <v>459</v>
      </c>
      <c r="C1601" s="1">
        <f>IFERROR(VLOOKUP(1217,'PEDIDO 20'!$C$2:$E$230,3,0),0)</f>
        <v>0</v>
      </c>
      <c r="D1601" s="1">
        <f>IFERROR(VLOOKUP(1218,'PEDIDO 20'!$C$2:$E$230,3,0),0)</f>
        <v>0</v>
      </c>
      <c r="E1601" s="1">
        <f>IFERROR(VLOOKUP(1219,'PEDIDO 20'!$C$2:$E$230,3,0),0)</f>
        <v>0</v>
      </c>
      <c r="F1601" s="1">
        <f>IFERROR(VLOOKUP(1220,'PEDIDO 20'!$C$2:$E$230,3,0),0)</f>
        <v>0</v>
      </c>
      <c r="G1601" s="18">
        <f t="shared" si="38"/>
        <v>0</v>
      </c>
    </row>
    <row r="1602" spans="1:7" ht="15.75" x14ac:dyDescent="0.25">
      <c r="A1602" s="15" t="str">
        <f>'PEDIDO 20'!$B$2</f>
        <v>Santa Cruz Do Rio Pardo-L D Comercio Moveis E Elet</v>
      </c>
      <c r="B1602" s="12" t="s">
        <v>461</v>
      </c>
      <c r="C1602" s="1">
        <f>IFERROR(VLOOKUP(1225,'PEDIDO 20'!$C$2:$E$230,3,0),0)</f>
        <v>0</v>
      </c>
      <c r="D1602" s="1">
        <f>IFERROR(VLOOKUP(1226,'PEDIDO 20'!$C$2:$E$230,3,0),0)</f>
        <v>0</v>
      </c>
      <c r="E1602" s="1">
        <f>IFERROR(VLOOKUP(1227,'PEDIDO 20'!$C$2:$E$230,3,0),0)</f>
        <v>0</v>
      </c>
      <c r="F1602" s="1">
        <f>IFERROR(VLOOKUP(1228,'PEDIDO 20'!$C$2:$E$230,3,0),0)</f>
        <v>0</v>
      </c>
      <c r="G1602" s="18">
        <f t="shared" si="38"/>
        <v>0</v>
      </c>
    </row>
    <row r="1603" spans="1:7" ht="15.75" x14ac:dyDescent="0.25">
      <c r="A1603" s="15" t="str">
        <f>'PEDIDO 20'!$B$2</f>
        <v>Santa Cruz Do Rio Pardo-L D Comercio Moveis E Elet</v>
      </c>
      <c r="B1603" s="12" t="s">
        <v>462</v>
      </c>
      <c r="C1603" s="1">
        <f>IFERROR(VLOOKUP(1221,'PEDIDO 20'!$C$2:$E$230,3,0),0)</f>
        <v>0</v>
      </c>
      <c r="D1603" s="1">
        <f>IFERROR(VLOOKUP(1222,'PEDIDO 20'!$C$2:$E$230,3,0),0)</f>
        <v>0</v>
      </c>
      <c r="E1603" s="1">
        <f>IFERROR(VLOOKUP(1223,'PEDIDO 20'!$C$2:$E$230,3,0),0)</f>
        <v>0</v>
      </c>
      <c r="F1603" s="1">
        <f>IFERROR(VLOOKUP(1224,'PEDIDO 20'!$C$2:$E$230,3,0),0)</f>
        <v>0</v>
      </c>
      <c r="G1603" s="18">
        <f t="shared" si="38"/>
        <v>0</v>
      </c>
    </row>
    <row r="1604" spans="1:7" ht="15.75" x14ac:dyDescent="0.25">
      <c r="A1604" s="15" t="str">
        <f>'PEDIDO 20'!$B$2</f>
        <v>Santa Cruz Do Rio Pardo-L D Comercio Moveis E Elet</v>
      </c>
      <c r="B1604" s="12" t="s">
        <v>460</v>
      </c>
      <c r="C1604" s="1">
        <f>IFERROR(VLOOKUP(1229,'PEDIDO 20'!$C$2:$E$230,3,0),0)</f>
        <v>0</v>
      </c>
      <c r="D1604" s="1">
        <f>IFERROR(VLOOKUP(1230,'PEDIDO 20'!$C$2:$E$230,3,0),0)</f>
        <v>0</v>
      </c>
      <c r="E1604" s="1">
        <f>IFERROR(VLOOKUP(1231,'PEDIDO 20'!$C$2:$E$230,3,0),0)</f>
        <v>0</v>
      </c>
      <c r="F1604" s="1">
        <f>IFERROR(VLOOKUP(1232,'PEDIDO 20'!$C$2:$E$230,3,0),0)</f>
        <v>0</v>
      </c>
      <c r="G1604" s="18">
        <f t="shared" si="38"/>
        <v>0</v>
      </c>
    </row>
    <row r="1605" spans="1:7" ht="15.75" x14ac:dyDescent="0.25">
      <c r="A1605" s="15" t="str">
        <f>'PEDIDO 20'!$B$2</f>
        <v>Santa Cruz Do Rio Pardo-L D Comercio Moveis E Elet</v>
      </c>
      <c r="B1605" s="12" t="s">
        <v>463</v>
      </c>
      <c r="C1605" s="1">
        <f>IFERROR(VLOOKUP(1233,'PEDIDO 20'!$C$2:$E$230,3,0),0)</f>
        <v>0</v>
      </c>
      <c r="D1605" s="1">
        <f>IFERROR(VLOOKUP(1234,'PEDIDO 20'!$C$2:$E$230,3,0),0)</f>
        <v>0</v>
      </c>
      <c r="E1605" s="1">
        <f>IFERROR(VLOOKUP(1235,'PEDIDO 20'!$C$2:$E$230,3,0),0)</f>
        <v>0</v>
      </c>
      <c r="F1605" s="1">
        <f>IFERROR(VLOOKUP(1236,'PEDIDO 20'!$C$2:$E$230,3,0),0)</f>
        <v>0</v>
      </c>
      <c r="G1605" s="18">
        <f t="shared" si="38"/>
        <v>0</v>
      </c>
    </row>
    <row r="1606" spans="1:7" ht="15.75" x14ac:dyDescent="0.25">
      <c r="A1606" s="15" t="str">
        <f>'PEDIDO 20'!$B$2</f>
        <v>Santa Cruz Do Rio Pardo-L D Comercio Moveis E Elet</v>
      </c>
      <c r="B1606" s="12" t="s">
        <v>464</v>
      </c>
      <c r="C1606" s="1">
        <f>IFERROR(VLOOKUP(1237,'PEDIDO 20'!$C$2:$E$230,3,0),0)</f>
        <v>0</v>
      </c>
      <c r="D1606" s="1">
        <f>IFERROR(VLOOKUP(1238,'PEDIDO 20'!$C$2:$E$230,3,0),0)</f>
        <v>0</v>
      </c>
      <c r="E1606" s="1">
        <f>IFERROR(VLOOKUP(1239,'PEDIDO 20'!$C$2:$E$230,3,0),0)</f>
        <v>0</v>
      </c>
      <c r="F1606" s="1">
        <f>IFERROR(VLOOKUP(1240,'PEDIDO 20'!$C$2:$E$230,3,0),0)</f>
        <v>0</v>
      </c>
      <c r="G1606" s="18">
        <f t="shared" ref="G1606:G1618" si="39">SUM(C1606+D1606+E1606+F1606)</f>
        <v>0</v>
      </c>
    </row>
    <row r="1607" spans="1:7" ht="15.75" x14ac:dyDescent="0.25">
      <c r="A1607" s="15" t="str">
        <f>'PEDIDO 20'!$B$2</f>
        <v>Santa Cruz Do Rio Pardo-L D Comercio Moveis E Elet</v>
      </c>
      <c r="B1607" s="12" t="s">
        <v>465</v>
      </c>
      <c r="C1607" s="1">
        <f>IFERROR(VLOOKUP(1241,'PEDIDO 20'!$C$2:$E$230,3,0),0)</f>
        <v>0</v>
      </c>
      <c r="D1607" s="1">
        <f>IFERROR(VLOOKUP(1242,'PEDIDO 20'!$C$2:$E$230,3,0),0)</f>
        <v>0</v>
      </c>
      <c r="E1607" s="1">
        <f>IFERROR(VLOOKUP(1243,'PEDIDO 20'!$C$2:$E$230,3,0),0)</f>
        <v>0</v>
      </c>
      <c r="F1607" s="1">
        <f>IFERROR(VLOOKUP(1244,'PEDIDO 20'!$C$2:$E$230,3,0),0)</f>
        <v>0</v>
      </c>
      <c r="G1607" s="18">
        <f t="shared" si="39"/>
        <v>0</v>
      </c>
    </row>
    <row r="1608" spans="1:7" ht="15.75" x14ac:dyDescent="0.25">
      <c r="A1608" s="15" t="str">
        <f>'PEDIDO 20'!$B$2</f>
        <v>Santa Cruz Do Rio Pardo-L D Comercio Moveis E Elet</v>
      </c>
      <c r="B1608" s="12" t="s">
        <v>466</v>
      </c>
      <c r="C1608" s="1">
        <f>IFERROR(VLOOKUP(1245,'PEDIDO 20'!$C$2:$E$230,3,0),0)</f>
        <v>0</v>
      </c>
      <c r="D1608" s="1">
        <f>IFERROR(VLOOKUP(1246,'PEDIDO 20'!$C$2:$E$230,3,0),0)</f>
        <v>0</v>
      </c>
      <c r="E1608" s="1">
        <f>IFERROR(VLOOKUP(1247,'PEDIDO 20'!$C$2:$E$230,3,0),0)</f>
        <v>0</v>
      </c>
      <c r="F1608" s="1">
        <f>IFERROR(VLOOKUP(1248,'PEDIDO 20'!$C$2:$E$230,3,0),0)</f>
        <v>0</v>
      </c>
      <c r="G1608" s="18">
        <f t="shared" si="39"/>
        <v>0</v>
      </c>
    </row>
    <row r="1609" spans="1:7" ht="15.75" x14ac:dyDescent="0.25">
      <c r="A1609" s="15" t="str">
        <f>'PEDIDO 20'!$B$2</f>
        <v>Santa Cruz Do Rio Pardo-L D Comercio Moveis E Elet</v>
      </c>
      <c r="B1609" s="12" t="s">
        <v>467</v>
      </c>
      <c r="C1609" s="1">
        <f>IFERROR(VLOOKUP(25714,'PEDIDO 20'!$C$2:$E$230,3,0),0)</f>
        <v>0</v>
      </c>
      <c r="D1609" s="1"/>
      <c r="E1609" s="1"/>
      <c r="F1609" s="1"/>
      <c r="G1609" s="18">
        <f t="shared" si="39"/>
        <v>0</v>
      </c>
    </row>
    <row r="1610" spans="1:7" ht="15.75" x14ac:dyDescent="0.25">
      <c r="A1610" s="15" t="str">
        <f>'PEDIDO 20'!$B$2</f>
        <v>Santa Cruz Do Rio Pardo-L D Comercio Moveis E Elet</v>
      </c>
      <c r="B1610" s="12" t="s">
        <v>468</v>
      </c>
      <c r="C1610" s="1">
        <f>IFERROR(VLOOKUP(25712,'PEDIDO 20'!$C$2:$E$230,3,0),0)</f>
        <v>0</v>
      </c>
      <c r="D1610" s="1"/>
      <c r="E1610" s="1"/>
      <c r="F1610" s="1"/>
      <c r="G1610" s="18">
        <f t="shared" si="39"/>
        <v>0</v>
      </c>
    </row>
    <row r="1611" spans="1:7" ht="15.75" x14ac:dyDescent="0.25">
      <c r="A1611" s="15" t="str">
        <f>'PEDIDO 20'!$B$2</f>
        <v>Santa Cruz Do Rio Pardo-L D Comercio Moveis E Elet</v>
      </c>
      <c r="B1611" s="12" t="s">
        <v>469</v>
      </c>
      <c r="C1611" s="1">
        <f>IFERROR(VLOOKUP(25713,'PEDIDO 20'!$C$2:$E$230,3,0),0)</f>
        <v>0</v>
      </c>
      <c r="D1611" s="1"/>
      <c r="E1611" s="1"/>
      <c r="F1611" s="1"/>
      <c r="G1611" s="18">
        <f t="shared" si="39"/>
        <v>0</v>
      </c>
    </row>
    <row r="1612" spans="1:7" ht="15.75" x14ac:dyDescent="0.25">
      <c r="A1612" s="15" t="str">
        <f>'PEDIDO 20'!$B$2</f>
        <v>Santa Cruz Do Rio Pardo-L D Comercio Moveis E Elet</v>
      </c>
      <c r="B1612" s="12" t="s">
        <v>470</v>
      </c>
      <c r="C1612" s="1">
        <f>IFERROR(VLOOKUP(1260,'PEDIDO 20'!$C$2:$E$230,3,0),0)</f>
        <v>0</v>
      </c>
      <c r="D1612" s="1"/>
      <c r="E1612" s="1"/>
      <c r="F1612" s="1"/>
      <c r="G1612" s="18">
        <f t="shared" si="39"/>
        <v>0</v>
      </c>
    </row>
    <row r="1613" spans="1:7" ht="15.75" x14ac:dyDescent="0.25">
      <c r="A1613" s="15" t="str">
        <f>'PEDIDO 20'!$B$2</f>
        <v>Santa Cruz Do Rio Pardo-L D Comercio Moveis E Elet</v>
      </c>
      <c r="B1613" s="12" t="s">
        <v>471</v>
      </c>
      <c r="C1613" s="1">
        <f>IFERROR(VLOOKUP(1261,'PEDIDO 20'!$C$2:$E$230,3,0),0)</f>
        <v>0</v>
      </c>
      <c r="D1613" s="1"/>
      <c r="E1613" s="1"/>
      <c r="F1613" s="1"/>
      <c r="G1613" s="18">
        <f t="shared" si="39"/>
        <v>0</v>
      </c>
    </row>
    <row r="1614" spans="1:7" ht="15.75" x14ac:dyDescent="0.25">
      <c r="A1614" s="15" t="str">
        <f>'PEDIDO 20'!$B$2</f>
        <v>Santa Cruz Do Rio Pardo-L D Comercio Moveis E Elet</v>
      </c>
      <c r="B1614" s="12" t="s">
        <v>472</v>
      </c>
      <c r="C1614" s="1">
        <f>IFERROR(VLOOKUP(1262,'PEDIDO 20'!$C$2:$E$230,3,0),0)</f>
        <v>0</v>
      </c>
      <c r="D1614" s="1"/>
      <c r="E1614" s="1"/>
      <c r="F1614" s="1"/>
      <c r="G1614" s="18">
        <f t="shared" si="39"/>
        <v>0</v>
      </c>
    </row>
    <row r="1615" spans="1:7" ht="15.75" x14ac:dyDescent="0.25">
      <c r="A1615" s="15" t="str">
        <f>'PEDIDO 20'!$B$2</f>
        <v>Santa Cruz Do Rio Pardo-L D Comercio Moveis E Elet</v>
      </c>
      <c r="B1615" s="12" t="s">
        <v>473</v>
      </c>
      <c r="C1615" s="1">
        <f>IFERROR(VLOOKUP(1263,'PEDIDO 20'!$C$2:$E$230,3,0),0)</f>
        <v>0</v>
      </c>
      <c r="D1615" s="1"/>
      <c r="E1615" s="1"/>
      <c r="F1615" s="1"/>
      <c r="G1615" s="18">
        <f t="shared" si="39"/>
        <v>0</v>
      </c>
    </row>
    <row r="1616" spans="1:7" ht="15.75" x14ac:dyDescent="0.25">
      <c r="A1616" s="15" t="str">
        <f>'PEDIDO 20'!$B$2</f>
        <v>Santa Cruz Do Rio Pardo-L D Comercio Moveis E Elet</v>
      </c>
      <c r="B1616" s="12" t="s">
        <v>474</v>
      </c>
      <c r="C1616" s="1">
        <f>IFERROR(VLOOKUP(1264,'PEDIDO 20'!$C$2:$E$230,3,0),0)</f>
        <v>0</v>
      </c>
      <c r="D1616" s="1"/>
      <c r="E1616" s="1"/>
      <c r="F1616" s="1"/>
      <c r="G1616" s="18">
        <f t="shared" si="39"/>
        <v>0</v>
      </c>
    </row>
    <row r="1617" spans="1:7" ht="15.75" x14ac:dyDescent="0.25">
      <c r="A1617" s="15" t="str">
        <f>'PEDIDO 20'!$B$2</f>
        <v>Santa Cruz Do Rio Pardo-L D Comercio Moveis E Elet</v>
      </c>
      <c r="B1617" s="12" t="s">
        <v>475</v>
      </c>
      <c r="C1617" s="1">
        <f>IFERROR(VLOOKUP(1265,'PEDIDO 20'!$C$2:$E$230,3,0),0)</f>
        <v>0</v>
      </c>
      <c r="D1617" s="1"/>
      <c r="E1617" s="1"/>
      <c r="F1617" s="1"/>
      <c r="G1617" s="18">
        <f t="shared" si="39"/>
        <v>0</v>
      </c>
    </row>
    <row r="1618" spans="1:7" ht="15.75" x14ac:dyDescent="0.25">
      <c r="A1618" s="15" t="str">
        <f>'PEDIDO 20'!$B$2</f>
        <v>Santa Cruz Do Rio Pardo-L D Comercio Moveis E Elet</v>
      </c>
      <c r="B1618" s="12" t="s">
        <v>476</v>
      </c>
      <c r="C1618" s="1">
        <f>IFERROR(VLOOKUP(1266,'PEDIDO 20'!$C$2:$E$230,3,0),0)</f>
        <v>0</v>
      </c>
      <c r="D1618" s="1"/>
      <c r="E1618" s="1"/>
      <c r="F1618" s="1"/>
      <c r="G1618" s="18">
        <f t="shared" si="39"/>
        <v>0</v>
      </c>
    </row>
    <row r="1619" spans="1:7" ht="15.75" x14ac:dyDescent="0.25">
      <c r="A1619" s="15" t="str">
        <f>'PEDIDO 20'!$B$2</f>
        <v>Santa Cruz Do Rio Pardo-L D Comercio Moveis E Elet</v>
      </c>
      <c r="B1619" s="12" t="s">
        <v>477</v>
      </c>
      <c r="C1619" s="1">
        <f>IFERROR(VLOOKUP(1268,'PEDIDO 20'!$C$2:$E$230,3,0),0)</f>
        <v>0</v>
      </c>
      <c r="D1619" s="1">
        <f>IFERROR(VLOOKUP(1269,'PEDIDO 20'!$C$2:$E$230,3,0),0)</f>
        <v>0</v>
      </c>
      <c r="E1619" s="1">
        <f>IFERROR(VLOOKUP(1270,'PEDIDO 20'!$C$2:$E$230,3,0),0)</f>
        <v>0</v>
      </c>
      <c r="F1619" s="1">
        <f>IFERROR(VLOOKUP(1271,'PEDIDO 20'!$C$2:$E$230,3,0),0)</f>
        <v>0</v>
      </c>
      <c r="G1619" s="18">
        <f>SUM(C1619+D1619+E1619+F1619)</f>
        <v>0</v>
      </c>
    </row>
    <row r="1622" spans="1:7" ht="15.75" x14ac:dyDescent="0.25">
      <c r="A1622" s="15" t="str">
        <f>'PEDIDO 21'!$B$2</f>
        <v>Santa Cruz Do Rio Pardo-Franciscon &amp; Cia Ltda</v>
      </c>
      <c r="B1622" s="12" t="s">
        <v>399</v>
      </c>
      <c r="C1622" s="1">
        <f>IFERROR(VLOOKUP(1,'PEDIDO 21'!$C$2:$E$230,3,0),0)</f>
        <v>0</v>
      </c>
      <c r="D1622" s="1">
        <f>IFERROR(VLOOKUP(2,'PEDIDO 21'!$C$2:$E$230,3,0),0)</f>
        <v>0</v>
      </c>
      <c r="E1622" s="1">
        <f>IFERROR(VLOOKUP(3,'PEDIDO 21'!$C$2:$E$230,3,0),0)</f>
        <v>0</v>
      </c>
      <c r="F1622" s="1">
        <f>IFERROR(VLOOKUP(282,'PEDIDO 21'!$C$2:$E$230,3,0),0)</f>
        <v>0</v>
      </c>
      <c r="G1622" s="18">
        <f>SUM(C1622+D1622+E1622+F1622)</f>
        <v>0</v>
      </c>
    </row>
    <row r="1623" spans="1:7" ht="15.75" x14ac:dyDescent="0.25">
      <c r="A1623" s="15" t="str">
        <f>'PEDIDO 21'!$B$2</f>
        <v>Santa Cruz Do Rio Pardo-Franciscon &amp; Cia Ltda</v>
      </c>
      <c r="B1623" s="12" t="s">
        <v>400</v>
      </c>
      <c r="C1623" s="1">
        <f>IFERROR(VLOOKUP(5,'PEDIDO 21'!$C$2:$E$230,3,0),0)</f>
        <v>0</v>
      </c>
      <c r="D1623" s="1">
        <f>IFERROR(VLOOKUP(6,'PEDIDO 21'!$C$2:$E$230,3,0),0)</f>
        <v>0</v>
      </c>
      <c r="E1623" s="1">
        <f>IFERROR(VLOOKUP(7,'PEDIDO 21'!$C$2:$E$230,3,0),0)</f>
        <v>0</v>
      </c>
      <c r="F1623" s="1">
        <f>IFERROR(VLOOKUP(258,'PEDIDO 21'!$C$2:$E$230,3,0),0)</f>
        <v>30</v>
      </c>
      <c r="G1623" s="18">
        <f t="shared" ref="G1623:G1686" si="40">SUM(C1623+D1623+E1623+F1623)</f>
        <v>30</v>
      </c>
    </row>
    <row r="1624" spans="1:7" ht="15.75" x14ac:dyDescent="0.25">
      <c r="A1624" s="15" t="str">
        <f>'PEDIDO 21'!$B$2</f>
        <v>Santa Cruz Do Rio Pardo-Franciscon &amp; Cia Ltda</v>
      </c>
      <c r="B1624" s="12" t="s">
        <v>401</v>
      </c>
      <c r="C1624" s="1">
        <f>IFERROR(VLOOKUP(13,'PEDIDO 21'!$C$2:$E$230,3,0),0)</f>
        <v>0</v>
      </c>
      <c r="D1624" s="1">
        <f>IFERROR(VLOOKUP(14,'PEDIDO 21'!$C$2:$E$230,3,0),0)</f>
        <v>0</v>
      </c>
      <c r="E1624" s="1">
        <f>IFERROR(VLOOKUP(15,'PEDIDO 21'!$C$2:$E$230,3,0),0)</f>
        <v>0</v>
      </c>
      <c r="F1624" s="1">
        <f>IFERROR(VLOOKUP(289,'PEDIDO 21'!$C$2:$E$230,3,0),0)</f>
        <v>0</v>
      </c>
      <c r="G1624" s="18">
        <f t="shared" si="40"/>
        <v>0</v>
      </c>
    </row>
    <row r="1625" spans="1:7" ht="15.75" x14ac:dyDescent="0.25">
      <c r="A1625" s="15" t="str">
        <f>'PEDIDO 21'!$B$2</f>
        <v>Santa Cruz Do Rio Pardo-Franciscon &amp; Cia Ltda</v>
      </c>
      <c r="B1625" s="12" t="s">
        <v>402</v>
      </c>
      <c r="C1625" s="1">
        <f>IFERROR(VLOOKUP(267,'PEDIDO 21'!$C$2:$E$230,3,0),0)</f>
        <v>0</v>
      </c>
      <c r="D1625" s="1">
        <f>IFERROR(VLOOKUP(268,'PEDIDO 21'!$C$2:$E$230,3,0),0)</f>
        <v>0</v>
      </c>
      <c r="E1625" s="1">
        <f>IFERROR(VLOOKUP(270,'PEDIDO 21'!$C$2:$E$230,3,0),0)</f>
        <v>0</v>
      </c>
      <c r="F1625" s="1">
        <f>IFERROR(VLOOKUP(269,'PEDIDO 21'!$C$2:$E$230,3,0),0)</f>
        <v>0</v>
      </c>
      <c r="G1625" s="18">
        <f t="shared" si="40"/>
        <v>0</v>
      </c>
    </row>
    <row r="1626" spans="1:7" ht="15.75" x14ac:dyDescent="0.25">
      <c r="A1626" s="15" t="str">
        <f>'PEDIDO 21'!$B$2</f>
        <v>Santa Cruz Do Rio Pardo-Franciscon &amp; Cia Ltda</v>
      </c>
      <c r="B1626" s="12" t="s">
        <v>403</v>
      </c>
      <c r="C1626" s="1">
        <f>IFERROR(VLOOKUP(17,'PEDIDO 21'!$C$2:$E$230,3,0),0)</f>
        <v>0</v>
      </c>
      <c r="D1626" s="1">
        <f>IFERROR(VLOOKUP(18,'PEDIDO 21'!$C$2:$E$230,3,0),0)</f>
        <v>0</v>
      </c>
      <c r="E1626" s="1">
        <f>IFERROR(VLOOKUP(19,'PEDIDO 21'!$C$2:$E$230,3,0),0)</f>
        <v>0</v>
      </c>
      <c r="F1626" s="1">
        <f>IFERROR(VLOOKUP(290,'PEDIDO 21'!$C$2:$E$230,3,0),0)</f>
        <v>0</v>
      </c>
      <c r="G1626" s="18">
        <f t="shared" si="40"/>
        <v>0</v>
      </c>
    </row>
    <row r="1627" spans="1:7" ht="15.75" x14ac:dyDescent="0.25">
      <c r="A1627" s="15" t="str">
        <f>'PEDIDO 21'!$B$2</f>
        <v>Santa Cruz Do Rio Pardo-Franciscon &amp; Cia Ltda</v>
      </c>
      <c r="B1627" s="12" t="s">
        <v>404</v>
      </c>
      <c r="C1627" s="1">
        <f>IFERROR(VLOOKUP(23,'PEDIDO 21'!$C$2:$E$230,3,0),0)</f>
        <v>0</v>
      </c>
      <c r="D1627" s="1">
        <f>IFERROR(VLOOKUP(24,'PEDIDO 21'!$C$2:$E$230,3,0),0)</f>
        <v>0</v>
      </c>
      <c r="E1627" s="1">
        <f>IFERROR(VLOOKUP(25,'PEDIDO 21'!$C$2:$E$230,3,0),0)</f>
        <v>0</v>
      </c>
      <c r="F1627" s="1">
        <f>IFERROR(VLOOKUP(291,'PEDIDO 21'!$C$2:$E$230,3,0),0)</f>
        <v>6</v>
      </c>
      <c r="G1627" s="18">
        <f t="shared" si="40"/>
        <v>6</v>
      </c>
    </row>
    <row r="1628" spans="1:7" ht="15.75" x14ac:dyDescent="0.25">
      <c r="A1628" s="15" t="str">
        <f>'PEDIDO 21'!$B$2</f>
        <v>Santa Cruz Do Rio Pardo-Franciscon &amp; Cia Ltda</v>
      </c>
      <c r="B1628" s="12" t="s">
        <v>405</v>
      </c>
      <c r="C1628" s="1">
        <f>IFERROR(VLOOKUP(27,'PEDIDO 21'!$C$2:$E$230,3,0),0)</f>
        <v>0</v>
      </c>
      <c r="D1628" s="1">
        <f>IFERROR(VLOOKUP(28,'PEDIDO 21'!$C$2:$E$230,3,0),0)</f>
        <v>0</v>
      </c>
      <c r="E1628" s="1">
        <f>IFERROR(VLOOKUP(29,'PEDIDO 21'!$C$2:$E$230,3,0),0)</f>
        <v>0</v>
      </c>
      <c r="F1628" s="1">
        <f>IFERROR(VLOOKUP(292,'PEDIDO 21'!$C$2:$E$230,3,0),0)</f>
        <v>0</v>
      </c>
      <c r="G1628" s="18">
        <f t="shared" si="40"/>
        <v>0</v>
      </c>
    </row>
    <row r="1629" spans="1:7" ht="15.75" x14ac:dyDescent="0.25">
      <c r="A1629" s="15" t="str">
        <f>'PEDIDO 21'!$B$2</f>
        <v>Santa Cruz Do Rio Pardo-Franciscon &amp; Cia Ltda</v>
      </c>
      <c r="B1629" s="12" t="s">
        <v>406</v>
      </c>
      <c r="C1629" s="1">
        <f>IFERROR(VLOOKUP(227,'PEDIDO 21'!$C$2:$E$230,3,0),0)</f>
        <v>0</v>
      </c>
      <c r="D1629" s="1">
        <f>IFERROR(VLOOKUP(228,'PEDIDO 21'!$C$2:$E$230,3,0),0)</f>
        <v>0</v>
      </c>
      <c r="E1629" s="1">
        <f>IFERROR(VLOOKUP(229,'PEDIDO 21'!$C$2:$E$230,3,0),0)</f>
        <v>0</v>
      </c>
      <c r="F1629" s="1">
        <f>IFERROR(VLOOKUP(230,'PEDIDO 21'!$C$2:$E$230,3,0),0)</f>
        <v>4</v>
      </c>
      <c r="G1629" s="18">
        <f t="shared" si="40"/>
        <v>4</v>
      </c>
    </row>
    <row r="1630" spans="1:7" ht="15.75" x14ac:dyDescent="0.25">
      <c r="A1630" s="15" t="str">
        <f>'PEDIDO 21'!$B$2</f>
        <v>Santa Cruz Do Rio Pardo-Franciscon &amp; Cia Ltda</v>
      </c>
      <c r="B1630" s="12" t="s">
        <v>407</v>
      </c>
      <c r="C1630" s="1">
        <f>IFERROR(VLOOKUP(231,'PEDIDO 21'!$C$2:$E$230,3,0),0)</f>
        <v>0</v>
      </c>
      <c r="D1630" s="1">
        <f>IFERROR(VLOOKUP(232,'PEDIDO 21'!$C$2:$E$230,3,0),0)</f>
        <v>0</v>
      </c>
      <c r="E1630" s="1">
        <f>IFERROR(VLOOKUP(234,'PEDIDO 21'!$C$2:$E$230,3,0),0)</f>
        <v>0</v>
      </c>
      <c r="F1630" s="1">
        <f>IFERROR(VLOOKUP(233,'PEDIDO 21'!$C$2:$E$230,3,0),0)</f>
        <v>5</v>
      </c>
      <c r="G1630" s="18">
        <f t="shared" si="40"/>
        <v>5</v>
      </c>
    </row>
    <row r="1631" spans="1:7" ht="15.75" x14ac:dyDescent="0.25">
      <c r="A1631" s="15" t="str">
        <f>'PEDIDO 21'!$B$2</f>
        <v>Santa Cruz Do Rio Pardo-Franciscon &amp; Cia Ltda</v>
      </c>
      <c r="B1631" s="12" t="s">
        <v>408</v>
      </c>
      <c r="C1631" s="1">
        <f>IFERROR(VLOOKUP(237,'PEDIDO 21'!$C$2:$E$230,3,0),0)</f>
        <v>0</v>
      </c>
      <c r="D1631" s="1">
        <f>IFERROR(VLOOKUP(238,'PEDIDO 21'!$C$2:$E$230,3,0),0)</f>
        <v>0</v>
      </c>
      <c r="E1631" s="1">
        <f>IFERROR(VLOOKUP(240,'PEDIDO 21'!$C$2:$E$230,3,0),0)</f>
        <v>0</v>
      </c>
      <c r="F1631" s="1">
        <f>IFERROR(VLOOKUP(239,'PEDIDO 21'!$C$2:$E$230,3,0),0)</f>
        <v>4</v>
      </c>
      <c r="G1631" s="18">
        <f t="shared" si="40"/>
        <v>4</v>
      </c>
    </row>
    <row r="1632" spans="1:7" ht="15.75" x14ac:dyDescent="0.25">
      <c r="A1632" s="15" t="str">
        <f>'PEDIDO 21'!$B$2</f>
        <v>Santa Cruz Do Rio Pardo-Franciscon &amp; Cia Ltda</v>
      </c>
      <c r="B1632" s="12" t="s">
        <v>409</v>
      </c>
      <c r="C1632" s="1">
        <f>IFERROR(VLOOKUP(25707,'PEDIDO 21'!$C$2:$E$230,3,0),0)</f>
        <v>0</v>
      </c>
      <c r="D1632" s="1">
        <f>IFERROR(VLOOKUP(25708,'PEDIDO 21'!$C$2:$E$230,3,0),0)</f>
        <v>0</v>
      </c>
      <c r="E1632" s="1">
        <f>IFERROR(VLOOKUP(25710,'PEDIDO 21'!$C$2:$E$230,3,0),0)</f>
        <v>0</v>
      </c>
      <c r="F1632" s="1">
        <f>IFERROR(VLOOKUP(25709,'PEDIDO 21'!$C$2:$E$230,3,0),0)</f>
        <v>0</v>
      </c>
      <c r="G1632" s="18">
        <f t="shared" si="40"/>
        <v>0</v>
      </c>
    </row>
    <row r="1633" spans="1:7" ht="15.75" x14ac:dyDescent="0.25">
      <c r="A1633" s="15" t="str">
        <f>'PEDIDO 21'!$B$2</f>
        <v>Santa Cruz Do Rio Pardo-Franciscon &amp; Cia Ltda</v>
      </c>
      <c r="B1633" s="12" t="s">
        <v>410</v>
      </c>
      <c r="C1633" s="1">
        <f>IFERROR(VLOOKUP(25711,'PEDIDO 21'!$C$2:$E$230,3,0),0)</f>
        <v>0</v>
      </c>
      <c r="D1633" s="1"/>
      <c r="E1633" s="1"/>
      <c r="F1633" s="1"/>
      <c r="G1633" s="18">
        <f t="shared" si="40"/>
        <v>0</v>
      </c>
    </row>
    <row r="1634" spans="1:7" ht="15.75" x14ac:dyDescent="0.25">
      <c r="A1634" s="15" t="str">
        <f>'PEDIDO 21'!$B$2</f>
        <v>Santa Cruz Do Rio Pardo-Franciscon &amp; Cia Ltda</v>
      </c>
      <c r="B1634" s="12" t="s">
        <v>411</v>
      </c>
      <c r="C1634" s="1">
        <f>IFERROR(VLOOKUP(35,'PEDIDO 21'!$C$2:$E$230,3,0),0)</f>
        <v>0</v>
      </c>
      <c r="D1634" s="1">
        <f>IFERROR(VLOOKUP(36,'PEDIDO 21'!$C$2:$E$230,3,0),0)</f>
        <v>0</v>
      </c>
      <c r="E1634" s="1">
        <f>IFERROR(VLOOKUP(37,'PEDIDO 21'!$C$2:$E$230,3,0),0)</f>
        <v>0</v>
      </c>
      <c r="F1634" s="1">
        <f>IFERROR(VLOOKUP(294,'PEDIDO 21'!$C$2:$E$230,3,0),0)</f>
        <v>0</v>
      </c>
      <c r="G1634" s="18">
        <f t="shared" si="40"/>
        <v>0</v>
      </c>
    </row>
    <row r="1635" spans="1:7" ht="15.75" x14ac:dyDescent="0.25">
      <c r="A1635" s="15" t="str">
        <f>'PEDIDO 21'!$B$2</f>
        <v>Santa Cruz Do Rio Pardo-Franciscon &amp; Cia Ltda</v>
      </c>
      <c r="B1635" s="12" t="s">
        <v>412</v>
      </c>
      <c r="C1635" s="1">
        <f>IFERROR(VLOOKUP(39,'PEDIDO 21'!$C$2:$E$230,3,0),0)</f>
        <v>0</v>
      </c>
      <c r="D1635" s="1">
        <f>IFERROR(VLOOKUP(40,'PEDIDO 21'!$C$2:$E$230,3,0),0)</f>
        <v>0</v>
      </c>
      <c r="E1635" s="1">
        <f>IFERROR(VLOOKUP(42,'PEDIDO 21'!$C$2:$E$230,3,0),0)</f>
        <v>0</v>
      </c>
      <c r="F1635" s="1">
        <f>IFERROR(VLOOKUP(295,'PEDIDO 21'!$C$2:$E$230,3,0),0)</f>
        <v>0</v>
      </c>
      <c r="G1635" s="18">
        <f t="shared" si="40"/>
        <v>0</v>
      </c>
    </row>
    <row r="1636" spans="1:7" ht="15.75" x14ac:dyDescent="0.25">
      <c r="A1636" s="15" t="str">
        <f>'PEDIDO 21'!$B$2</f>
        <v>Santa Cruz Do Rio Pardo-Franciscon &amp; Cia Ltda</v>
      </c>
      <c r="B1636" s="12" t="s">
        <v>413</v>
      </c>
      <c r="C1636" s="1">
        <f>IFERROR(VLOOKUP(44,'PEDIDO 21'!$C$2:$E$230,3,0),0)</f>
        <v>0</v>
      </c>
      <c r="D1636" s="1">
        <f>IFERROR(VLOOKUP(45,'PEDIDO 21'!$C$2:$E$230,3,0),0)</f>
        <v>0</v>
      </c>
      <c r="E1636" s="1">
        <f>IFERROR(VLOOKUP(46,'PEDIDO 21'!$C$2:$E$230,3,0),0)</f>
        <v>0</v>
      </c>
      <c r="F1636" s="1">
        <f>IFERROR(VLOOKUP(283,'PEDIDO 21'!$C$2:$E$230,3,0),0)</f>
        <v>1</v>
      </c>
      <c r="G1636" s="18">
        <f t="shared" si="40"/>
        <v>1</v>
      </c>
    </row>
    <row r="1637" spans="1:7" ht="15.75" x14ac:dyDescent="0.25">
      <c r="A1637" s="15" t="str">
        <f>'PEDIDO 21'!$B$2</f>
        <v>Santa Cruz Do Rio Pardo-Franciscon &amp; Cia Ltda</v>
      </c>
      <c r="B1637" s="12" t="s">
        <v>414</v>
      </c>
      <c r="C1637" s="1">
        <f>IFERROR(VLOOKUP(48,'PEDIDO 21'!$C$2:$E$230,3,0),0)</f>
        <v>0</v>
      </c>
      <c r="D1637" s="1">
        <f>IFERROR(VLOOKUP(49,'PEDIDO 21'!$C$2:$E$230,3,0),0)</f>
        <v>0</v>
      </c>
      <c r="E1637" s="1">
        <f>IFERROR(VLOOKUP(50,'PEDIDO 21'!$C$2:$E$230,3,0),0)</f>
        <v>0</v>
      </c>
      <c r="F1637" s="1">
        <f>IFERROR(VLOOKUP(298,'PEDIDO 21'!$C$2:$E$230,3,0),0)</f>
        <v>1</v>
      </c>
      <c r="G1637" s="18">
        <f t="shared" si="40"/>
        <v>1</v>
      </c>
    </row>
    <row r="1638" spans="1:7" ht="15.75" x14ac:dyDescent="0.25">
      <c r="A1638" s="15" t="str">
        <f>'PEDIDO 21'!$B$2</f>
        <v>Santa Cruz Do Rio Pardo-Franciscon &amp; Cia Ltda</v>
      </c>
      <c r="B1638" s="12" t="s">
        <v>415</v>
      </c>
      <c r="C1638" s="1">
        <f>IFERROR(VLOOKUP(52,'PEDIDO 21'!$C$2:$E$230,3,0),0)</f>
        <v>0</v>
      </c>
      <c r="D1638" s="1">
        <f>IFERROR(VLOOKUP(53,'PEDIDO 21'!$C$2:$E$230,3,0),0)</f>
        <v>0</v>
      </c>
      <c r="E1638" s="1">
        <f>IFERROR(VLOOKUP(54,'PEDIDO 21'!$C$2:$E$230,3,0),0)</f>
        <v>0</v>
      </c>
      <c r="F1638" s="1">
        <f>IFERROR(VLOOKUP(299,'PEDIDO 21'!$C$2:$E$230,3,0),0)</f>
        <v>0</v>
      </c>
      <c r="G1638" s="18">
        <f t="shared" si="40"/>
        <v>0</v>
      </c>
    </row>
    <row r="1639" spans="1:7" ht="15.75" x14ac:dyDescent="0.25">
      <c r="A1639" s="15" t="str">
        <f>'PEDIDO 21'!$B$2</f>
        <v>Santa Cruz Do Rio Pardo-Franciscon &amp; Cia Ltda</v>
      </c>
      <c r="B1639" s="12" t="s">
        <v>416</v>
      </c>
      <c r="C1639" s="1">
        <f>IFERROR(VLOOKUP(56,'PEDIDO 21'!$C$2:$E$230,3,0),0)</f>
        <v>0</v>
      </c>
      <c r="D1639" s="1">
        <f>IFERROR(VLOOKUP(61,'PEDIDO 21'!$C$2:$E$230,3,0),0)</f>
        <v>0</v>
      </c>
      <c r="E1639" s="1">
        <f>IFERROR(VLOOKUP(58,'PEDIDO 21'!$C$2:$E$230,3,0),0)</f>
        <v>0</v>
      </c>
      <c r="F1639" s="1">
        <f>IFERROR(VLOOKUP(300,'PEDIDO 21'!$C$2:$E$230,3,0),0)</f>
        <v>1</v>
      </c>
      <c r="G1639" s="18">
        <f t="shared" si="40"/>
        <v>1</v>
      </c>
    </row>
    <row r="1640" spans="1:7" ht="15.75" x14ac:dyDescent="0.25">
      <c r="A1640" s="15" t="str">
        <f>'PEDIDO 21'!$B$2</f>
        <v>Santa Cruz Do Rio Pardo-Franciscon &amp; Cia Ltda</v>
      </c>
      <c r="B1640" s="12" t="s">
        <v>417</v>
      </c>
      <c r="C1640" s="1">
        <f>IFERROR(VLOOKUP(60,'PEDIDO 21'!$C$2:$E$230,3,0),0)</f>
        <v>0</v>
      </c>
      <c r="D1640" s="1">
        <f>IFERROR(VLOOKUP(120,'PEDIDO 21'!$C$2:$E$230,3,0),0)</f>
        <v>0</v>
      </c>
      <c r="E1640" s="1">
        <f>IFERROR(VLOOKUP(62,'PEDIDO 21'!$C$2:$E$230,3,0),0)</f>
        <v>0</v>
      </c>
      <c r="F1640" s="1">
        <f>IFERROR(VLOOKUP(301,'PEDIDO 21'!$C$2:$E$230,3,0),0)</f>
        <v>0</v>
      </c>
      <c r="G1640" s="18">
        <f t="shared" si="40"/>
        <v>0</v>
      </c>
    </row>
    <row r="1641" spans="1:7" ht="15.75" x14ac:dyDescent="0.25">
      <c r="A1641" s="15" t="str">
        <f>'PEDIDO 21'!$B$2</f>
        <v>Santa Cruz Do Rio Pardo-Franciscon &amp; Cia Ltda</v>
      </c>
      <c r="B1641" s="12" t="s">
        <v>426</v>
      </c>
      <c r="C1641" s="1">
        <f>IFERROR(VLOOKUP(112,'PEDIDO 21'!$C$2:$E$230,3,0),0)</f>
        <v>0</v>
      </c>
      <c r="D1641" s="1">
        <f>IFERROR(VLOOKUP(113,'PEDIDO 21'!$C$2:$E$230,3,0),0)</f>
        <v>0</v>
      </c>
      <c r="E1641" s="1">
        <f>IFERROR(VLOOKUP(114,'PEDIDO 21'!$C$2:$E$230,3,0),0)</f>
        <v>0</v>
      </c>
      <c r="F1641" s="1">
        <f>IFERROR(VLOOKUP(296,'PEDIDO 21'!$C$2:$E$230,3,0),0)</f>
        <v>0</v>
      </c>
      <c r="G1641" s="18">
        <f t="shared" si="40"/>
        <v>0</v>
      </c>
    </row>
    <row r="1642" spans="1:7" ht="15.75" x14ac:dyDescent="0.25">
      <c r="A1642" s="15" t="str">
        <f>'PEDIDO 21'!$B$2</f>
        <v>Santa Cruz Do Rio Pardo-Franciscon &amp; Cia Ltda</v>
      </c>
      <c r="B1642" s="12" t="s">
        <v>427</v>
      </c>
      <c r="C1642" s="1">
        <f>IFERROR(VLOOKUP(116,'PEDIDO 21'!$C$2:$E$230,3,0),0)</f>
        <v>0</v>
      </c>
      <c r="D1642" s="1">
        <f>IFERROR(VLOOKUP(117,'PEDIDO 21'!$C$2:$E$230,3,0),0)</f>
        <v>0</v>
      </c>
      <c r="E1642" s="1">
        <f>IFERROR(VLOOKUP(118,'PEDIDO 21'!$C$2:$E$230,3,0),0)</f>
        <v>0</v>
      </c>
      <c r="F1642" s="1">
        <f>IFERROR(VLOOKUP(293,'PEDIDO 21'!$C$2:$E$230,3,0),0)</f>
        <v>0</v>
      </c>
      <c r="G1642" s="18">
        <f t="shared" si="40"/>
        <v>0</v>
      </c>
    </row>
    <row r="1643" spans="1:7" ht="15.75" x14ac:dyDescent="0.25">
      <c r="A1643" s="15" t="str">
        <f>'PEDIDO 21'!$B$2</f>
        <v>Santa Cruz Do Rio Pardo-Franciscon &amp; Cia Ltda</v>
      </c>
      <c r="B1643" s="12" t="s">
        <v>418</v>
      </c>
      <c r="C1643" s="1">
        <f>IFERROR(VLOOKUP(963,'PEDIDO 21'!$C$2:$E$230,3,0),0)</f>
        <v>0</v>
      </c>
      <c r="D1643" s="1">
        <f>IFERROR(VLOOKUP(965,'PEDIDO 21'!$C$2:$E$230,3,0),0)</f>
        <v>0</v>
      </c>
      <c r="E1643" s="1">
        <f>IFERROR(VLOOKUP(966,'PEDIDO 21'!$C$2:$E$230,3,0),0)</f>
        <v>0</v>
      </c>
      <c r="F1643" s="1">
        <f>IFERROR(VLOOKUP(964,'PEDIDO 21'!$C$2:$E$230,3,0),0)</f>
        <v>0</v>
      </c>
      <c r="G1643" s="18">
        <f t="shared" si="40"/>
        <v>0</v>
      </c>
    </row>
    <row r="1644" spans="1:7" ht="15.75" x14ac:dyDescent="0.25">
      <c r="A1644" s="15" t="str">
        <f>'PEDIDO 21'!$B$2</f>
        <v>Santa Cruz Do Rio Pardo-Franciscon &amp; Cia Ltda</v>
      </c>
      <c r="B1644" s="12" t="s">
        <v>419</v>
      </c>
      <c r="C1644" s="1">
        <f>IFERROR(VLOOKUP(2042,'PEDIDO 21'!$C$2:$E$230,3,0),0)</f>
        <v>0</v>
      </c>
      <c r="D1644" s="1">
        <f>IFERROR(VLOOKUP(2041,'PEDIDO 21'!$C$2:$E$230,3,0),0)</f>
        <v>0</v>
      </c>
      <c r="E1644" s="1">
        <f>IFERROR(VLOOKUP(2043,'PEDIDO 21'!$C$2:$E$230,3,0),0)</f>
        <v>0</v>
      </c>
      <c r="F1644" s="1">
        <f>IFERROR(VLOOKUP(2040,'PEDIDO 21'!$C$2:$E$230,3,0),0)</f>
        <v>0</v>
      </c>
      <c r="G1644" s="18">
        <f t="shared" si="40"/>
        <v>0</v>
      </c>
    </row>
    <row r="1645" spans="1:7" ht="15.75" x14ac:dyDescent="0.25">
      <c r="A1645" s="15" t="str">
        <f>'PEDIDO 21'!$B$2</f>
        <v>Santa Cruz Do Rio Pardo-Franciscon &amp; Cia Ltda</v>
      </c>
      <c r="B1645" s="12" t="s">
        <v>420</v>
      </c>
      <c r="C1645" s="1">
        <f>IFERROR(VLOOKUP(2045,'PEDIDO 21'!$C$2:$E$230,3,0),0)</f>
        <v>0</v>
      </c>
      <c r="D1645" s="1">
        <f>IFERROR(VLOOKUP(2046,'PEDIDO 21'!$C$2:$E$230,3,0),0)</f>
        <v>0</v>
      </c>
      <c r="E1645" s="1">
        <f>IFERROR(VLOOKUP(2047,'PEDIDO 21'!$C$2:$E$230,3,0),0)</f>
        <v>0</v>
      </c>
      <c r="F1645" s="1">
        <f>IFERROR(VLOOKUP(2048,'PEDIDO 21'!$C$2:$E$230,3,0),0)</f>
        <v>0</v>
      </c>
      <c r="G1645" s="18">
        <f t="shared" si="40"/>
        <v>0</v>
      </c>
    </row>
    <row r="1646" spans="1:7" ht="15.75" x14ac:dyDescent="0.25">
      <c r="A1646" s="15" t="str">
        <f>'PEDIDO 21'!$B$2</f>
        <v>Santa Cruz Do Rio Pardo-Franciscon &amp; Cia Ltda</v>
      </c>
      <c r="B1646" s="12" t="s">
        <v>421</v>
      </c>
      <c r="C1646" s="1">
        <f>IFERROR(VLOOKUP(2050,'PEDIDO 21'!$C$2:$E$230,3,0),0)</f>
        <v>0</v>
      </c>
      <c r="D1646" s="1">
        <f>IFERROR(VLOOKUP(2051,'PEDIDO 21'!$C$2:$E$230,3,0),0)</f>
        <v>0</v>
      </c>
      <c r="E1646" s="1">
        <f>IFERROR(VLOOKUP(2052,'PEDIDO 21'!$C$2:$E$230,3,0),0)</f>
        <v>0</v>
      </c>
      <c r="F1646" s="1">
        <f>IFERROR(VLOOKUP(2053,'PEDIDO 21'!$C$2:$E$230,3,0),0)</f>
        <v>0</v>
      </c>
      <c r="G1646" s="18">
        <f t="shared" si="40"/>
        <v>0</v>
      </c>
    </row>
    <row r="1647" spans="1:7" ht="15.75" x14ac:dyDescent="0.25">
      <c r="A1647" s="15" t="str">
        <f>'PEDIDO 21'!$B$2</f>
        <v>Santa Cruz Do Rio Pardo-Franciscon &amp; Cia Ltda</v>
      </c>
      <c r="B1647" s="12" t="s">
        <v>422</v>
      </c>
      <c r="C1647" s="1">
        <f>IFERROR(VLOOKUP(216,'PEDIDO 21'!$C$2:$E$230,3,0),0)</f>
        <v>0</v>
      </c>
      <c r="D1647" s="1">
        <f>IFERROR(VLOOKUP(217,'PEDIDO 21'!$C$2:$E$230,3,0),0)</f>
        <v>0</v>
      </c>
      <c r="E1647" s="1">
        <f>IFERROR(VLOOKUP(218,'PEDIDO 21'!$C$2:$E$230,3,0),0)</f>
        <v>0</v>
      </c>
      <c r="F1647" s="1">
        <f>IFERROR(VLOOKUP(305,'PEDIDO 21'!$C$2:$E$230,3,0),0)</f>
        <v>0</v>
      </c>
      <c r="G1647" s="18">
        <f t="shared" si="40"/>
        <v>0</v>
      </c>
    </row>
    <row r="1648" spans="1:7" ht="15.75" x14ac:dyDescent="0.25">
      <c r="A1648" s="15" t="str">
        <f>'PEDIDO 21'!$B$2</f>
        <v>Santa Cruz Do Rio Pardo-Franciscon &amp; Cia Ltda</v>
      </c>
      <c r="B1648" s="12" t="s">
        <v>423</v>
      </c>
      <c r="C1648" s="1">
        <f>IFERROR(VLOOKUP(100,'PEDIDO 21'!$C$2:$E$230,3,0),0)</f>
        <v>0</v>
      </c>
      <c r="D1648" s="1">
        <f>IFERROR(VLOOKUP(101,'PEDIDO 21'!$C$2:$E$230,3,0),0)</f>
        <v>0</v>
      </c>
      <c r="E1648" s="1">
        <f>IFERROR(VLOOKUP(102,'PEDIDO 21'!$C$2:$E$230,3,0),0)</f>
        <v>0</v>
      </c>
      <c r="F1648" s="1">
        <f>IFERROR(VLOOKUP(306,'PEDIDO 21'!$C$2:$E$230,3,0),0)</f>
        <v>0</v>
      </c>
      <c r="G1648" s="18">
        <f t="shared" si="40"/>
        <v>0</v>
      </c>
    </row>
    <row r="1649" spans="1:7" ht="15.75" x14ac:dyDescent="0.25">
      <c r="A1649" s="15" t="str">
        <f>'PEDIDO 21'!$B$2</f>
        <v>Santa Cruz Do Rio Pardo-Franciscon &amp; Cia Ltda</v>
      </c>
      <c r="B1649" s="12" t="s">
        <v>424</v>
      </c>
      <c r="C1649" s="1">
        <f>IFERROR(VLOOKUP(104,'PEDIDO 21'!$C$2:$E$230,3,0),0)</f>
        <v>0</v>
      </c>
      <c r="D1649" s="1">
        <f>IFERROR(VLOOKUP(105,'PEDIDO 21'!$C$2:$E$230,3,0),0)</f>
        <v>0</v>
      </c>
      <c r="E1649" s="1">
        <f>IFERROR(VLOOKUP(106,'PEDIDO 21'!$C$2:$E$230,3,0),0)</f>
        <v>0</v>
      </c>
      <c r="F1649" s="1">
        <f>IFERROR(VLOOKUP(307,'PEDIDO 21'!$C$2:$E$230,3,0),0)</f>
        <v>0</v>
      </c>
      <c r="G1649" s="18">
        <f t="shared" si="40"/>
        <v>0</v>
      </c>
    </row>
    <row r="1650" spans="1:7" ht="15.75" x14ac:dyDescent="0.25">
      <c r="A1650" s="15" t="str">
        <f>'PEDIDO 21'!$B$2</f>
        <v>Santa Cruz Do Rio Pardo-Franciscon &amp; Cia Ltda</v>
      </c>
      <c r="B1650" s="12" t="s">
        <v>425</v>
      </c>
      <c r="C1650" s="1">
        <f>IFERROR(VLOOKUP(400,'PEDIDO 21'!$C$2:$E$230,3,0),0)</f>
        <v>0</v>
      </c>
      <c r="D1650" s="1">
        <f>IFERROR(VLOOKUP(401,'PEDIDO 21'!$C$2:$E$230,3,0),0)</f>
        <v>0</v>
      </c>
      <c r="E1650" s="1">
        <f>IFERROR(VLOOKUP(402,'PEDIDO 21'!$C$2:$E$230,3,0),0)</f>
        <v>0</v>
      </c>
      <c r="F1650" s="1">
        <f>IFERROR(VLOOKUP(403,'PEDIDO 21'!$C$2:$E$230,3,0),0)</f>
        <v>0</v>
      </c>
      <c r="G1650" s="18">
        <f t="shared" si="40"/>
        <v>0</v>
      </c>
    </row>
    <row r="1651" spans="1:7" ht="15.75" x14ac:dyDescent="0.25">
      <c r="A1651" s="15" t="str">
        <f>'PEDIDO 21'!$B$2</f>
        <v>Santa Cruz Do Rio Pardo-Franciscon &amp; Cia Ltda</v>
      </c>
      <c r="B1651" s="12" t="s">
        <v>428</v>
      </c>
      <c r="C1651" s="1">
        <f>IFERROR(VLOOKUP(22,'PEDIDO 21'!$C$2:$E$230,3,0),0)</f>
        <v>0</v>
      </c>
      <c r="D1651" s="1"/>
      <c r="E1651" s="1"/>
      <c r="F1651" s="1"/>
      <c r="G1651" s="18">
        <f t="shared" si="40"/>
        <v>0</v>
      </c>
    </row>
    <row r="1652" spans="1:7" ht="15.75" x14ac:dyDescent="0.25">
      <c r="A1652" s="15" t="str">
        <f>'PEDIDO 21'!$B$2</f>
        <v>Santa Cruz Do Rio Pardo-Franciscon &amp; Cia Ltda</v>
      </c>
      <c r="B1652" s="12" t="s">
        <v>429</v>
      </c>
      <c r="C1652" s="1">
        <f>IFERROR(VLOOKUP(21,'PEDIDO 21'!$C$2:$E$230,3,0),0)</f>
        <v>0</v>
      </c>
      <c r="D1652" s="1"/>
      <c r="E1652" s="1"/>
      <c r="F1652" s="1"/>
      <c r="G1652" s="18">
        <f t="shared" si="40"/>
        <v>0</v>
      </c>
    </row>
    <row r="1653" spans="1:7" ht="15.75" x14ac:dyDescent="0.25">
      <c r="A1653" s="15" t="str">
        <f>'PEDIDO 21'!$B$2</f>
        <v>Santa Cruz Do Rio Pardo-Franciscon &amp; Cia Ltda</v>
      </c>
      <c r="B1653" s="12" t="s">
        <v>430</v>
      </c>
      <c r="C1653" s="1">
        <f>IFERROR(VLOOKUP(1125,'PEDIDO 21'!$C$2:$E$230,3,0),0)</f>
        <v>0</v>
      </c>
      <c r="D1653" s="1">
        <f>IFERROR(VLOOKUP(1126,'PEDIDO 21'!$C$2:$E$230,3,0),0)</f>
        <v>0</v>
      </c>
      <c r="E1653" s="1">
        <f>IFERROR(VLOOKUP(1127,'PEDIDO 21'!$C$2:$E$230,3,0),0)</f>
        <v>0</v>
      </c>
      <c r="F1653" s="1">
        <f>IFERROR(VLOOKUP(1128,'PEDIDO 21'!$C$2:$E$230,3,0),0)</f>
        <v>0</v>
      </c>
      <c r="G1653" s="18">
        <f t="shared" si="40"/>
        <v>0</v>
      </c>
    </row>
    <row r="1654" spans="1:7" ht="15.75" x14ac:dyDescent="0.25">
      <c r="A1654" s="15" t="str">
        <f>'PEDIDO 21'!$B$2</f>
        <v>Santa Cruz Do Rio Pardo-Franciscon &amp; Cia Ltda</v>
      </c>
      <c r="B1654" s="12" t="s">
        <v>431</v>
      </c>
      <c r="C1654" s="1">
        <f>IFERROR(VLOOKUP(1133,'PEDIDO 21'!$C$2:$E$230,3,0),0)</f>
        <v>0</v>
      </c>
      <c r="D1654" s="1">
        <f>IFERROR(VLOOKUP(1134,'PEDIDO 21'!$C$2:$E$230,3,0),0)</f>
        <v>0</v>
      </c>
      <c r="E1654" s="1">
        <f>IFERROR(VLOOKUP(1135,'PEDIDO 21'!$C$2:$E$230,3,0),0)</f>
        <v>0</v>
      </c>
      <c r="F1654" s="1">
        <f>IFERROR(VLOOKUP(1136,'PEDIDO 21'!$C$2:$E$230,3,0),0)</f>
        <v>0</v>
      </c>
      <c r="G1654" s="18">
        <f t="shared" si="40"/>
        <v>0</v>
      </c>
    </row>
    <row r="1655" spans="1:7" ht="15.75" x14ac:dyDescent="0.25">
      <c r="A1655" s="15" t="str">
        <f>'PEDIDO 21'!$B$2</f>
        <v>Santa Cruz Do Rio Pardo-Franciscon &amp; Cia Ltda</v>
      </c>
      <c r="B1655" s="12" t="s">
        <v>432</v>
      </c>
      <c r="C1655" s="1">
        <f>IFERROR(VLOOKUP(1105,'PEDIDO 21'!$C$2:$E$230,3,0),0)</f>
        <v>0</v>
      </c>
      <c r="D1655" s="1">
        <f>IFERROR(VLOOKUP(1106,'PEDIDO 21'!$C$2:$E$230,3,0),0)</f>
        <v>0</v>
      </c>
      <c r="E1655" s="1">
        <f>IFERROR(VLOOKUP(1107,'PEDIDO 21'!$C$2:$E$230,3,0),0)</f>
        <v>0</v>
      </c>
      <c r="F1655" s="1">
        <f>IFERROR(VLOOKUP(1108,'PEDIDO 21'!$C$2:$E$230,3,0),0)</f>
        <v>0</v>
      </c>
      <c r="G1655" s="18">
        <f t="shared" si="40"/>
        <v>0</v>
      </c>
    </row>
    <row r="1656" spans="1:7" ht="15.75" x14ac:dyDescent="0.25">
      <c r="A1656" s="15" t="str">
        <f>'PEDIDO 21'!$B$2</f>
        <v>Santa Cruz Do Rio Pardo-Franciscon &amp; Cia Ltda</v>
      </c>
      <c r="B1656" s="12" t="s">
        <v>433</v>
      </c>
      <c r="C1656" s="1">
        <f>IFERROR(VLOOKUP(1109,'PEDIDO 21'!$C$2:$E$230,3,0),0)</f>
        <v>0</v>
      </c>
      <c r="D1656" s="1">
        <f>IFERROR(VLOOKUP(1110,'PEDIDO 21'!$C$2:$E$230,3,0),0)</f>
        <v>0</v>
      </c>
      <c r="E1656" s="1">
        <f>IFERROR(VLOOKUP(1111,'PEDIDO 21'!$C$2:$E$230,3,0),0)</f>
        <v>0</v>
      </c>
      <c r="F1656" s="1">
        <f>IFERROR(VLOOKUP(1112,'PEDIDO 21'!$C$2:$E$230,3,0),0)</f>
        <v>0</v>
      </c>
      <c r="G1656" s="18">
        <f t="shared" si="40"/>
        <v>0</v>
      </c>
    </row>
    <row r="1657" spans="1:7" ht="15.75" x14ac:dyDescent="0.25">
      <c r="A1657" s="15" t="str">
        <f>'PEDIDO 21'!$B$2</f>
        <v>Santa Cruz Do Rio Pardo-Franciscon &amp; Cia Ltda</v>
      </c>
      <c r="B1657" s="12" t="s">
        <v>434</v>
      </c>
      <c r="C1657" s="1">
        <f>IFERROR(VLOOKUP(1113,'PEDIDO 21'!$C$2:$E$230,3,0),0)</f>
        <v>0</v>
      </c>
      <c r="D1657" s="1">
        <f>IFERROR(VLOOKUP(1114,'PEDIDO 21'!$C$2:$E$230,3,0),0)</f>
        <v>0</v>
      </c>
      <c r="E1657" s="1">
        <f>IFERROR(VLOOKUP(1115,'PEDIDO 21'!$C$2:$E$230,3,0),0)</f>
        <v>0</v>
      </c>
      <c r="F1657" s="1">
        <f>IFERROR(VLOOKUP(1116,'PEDIDO 21'!$C$2:$E$230,3,0),0)</f>
        <v>0</v>
      </c>
      <c r="G1657" s="18">
        <f t="shared" si="40"/>
        <v>0</v>
      </c>
    </row>
    <row r="1658" spans="1:7" ht="15.75" x14ac:dyDescent="0.25">
      <c r="A1658" s="15" t="str">
        <f>'PEDIDO 21'!$B$2</f>
        <v>Santa Cruz Do Rio Pardo-Franciscon &amp; Cia Ltda</v>
      </c>
      <c r="B1658" s="12" t="s">
        <v>435</v>
      </c>
      <c r="C1658" s="1">
        <f>IFERROR(VLOOKUP(1117,'PEDIDO 21'!$C$2:$E$230,3,0),0)</f>
        <v>0</v>
      </c>
      <c r="D1658" s="1">
        <f>IFERROR(VLOOKUP(1118,'PEDIDO 21'!$C$2:$E$230,3,0),0)</f>
        <v>0</v>
      </c>
      <c r="E1658" s="1">
        <f>IFERROR(VLOOKUP(1119,'PEDIDO 21'!$C$2:$E$230,3,0),0)</f>
        <v>0</v>
      </c>
      <c r="F1658" s="1">
        <f>IFERROR(VLOOKUP(1120,'PEDIDO 21'!$C$2:$E$230,3,0),0)</f>
        <v>0</v>
      </c>
      <c r="G1658" s="18">
        <f t="shared" si="40"/>
        <v>0</v>
      </c>
    </row>
    <row r="1659" spans="1:7" ht="15.75" x14ac:dyDescent="0.25">
      <c r="A1659" s="15" t="str">
        <f>'PEDIDO 21'!$B$2</f>
        <v>Santa Cruz Do Rio Pardo-Franciscon &amp; Cia Ltda</v>
      </c>
      <c r="B1659" s="12" t="s">
        <v>436</v>
      </c>
      <c r="C1659" s="1">
        <f>IFERROR(VLOOKUP(1121,'PEDIDO 21'!$C$2:$E$230,3,0),0)</f>
        <v>0</v>
      </c>
      <c r="D1659" s="1">
        <f>IFERROR(VLOOKUP(1122,'PEDIDO 21'!$C$2:$E$230,3,0),0)</f>
        <v>0</v>
      </c>
      <c r="E1659" s="1">
        <f>IFERROR(VLOOKUP(1123,'PEDIDO 21'!$C$2:$E$230,3,0),0)</f>
        <v>0</v>
      </c>
      <c r="F1659" s="1">
        <f>IFERROR(VLOOKUP(1124,'PEDIDO 21'!$C$2:$E$230,3,0),0)</f>
        <v>0</v>
      </c>
      <c r="G1659" s="18">
        <f t="shared" si="40"/>
        <v>0</v>
      </c>
    </row>
    <row r="1660" spans="1:7" ht="15.75" x14ac:dyDescent="0.25">
      <c r="A1660" s="15" t="str">
        <f>'PEDIDO 21'!$B$2</f>
        <v>Santa Cruz Do Rio Pardo-Franciscon &amp; Cia Ltda</v>
      </c>
      <c r="B1660" s="12" t="s">
        <v>437</v>
      </c>
      <c r="C1660" s="1">
        <f>IFERROR(VLOOKUP(1129,'PEDIDO 21'!$C$2:$E$230,3,0),0)</f>
        <v>0</v>
      </c>
      <c r="D1660" s="1">
        <f>IFERROR(VLOOKUP(1130,'PEDIDO 21'!$C$2:$E$230,3,0),0)</f>
        <v>0</v>
      </c>
      <c r="E1660" s="1">
        <f>IFERROR(VLOOKUP(1131,'PEDIDO 21'!$C$2:$E$230,3,0),0)</f>
        <v>0</v>
      </c>
      <c r="F1660" s="1">
        <f>IFERROR(VLOOKUP(1132,'PEDIDO 21'!$C$2:$E$230,3,0),0)</f>
        <v>0</v>
      </c>
      <c r="G1660" s="18">
        <f t="shared" si="40"/>
        <v>0</v>
      </c>
    </row>
    <row r="1661" spans="1:7" ht="15.75" x14ac:dyDescent="0.25">
      <c r="A1661" s="15" t="str">
        <f>'PEDIDO 21'!$B$2</f>
        <v>Santa Cruz Do Rio Pardo-Franciscon &amp; Cia Ltda</v>
      </c>
      <c r="B1661" s="12" t="s">
        <v>438</v>
      </c>
      <c r="C1661" s="1">
        <f>IFERROR(VLOOKUP(1137,'PEDIDO 21'!$C$2:$E$230,3,0),0)</f>
        <v>0</v>
      </c>
      <c r="D1661" s="1">
        <f>IFERROR(VLOOKUP(1138,'PEDIDO 21'!$C$2:$E$230,3,0),0)</f>
        <v>0</v>
      </c>
      <c r="E1661" s="1">
        <f>IFERROR(VLOOKUP(1139,'PEDIDO 21'!$C$2:$E$230,3,0),0)</f>
        <v>0</v>
      </c>
      <c r="F1661" s="1">
        <f>IFERROR(VLOOKUP(1140,'PEDIDO 21'!$C$2:$E$230,3,0),0)</f>
        <v>0</v>
      </c>
      <c r="G1661" s="18">
        <f t="shared" si="40"/>
        <v>0</v>
      </c>
    </row>
    <row r="1662" spans="1:7" ht="15.75" x14ac:dyDescent="0.25">
      <c r="A1662" s="15" t="str">
        <f>'PEDIDO 21'!$B$2</f>
        <v>Santa Cruz Do Rio Pardo-Franciscon &amp; Cia Ltda</v>
      </c>
      <c r="B1662" s="12" t="s">
        <v>439</v>
      </c>
      <c r="C1662" s="1">
        <f>IFERROR(VLOOKUP(1141,'PEDIDO 21'!$C$2:$E$230,3,0),0)</f>
        <v>0</v>
      </c>
      <c r="D1662" s="1">
        <f>IFERROR(VLOOKUP(1142,'PEDIDO 21'!$C$2:$E$230,3,0),0)</f>
        <v>0</v>
      </c>
      <c r="E1662" s="1">
        <f>IFERROR(VLOOKUP(1143,'PEDIDO 21'!$C$2:$E$230,3,0),0)</f>
        <v>0</v>
      </c>
      <c r="F1662" s="1">
        <f>IFERROR(VLOOKUP(1144,'PEDIDO 21'!$C$2:$E$230,3,0),0)</f>
        <v>0</v>
      </c>
      <c r="G1662" s="18">
        <f t="shared" si="40"/>
        <v>0</v>
      </c>
    </row>
    <row r="1663" spans="1:7" ht="15.75" x14ac:dyDescent="0.25">
      <c r="A1663" s="15" t="str">
        <f>'PEDIDO 21'!$B$2</f>
        <v>Santa Cruz Do Rio Pardo-Franciscon &amp; Cia Ltda</v>
      </c>
      <c r="B1663" s="12" t="s">
        <v>440</v>
      </c>
      <c r="C1663" s="1">
        <f>IFERROR(VLOOKUP(1145,'PEDIDO 21'!$C$2:$E$230,3,0),0)</f>
        <v>0</v>
      </c>
      <c r="D1663" s="1">
        <f>IFERROR(VLOOKUP(1146,'PEDIDO 21'!$C$2:$E$230,3,0),0)</f>
        <v>0</v>
      </c>
      <c r="E1663" s="1">
        <f>IFERROR(VLOOKUP(1147,'PEDIDO 21'!$C$2:$E$230,3,0),0)</f>
        <v>0</v>
      </c>
      <c r="F1663" s="1">
        <f>IFERROR(VLOOKUP(1148,'PEDIDO 21'!$C$2:$E$230,3,0),0)</f>
        <v>0</v>
      </c>
      <c r="G1663" s="18">
        <f t="shared" si="40"/>
        <v>0</v>
      </c>
    </row>
    <row r="1664" spans="1:7" ht="15.75" x14ac:dyDescent="0.25">
      <c r="A1664" s="15" t="str">
        <f>'PEDIDO 21'!$B$2</f>
        <v>Santa Cruz Do Rio Pardo-Franciscon &amp; Cia Ltda</v>
      </c>
      <c r="B1664" s="12" t="s">
        <v>441</v>
      </c>
      <c r="C1664" s="1">
        <f>IFERROR(VLOOKUP(1149,'PEDIDO 21'!$C$2:$E$230,3,0),0)</f>
        <v>0</v>
      </c>
      <c r="D1664" s="1">
        <f>IFERROR(VLOOKUP(1150,'PEDIDO 21'!$C$2:$E$230,3,0),0)</f>
        <v>0</v>
      </c>
      <c r="E1664" s="1">
        <f>IFERROR(VLOOKUP(1151,'PEDIDO 21'!$C$2:$E$230,3,0),0)</f>
        <v>0</v>
      </c>
      <c r="F1664" s="1">
        <f>IFERROR(VLOOKUP(1152,'PEDIDO 21'!$C$2:$E$230,3,0),0)</f>
        <v>0</v>
      </c>
      <c r="G1664" s="18">
        <f t="shared" si="40"/>
        <v>0</v>
      </c>
    </row>
    <row r="1665" spans="1:7" ht="15.75" x14ac:dyDescent="0.25">
      <c r="A1665" s="15" t="str">
        <f>'PEDIDO 21'!$B$2</f>
        <v>Santa Cruz Do Rio Pardo-Franciscon &amp; Cia Ltda</v>
      </c>
      <c r="B1665" s="12" t="s">
        <v>442</v>
      </c>
      <c r="C1665" s="1">
        <f>IFERROR(VLOOKUP(1153,'PEDIDO 21'!$C$2:$E$230,3,0),0)</f>
        <v>0</v>
      </c>
      <c r="D1665" s="1">
        <f>IFERROR(VLOOKUP(1154,'PEDIDO 21'!$C$2:$E$230,3,0),0)</f>
        <v>0</v>
      </c>
      <c r="E1665" s="1">
        <f>IFERROR(VLOOKUP(1155,'PEDIDO 21'!$C$2:$E$230,3,0),0)</f>
        <v>0</v>
      </c>
      <c r="F1665" s="1">
        <f>IFERROR(VLOOKUP(1156,'PEDIDO 21'!$C$2:$E$230,3,0),0)</f>
        <v>0</v>
      </c>
      <c r="G1665" s="18">
        <f t="shared" si="40"/>
        <v>0</v>
      </c>
    </row>
    <row r="1666" spans="1:7" ht="15.75" x14ac:dyDescent="0.25">
      <c r="A1666" s="15" t="str">
        <f>'PEDIDO 21'!$B$2</f>
        <v>Santa Cruz Do Rio Pardo-Franciscon &amp; Cia Ltda</v>
      </c>
      <c r="B1666" s="12" t="s">
        <v>443</v>
      </c>
      <c r="C1666" s="1">
        <f>IFERROR(VLOOKUP(1157,'PEDIDO 21'!$C$2:$E$230,3,0),0)</f>
        <v>0</v>
      </c>
      <c r="D1666" s="1">
        <f>IFERROR(VLOOKUP(1158,'PEDIDO 21'!$C$2:$E$230,3,0),0)</f>
        <v>0</v>
      </c>
      <c r="E1666" s="1">
        <f>IFERROR(VLOOKUP(1159,'PEDIDO 21'!$C$2:$E$230,3,0),0)</f>
        <v>0</v>
      </c>
      <c r="F1666" s="1">
        <f>IFERROR(VLOOKUP(1160,'PEDIDO 21'!$C$2:$E$230,3,0),0)</f>
        <v>0</v>
      </c>
      <c r="G1666" s="18">
        <f t="shared" si="40"/>
        <v>0</v>
      </c>
    </row>
    <row r="1667" spans="1:7" ht="15.75" x14ac:dyDescent="0.25">
      <c r="A1667" s="15" t="str">
        <f>'PEDIDO 21'!$B$2</f>
        <v>Santa Cruz Do Rio Pardo-Franciscon &amp; Cia Ltda</v>
      </c>
      <c r="B1667" s="12" t="s">
        <v>444</v>
      </c>
      <c r="C1667" s="1">
        <f>IFERROR(VLOOKUP(1161,'PEDIDO 21'!$C$2:$E$230,3,0),0)</f>
        <v>0</v>
      </c>
      <c r="D1667" s="1">
        <f>IFERROR(VLOOKUP(1162,'PEDIDO 21'!$C$2:$E$230,3,0),0)</f>
        <v>0</v>
      </c>
      <c r="E1667" s="1">
        <f>IFERROR(VLOOKUP(1163,'PEDIDO 21'!$C$2:$E$230,3,0),0)</f>
        <v>0</v>
      </c>
      <c r="F1667" s="1">
        <f>IFERROR(VLOOKUP(1164,'PEDIDO 21'!$C$2:$E$230,3,0),0)</f>
        <v>0</v>
      </c>
      <c r="G1667" s="18">
        <f t="shared" si="40"/>
        <v>0</v>
      </c>
    </row>
    <row r="1668" spans="1:7" ht="15.75" x14ac:dyDescent="0.25">
      <c r="A1668" s="15" t="str">
        <f>'PEDIDO 21'!$B$2</f>
        <v>Santa Cruz Do Rio Pardo-Franciscon &amp; Cia Ltda</v>
      </c>
      <c r="B1668" s="12" t="s">
        <v>445</v>
      </c>
      <c r="C1668" s="1">
        <f>IFERROR(VLOOKUP(1165,'PEDIDO 21'!$C$2:$E$230,3,0),0)</f>
        <v>0</v>
      </c>
      <c r="D1668" s="1">
        <f>IFERROR(VLOOKUP(1166,'PEDIDO 21'!$C$2:$E$230,3,0),0)</f>
        <v>0</v>
      </c>
      <c r="E1668" s="1">
        <f>IFERROR(VLOOKUP(1167,'PEDIDO 21'!$C$2:$E$230,3,0),0)</f>
        <v>0</v>
      </c>
      <c r="F1668" s="1">
        <f>IFERROR(VLOOKUP(1168,'PEDIDO 21'!$C$2:$E$230,3,0),0)</f>
        <v>0</v>
      </c>
      <c r="G1668" s="18">
        <f t="shared" si="40"/>
        <v>0</v>
      </c>
    </row>
    <row r="1669" spans="1:7" ht="15.75" x14ac:dyDescent="0.25">
      <c r="A1669" s="15" t="str">
        <f>'PEDIDO 21'!$B$2</f>
        <v>Santa Cruz Do Rio Pardo-Franciscon &amp; Cia Ltda</v>
      </c>
      <c r="B1669" s="12" t="s">
        <v>446</v>
      </c>
      <c r="C1669" s="1">
        <f>IFERROR(VLOOKUP(1169,'PEDIDO 21'!$C$2:$E$230,3,0),0)</f>
        <v>0</v>
      </c>
      <c r="D1669" s="1">
        <f>IFERROR(VLOOKUP(1170,'PEDIDO 21'!$C$2:$E$230,3,0),0)</f>
        <v>0</v>
      </c>
      <c r="E1669" s="1">
        <f>IFERROR(VLOOKUP(1171,'PEDIDO 21'!$C$2:$E$230,3,0),0)</f>
        <v>0</v>
      </c>
      <c r="F1669" s="1">
        <f>IFERROR(VLOOKUP(1172,'PEDIDO 21'!$C$2:$E$230,3,0),0)</f>
        <v>0</v>
      </c>
      <c r="G1669" s="18">
        <f t="shared" si="40"/>
        <v>0</v>
      </c>
    </row>
    <row r="1670" spans="1:7" ht="15.75" x14ac:dyDescent="0.25">
      <c r="A1670" s="15" t="str">
        <f>'PEDIDO 21'!$B$2</f>
        <v>Santa Cruz Do Rio Pardo-Franciscon &amp; Cia Ltda</v>
      </c>
      <c r="B1670" s="12" t="s">
        <v>447</v>
      </c>
      <c r="C1670" s="1">
        <f>IFERROR(VLOOKUP(1173,'PEDIDO 21'!$C$2:$E$230,3,0),0)</f>
        <v>0</v>
      </c>
      <c r="D1670" s="1">
        <f>IFERROR(VLOOKUP(1174,'PEDIDO 21'!$C$2:$E$230,3,0),0)</f>
        <v>0</v>
      </c>
      <c r="E1670" s="1">
        <f>IFERROR(VLOOKUP(1175,'PEDIDO 21'!$C$2:$E$230,3,0),0)</f>
        <v>0</v>
      </c>
      <c r="F1670" s="1">
        <f>IFERROR(VLOOKUP(1176,'PEDIDO 21'!$C$2:$E$230,3,0),0)</f>
        <v>0</v>
      </c>
      <c r="G1670" s="18">
        <f t="shared" si="40"/>
        <v>0</v>
      </c>
    </row>
    <row r="1671" spans="1:7" ht="15.75" x14ac:dyDescent="0.25">
      <c r="A1671" s="15" t="str">
        <f>'PEDIDO 21'!$B$2</f>
        <v>Santa Cruz Do Rio Pardo-Franciscon &amp; Cia Ltda</v>
      </c>
      <c r="B1671" s="12" t="s">
        <v>448</v>
      </c>
      <c r="C1671" s="1">
        <f>IFERROR(VLOOKUP(1249,'PEDIDO 21'!$C$2:$E$230,3,0),0)</f>
        <v>0</v>
      </c>
      <c r="D1671" s="1">
        <f>IFERROR(VLOOKUP(1250,'PEDIDO 21'!$C$2:$E$230,3,0),0)</f>
        <v>0</v>
      </c>
      <c r="E1671" s="1">
        <f>IFERROR(VLOOKUP(1251,'PEDIDO 21'!$C$2:$E$230,3,0),0)</f>
        <v>0</v>
      </c>
      <c r="F1671" s="1">
        <f>IFERROR(VLOOKUP(1252,'PEDIDO 21'!$C$2:$E$230,3,0),0)</f>
        <v>0</v>
      </c>
      <c r="G1671" s="18">
        <f t="shared" si="40"/>
        <v>0</v>
      </c>
    </row>
    <row r="1672" spans="1:7" ht="15.75" x14ac:dyDescent="0.25">
      <c r="A1672" s="15" t="str">
        <f>'PEDIDO 21'!$B$2</f>
        <v>Santa Cruz Do Rio Pardo-Franciscon &amp; Cia Ltda</v>
      </c>
      <c r="B1672" s="12" t="s">
        <v>449</v>
      </c>
      <c r="C1672" s="1">
        <f>IFERROR(VLOOKUP(1177,'PEDIDO 21'!$C$2:$E$230,3,0),0)</f>
        <v>0</v>
      </c>
      <c r="D1672" s="1">
        <f>IFERROR(VLOOKUP(1178,'PEDIDO 21'!$C$2:$E$230,3,0),0)</f>
        <v>0</v>
      </c>
      <c r="E1672" s="1">
        <f>IFERROR(VLOOKUP(1179,'PEDIDO 21'!$C$2:$E$230,3,0),0)</f>
        <v>0</v>
      </c>
      <c r="F1672" s="1">
        <f>IFERROR(VLOOKUP(1180,'PEDIDO 21'!$C$2:$E$230,3,0),0)</f>
        <v>0</v>
      </c>
      <c r="G1672" s="18">
        <f t="shared" si="40"/>
        <v>0</v>
      </c>
    </row>
    <row r="1673" spans="1:7" ht="15.75" x14ac:dyDescent="0.25">
      <c r="A1673" s="15" t="str">
        <f>'PEDIDO 21'!$B$2</f>
        <v>Santa Cruz Do Rio Pardo-Franciscon &amp; Cia Ltda</v>
      </c>
      <c r="B1673" s="12" t="s">
        <v>450</v>
      </c>
      <c r="C1673" s="1">
        <f>IFERROR(VLOOKUP(1181,'PEDIDO 21'!$C$2:$E$230,3,0),0)</f>
        <v>0</v>
      </c>
      <c r="D1673" s="1">
        <f>IFERROR(VLOOKUP(1182,'PEDIDO 21'!$C$2:$E$230,3,0),0)</f>
        <v>0</v>
      </c>
      <c r="E1673" s="1">
        <f>IFERROR(VLOOKUP(1183,'PEDIDO 21'!$C$2:$E$230,3,0),0)</f>
        <v>0</v>
      </c>
      <c r="F1673" s="1">
        <f>IFERROR(VLOOKUP(1184,'PEDIDO 21'!$C$2:$E$230,3,0),0)</f>
        <v>0</v>
      </c>
      <c r="G1673" s="18">
        <f t="shared" si="40"/>
        <v>0</v>
      </c>
    </row>
    <row r="1674" spans="1:7" ht="15.75" x14ac:dyDescent="0.25">
      <c r="A1674" s="15" t="str">
        <f>'PEDIDO 21'!$B$2</f>
        <v>Santa Cruz Do Rio Pardo-Franciscon &amp; Cia Ltda</v>
      </c>
      <c r="B1674" s="12" t="s">
        <v>451</v>
      </c>
      <c r="C1674" s="1">
        <f>IFERROR(VLOOKUP(1185,'PEDIDO 21'!$C$2:$E$230,3,0),0)</f>
        <v>0</v>
      </c>
      <c r="D1674" s="1">
        <f>IFERROR(VLOOKUP(1186,'PEDIDO 21'!$C$2:$E$230,3,0),0)</f>
        <v>0</v>
      </c>
      <c r="E1674" s="1">
        <f>IFERROR(VLOOKUP(1187,'PEDIDO 21'!$C$2:$E$230,3,0),0)</f>
        <v>0</v>
      </c>
      <c r="F1674" s="1">
        <f>IFERROR(VLOOKUP(1188,'PEDIDO 21'!$C$2:$E$230,3,0),0)</f>
        <v>0</v>
      </c>
      <c r="G1674" s="18">
        <f t="shared" si="40"/>
        <v>0</v>
      </c>
    </row>
    <row r="1675" spans="1:7" ht="15.75" x14ac:dyDescent="0.25">
      <c r="A1675" s="15" t="str">
        <f>'PEDIDO 21'!$B$2</f>
        <v>Santa Cruz Do Rio Pardo-Franciscon &amp; Cia Ltda</v>
      </c>
      <c r="B1675" s="12" t="s">
        <v>452</v>
      </c>
      <c r="C1675" s="1">
        <f>IFERROR(VLOOKUP(1189,'PEDIDO 21'!$C$2:$E$230,3,0),0)</f>
        <v>0</v>
      </c>
      <c r="D1675" s="1">
        <f>IFERROR(VLOOKUP(1190,'PEDIDO 21'!$C$2:$E$230,3,0),0)</f>
        <v>0</v>
      </c>
      <c r="E1675" s="1">
        <f>IFERROR(VLOOKUP(1191,'PEDIDO 21'!$C$2:$E$230,3,0),0)</f>
        <v>0</v>
      </c>
      <c r="F1675" s="1">
        <f>IFERROR(VLOOKUP(1192,'PEDIDO 21'!$C$2:$E$230,3,0),0)</f>
        <v>0</v>
      </c>
      <c r="G1675" s="18">
        <f t="shared" si="40"/>
        <v>0</v>
      </c>
    </row>
    <row r="1676" spans="1:7" ht="15.75" x14ac:dyDescent="0.25">
      <c r="A1676" s="15" t="str">
        <f>'PEDIDO 21'!$B$2</f>
        <v>Santa Cruz Do Rio Pardo-Franciscon &amp; Cia Ltda</v>
      </c>
      <c r="B1676" s="12" t="s">
        <v>453</v>
      </c>
      <c r="C1676" s="1">
        <f>IFERROR(VLOOKUP(1193,'PEDIDO 21'!$C$2:$E$230,3,0),0)</f>
        <v>0</v>
      </c>
      <c r="D1676" s="1">
        <f>IFERROR(VLOOKUP(1194,'PEDIDO 21'!$C$2:$E$230,3,0),0)</f>
        <v>0</v>
      </c>
      <c r="E1676" s="1">
        <f>IFERROR(VLOOKUP(1195,'PEDIDO 21'!$C$2:$E$230,3,0),0)</f>
        <v>0</v>
      </c>
      <c r="F1676" s="1">
        <f>IFERROR(VLOOKUP(1196,'PEDIDO 21'!$C$2:$E$230,3,0),0)</f>
        <v>0</v>
      </c>
      <c r="G1676" s="18">
        <f t="shared" si="40"/>
        <v>0</v>
      </c>
    </row>
    <row r="1677" spans="1:7" ht="15.75" x14ac:dyDescent="0.25">
      <c r="A1677" s="15" t="str">
        <f>'PEDIDO 21'!$B$2</f>
        <v>Santa Cruz Do Rio Pardo-Franciscon &amp; Cia Ltda</v>
      </c>
      <c r="B1677" s="12" t="s">
        <v>454</v>
      </c>
      <c r="C1677" s="1">
        <f>IFERROR(VLOOKUP(1197,'PEDIDO 21'!$C$2:$E$230,3,0),0)</f>
        <v>0</v>
      </c>
      <c r="D1677" s="1">
        <f>IFERROR(VLOOKUP(1198,'PEDIDO 21'!$C$2:$E$230,3,0),0)</f>
        <v>0</v>
      </c>
      <c r="E1677" s="1">
        <f>IFERROR(VLOOKUP(1199,'PEDIDO 21'!$C$2:$E$230,3,0),0)</f>
        <v>0</v>
      </c>
      <c r="F1677" s="1">
        <f>IFERROR(VLOOKUP(1200,'PEDIDO 21'!$C$2:$E$230,3,0),0)</f>
        <v>0</v>
      </c>
      <c r="G1677" s="18">
        <f t="shared" si="40"/>
        <v>0</v>
      </c>
    </row>
    <row r="1678" spans="1:7" ht="15.75" x14ac:dyDescent="0.25">
      <c r="A1678" s="15" t="str">
        <f>'PEDIDO 21'!$B$2</f>
        <v>Santa Cruz Do Rio Pardo-Franciscon &amp; Cia Ltda</v>
      </c>
      <c r="B1678" s="12" t="s">
        <v>455</v>
      </c>
      <c r="C1678" s="1">
        <f>IFERROR(VLOOKUP(1201,'PEDIDO 21'!$C$2:$E$230,3,0),0)</f>
        <v>0</v>
      </c>
      <c r="D1678" s="1">
        <f>IFERROR(VLOOKUP(1202,'PEDIDO 21'!$C$2:$E$230,3,0),0)</f>
        <v>0</v>
      </c>
      <c r="E1678" s="1">
        <f>IFERROR(VLOOKUP(1203,'PEDIDO 21'!$C$2:$E$230,3,0),0)</f>
        <v>0</v>
      </c>
      <c r="F1678" s="1">
        <f>IFERROR(VLOOKUP(1204,'PEDIDO 21'!$C$2:$E$230,3,0),0)</f>
        <v>0</v>
      </c>
      <c r="G1678" s="18">
        <f t="shared" si="40"/>
        <v>0</v>
      </c>
    </row>
    <row r="1679" spans="1:7" ht="15.75" x14ac:dyDescent="0.25">
      <c r="A1679" s="15" t="str">
        <f>'PEDIDO 21'!$B$2</f>
        <v>Santa Cruz Do Rio Pardo-Franciscon &amp; Cia Ltda</v>
      </c>
      <c r="B1679" s="12" t="s">
        <v>456</v>
      </c>
      <c r="C1679" s="1">
        <f>IFERROR(VLOOKUP(1205,'PEDIDO 21'!$C$2:$E$230,3,0),0)</f>
        <v>0</v>
      </c>
      <c r="D1679" s="1">
        <f>IFERROR(VLOOKUP(1206,'PEDIDO 21'!$C$2:$E$230,3,0),0)</f>
        <v>0</v>
      </c>
      <c r="E1679" s="1">
        <f>IFERROR(VLOOKUP(1207,'PEDIDO 21'!$C$2:$E$230,3,0),0)</f>
        <v>0</v>
      </c>
      <c r="F1679" s="1">
        <f>IFERROR(VLOOKUP(1208,'PEDIDO 21'!$C$2:$E$230,3,0),0)</f>
        <v>0</v>
      </c>
      <c r="G1679" s="18">
        <f t="shared" si="40"/>
        <v>0</v>
      </c>
    </row>
    <row r="1680" spans="1:7" ht="15.75" x14ac:dyDescent="0.25">
      <c r="A1680" s="15" t="str">
        <f>'PEDIDO 21'!$B$2</f>
        <v>Santa Cruz Do Rio Pardo-Franciscon &amp; Cia Ltda</v>
      </c>
      <c r="B1680" s="12" t="s">
        <v>457</v>
      </c>
      <c r="C1680" s="1">
        <f>IFERROR(VLOOKUP(1213,'PEDIDO 21'!$C$2:$E$230,3,0),0)</f>
        <v>0</v>
      </c>
      <c r="D1680" s="1">
        <f>IFERROR(VLOOKUP(1214,'PEDIDO 21'!$C$2:$E$230,3,0),0)</f>
        <v>0</v>
      </c>
      <c r="E1680" s="1">
        <f>IFERROR(VLOOKUP(1215,'PEDIDO 21'!$C$2:$E$230,3,0),0)</f>
        <v>0</v>
      </c>
      <c r="F1680" s="10">
        <f>IFERROR(VLOOKUP(1216,'PEDIDO 21'!$C$2:$E$230,3,0),0)</f>
        <v>0</v>
      </c>
      <c r="G1680" s="18">
        <f t="shared" si="40"/>
        <v>0</v>
      </c>
    </row>
    <row r="1681" spans="1:7" ht="15.75" x14ac:dyDescent="0.25">
      <c r="A1681" s="15" t="str">
        <f>'PEDIDO 21'!$B$2</f>
        <v>Santa Cruz Do Rio Pardo-Franciscon &amp; Cia Ltda</v>
      </c>
      <c r="B1681" s="12" t="s">
        <v>458</v>
      </c>
      <c r="C1681" s="1">
        <f>IFERROR(VLOOKUP(1209,'PEDIDO 21'!$C$2:$E$230,3,0),0)</f>
        <v>0</v>
      </c>
      <c r="D1681" s="1">
        <f>IFERROR(VLOOKUP(1210,'PEDIDO 21'!$C$2:$E$230,3,0),0)</f>
        <v>0</v>
      </c>
      <c r="E1681" s="1">
        <f>IFERROR(VLOOKUP(1211,'PEDIDO 21'!$C$2:$E$230,3,0),0)</f>
        <v>0</v>
      </c>
      <c r="F1681" s="1">
        <f>IFERROR(VLOOKUP(1212,'PEDIDO 21'!$C$2:$E$230,3,0),0)</f>
        <v>0</v>
      </c>
      <c r="G1681" s="18">
        <f t="shared" si="40"/>
        <v>0</v>
      </c>
    </row>
    <row r="1682" spans="1:7" ht="15.75" x14ac:dyDescent="0.25">
      <c r="A1682" s="15" t="str">
        <f>'PEDIDO 21'!$B$2</f>
        <v>Santa Cruz Do Rio Pardo-Franciscon &amp; Cia Ltda</v>
      </c>
      <c r="B1682" s="12" t="s">
        <v>459</v>
      </c>
      <c r="C1682" s="1">
        <f>IFERROR(VLOOKUP(1217,'PEDIDO 21'!$C$2:$E$230,3,0),0)</f>
        <v>0</v>
      </c>
      <c r="D1682" s="1">
        <f>IFERROR(VLOOKUP(1218,'PEDIDO 21'!$C$2:$E$230,3,0),0)</f>
        <v>0</v>
      </c>
      <c r="E1682" s="1">
        <f>IFERROR(VLOOKUP(1219,'PEDIDO 21'!$C$2:$E$230,3,0),0)</f>
        <v>0</v>
      </c>
      <c r="F1682" s="1">
        <f>IFERROR(VLOOKUP(1220,'PEDIDO 21'!$C$2:$E$230,3,0),0)</f>
        <v>0</v>
      </c>
      <c r="G1682" s="18">
        <f t="shared" si="40"/>
        <v>0</v>
      </c>
    </row>
    <row r="1683" spans="1:7" ht="15.75" x14ac:dyDescent="0.25">
      <c r="A1683" s="15" t="str">
        <f>'PEDIDO 21'!$B$2</f>
        <v>Santa Cruz Do Rio Pardo-Franciscon &amp; Cia Ltda</v>
      </c>
      <c r="B1683" s="12" t="s">
        <v>461</v>
      </c>
      <c r="C1683" s="1">
        <f>IFERROR(VLOOKUP(1225,'PEDIDO 21'!$C$2:$E$230,3,0),0)</f>
        <v>0</v>
      </c>
      <c r="D1683" s="1">
        <f>IFERROR(VLOOKUP(1226,'PEDIDO 21'!$C$2:$E$230,3,0),0)</f>
        <v>0</v>
      </c>
      <c r="E1683" s="1">
        <f>IFERROR(VLOOKUP(1227,'PEDIDO 21'!$C$2:$E$230,3,0),0)</f>
        <v>0</v>
      </c>
      <c r="F1683" s="1">
        <f>IFERROR(VLOOKUP(1228,'PEDIDO 21'!$C$2:$E$230,3,0),0)</f>
        <v>0</v>
      </c>
      <c r="G1683" s="18">
        <f t="shared" si="40"/>
        <v>0</v>
      </c>
    </row>
    <row r="1684" spans="1:7" ht="15.75" x14ac:dyDescent="0.25">
      <c r="A1684" s="15" t="str">
        <f>'PEDIDO 21'!$B$2</f>
        <v>Santa Cruz Do Rio Pardo-Franciscon &amp; Cia Ltda</v>
      </c>
      <c r="B1684" s="12" t="s">
        <v>462</v>
      </c>
      <c r="C1684" s="1">
        <f>IFERROR(VLOOKUP(1221,'PEDIDO 21'!$C$2:$E$230,3,0),0)</f>
        <v>0</v>
      </c>
      <c r="D1684" s="1">
        <f>IFERROR(VLOOKUP(1222,'PEDIDO 21'!$C$2:$E$230,3,0),0)</f>
        <v>0</v>
      </c>
      <c r="E1684" s="1">
        <f>IFERROR(VLOOKUP(1223,'PEDIDO 21'!$C$2:$E$230,3,0),0)</f>
        <v>0</v>
      </c>
      <c r="F1684" s="1">
        <f>IFERROR(VLOOKUP(1224,'PEDIDO 21'!$C$2:$E$230,3,0),0)</f>
        <v>0</v>
      </c>
      <c r="G1684" s="18">
        <f t="shared" si="40"/>
        <v>0</v>
      </c>
    </row>
    <row r="1685" spans="1:7" ht="15.75" x14ac:dyDescent="0.25">
      <c r="A1685" s="15" t="str">
        <f>'PEDIDO 21'!$B$2</f>
        <v>Santa Cruz Do Rio Pardo-Franciscon &amp; Cia Ltda</v>
      </c>
      <c r="B1685" s="12" t="s">
        <v>460</v>
      </c>
      <c r="C1685" s="1">
        <f>IFERROR(VLOOKUP(1229,'PEDIDO 21'!$C$2:$E$230,3,0),0)</f>
        <v>0</v>
      </c>
      <c r="D1685" s="1">
        <f>IFERROR(VLOOKUP(1230,'PEDIDO 21'!$C$2:$E$230,3,0),0)</f>
        <v>0</v>
      </c>
      <c r="E1685" s="1">
        <f>IFERROR(VLOOKUP(1231,'PEDIDO 21'!$C$2:$E$230,3,0),0)</f>
        <v>0</v>
      </c>
      <c r="F1685" s="1">
        <f>IFERROR(VLOOKUP(1232,'PEDIDO 21'!$C$2:$E$230,3,0),0)</f>
        <v>0</v>
      </c>
      <c r="G1685" s="18">
        <f t="shared" si="40"/>
        <v>0</v>
      </c>
    </row>
    <row r="1686" spans="1:7" ht="15.75" x14ac:dyDescent="0.25">
      <c r="A1686" s="15" t="str">
        <f>'PEDIDO 21'!$B$2</f>
        <v>Santa Cruz Do Rio Pardo-Franciscon &amp; Cia Ltda</v>
      </c>
      <c r="B1686" s="12" t="s">
        <v>463</v>
      </c>
      <c r="C1686" s="1">
        <f>IFERROR(VLOOKUP(1233,'PEDIDO 21'!$C$2:$E$230,3,0),0)</f>
        <v>0</v>
      </c>
      <c r="D1686" s="1">
        <f>IFERROR(VLOOKUP(1234,'PEDIDO 21'!$C$2:$E$230,3,0),0)</f>
        <v>0</v>
      </c>
      <c r="E1686" s="1">
        <f>IFERROR(VLOOKUP(1235,'PEDIDO 21'!$C$2:$E$230,3,0),0)</f>
        <v>0</v>
      </c>
      <c r="F1686" s="1">
        <f>IFERROR(VLOOKUP(1236,'PEDIDO 21'!$C$2:$E$230,3,0),0)</f>
        <v>0</v>
      </c>
      <c r="G1686" s="18">
        <f t="shared" si="40"/>
        <v>0</v>
      </c>
    </row>
    <row r="1687" spans="1:7" ht="15.75" x14ac:dyDescent="0.25">
      <c r="A1687" s="15" t="str">
        <f>'PEDIDO 21'!$B$2</f>
        <v>Santa Cruz Do Rio Pardo-Franciscon &amp; Cia Ltda</v>
      </c>
      <c r="B1687" s="12" t="s">
        <v>464</v>
      </c>
      <c r="C1687" s="1">
        <f>IFERROR(VLOOKUP(1237,'PEDIDO 21'!$C$2:$E$230,3,0),0)</f>
        <v>0</v>
      </c>
      <c r="D1687" s="1">
        <f>IFERROR(VLOOKUP(1238,'PEDIDO 21'!$C$2:$E$230,3,0),0)</f>
        <v>0</v>
      </c>
      <c r="E1687" s="1">
        <f>IFERROR(VLOOKUP(1239,'PEDIDO 21'!$C$2:$E$230,3,0),0)</f>
        <v>0</v>
      </c>
      <c r="F1687" s="1">
        <f>IFERROR(VLOOKUP(1240,'PEDIDO 21'!$C$2:$E$230,3,0),0)</f>
        <v>0</v>
      </c>
      <c r="G1687" s="18">
        <f t="shared" ref="G1687:G1699" si="41">SUM(C1687+D1687+E1687+F1687)</f>
        <v>0</v>
      </c>
    </row>
    <row r="1688" spans="1:7" ht="15.75" x14ac:dyDescent="0.25">
      <c r="A1688" s="15" t="str">
        <f>'PEDIDO 21'!$B$2</f>
        <v>Santa Cruz Do Rio Pardo-Franciscon &amp; Cia Ltda</v>
      </c>
      <c r="B1688" s="12" t="s">
        <v>465</v>
      </c>
      <c r="C1688" s="1">
        <f>IFERROR(VLOOKUP(1241,'PEDIDO 21'!$C$2:$E$230,3,0),0)</f>
        <v>0</v>
      </c>
      <c r="D1688" s="1">
        <f>IFERROR(VLOOKUP(1242,'PEDIDO 21'!$C$2:$E$230,3,0),0)</f>
        <v>0</v>
      </c>
      <c r="E1688" s="1">
        <f>IFERROR(VLOOKUP(1243,'PEDIDO 21'!$C$2:$E$230,3,0),0)</f>
        <v>0</v>
      </c>
      <c r="F1688" s="1">
        <f>IFERROR(VLOOKUP(1244,'PEDIDO 21'!$C$2:$E$230,3,0),0)</f>
        <v>0</v>
      </c>
      <c r="G1688" s="18">
        <f t="shared" si="41"/>
        <v>0</v>
      </c>
    </row>
    <row r="1689" spans="1:7" ht="15.75" x14ac:dyDescent="0.25">
      <c r="A1689" s="15" t="str">
        <f>'PEDIDO 21'!$B$2</f>
        <v>Santa Cruz Do Rio Pardo-Franciscon &amp; Cia Ltda</v>
      </c>
      <c r="B1689" s="12" t="s">
        <v>466</v>
      </c>
      <c r="C1689" s="1">
        <f>IFERROR(VLOOKUP(1245,'PEDIDO 21'!$C$2:$E$230,3,0),0)</f>
        <v>0</v>
      </c>
      <c r="D1689" s="1">
        <f>IFERROR(VLOOKUP(1246,'PEDIDO 21'!$C$2:$E$230,3,0),0)</f>
        <v>0</v>
      </c>
      <c r="E1689" s="1">
        <f>IFERROR(VLOOKUP(1247,'PEDIDO 21'!$C$2:$E$230,3,0),0)</f>
        <v>0</v>
      </c>
      <c r="F1689" s="1">
        <f>IFERROR(VLOOKUP(1248,'PEDIDO 21'!$C$2:$E$230,3,0),0)</f>
        <v>0</v>
      </c>
      <c r="G1689" s="18">
        <f t="shared" si="41"/>
        <v>0</v>
      </c>
    </row>
    <row r="1690" spans="1:7" ht="15.75" x14ac:dyDescent="0.25">
      <c r="A1690" s="15" t="str">
        <f>'PEDIDO 21'!$B$2</f>
        <v>Santa Cruz Do Rio Pardo-Franciscon &amp; Cia Ltda</v>
      </c>
      <c r="B1690" s="12" t="s">
        <v>467</v>
      </c>
      <c r="C1690" s="1">
        <f>IFERROR(VLOOKUP(25714,'PEDIDO 21'!$C$2:$E$230,3,0),0)</f>
        <v>0</v>
      </c>
      <c r="D1690" s="1"/>
      <c r="E1690" s="1"/>
      <c r="F1690" s="1"/>
      <c r="G1690" s="18">
        <f t="shared" si="41"/>
        <v>0</v>
      </c>
    </row>
    <row r="1691" spans="1:7" ht="15.75" x14ac:dyDescent="0.25">
      <c r="A1691" s="15" t="str">
        <f>'PEDIDO 21'!$B$2</f>
        <v>Santa Cruz Do Rio Pardo-Franciscon &amp; Cia Ltda</v>
      </c>
      <c r="B1691" s="12" t="s">
        <v>468</v>
      </c>
      <c r="C1691" s="1">
        <f>IFERROR(VLOOKUP(25712,'PEDIDO 21'!$C$2:$E$230,3,0),0)</f>
        <v>0</v>
      </c>
      <c r="D1691" s="1"/>
      <c r="E1691" s="1"/>
      <c r="F1691" s="1"/>
      <c r="G1691" s="18">
        <f t="shared" si="41"/>
        <v>0</v>
      </c>
    </row>
    <row r="1692" spans="1:7" ht="15.75" x14ac:dyDescent="0.25">
      <c r="A1692" s="15" t="str">
        <f>'PEDIDO 21'!$B$2</f>
        <v>Santa Cruz Do Rio Pardo-Franciscon &amp; Cia Ltda</v>
      </c>
      <c r="B1692" s="12" t="s">
        <v>469</v>
      </c>
      <c r="C1692" s="1">
        <f>IFERROR(VLOOKUP(25713,'PEDIDO 21'!$C$2:$E$230,3,0),0)</f>
        <v>0</v>
      </c>
      <c r="D1692" s="1"/>
      <c r="E1692" s="1"/>
      <c r="F1692" s="1"/>
      <c r="G1692" s="18">
        <f t="shared" si="41"/>
        <v>0</v>
      </c>
    </row>
    <row r="1693" spans="1:7" ht="15.75" x14ac:dyDescent="0.25">
      <c r="A1693" s="15" t="str">
        <f>'PEDIDO 21'!$B$2</f>
        <v>Santa Cruz Do Rio Pardo-Franciscon &amp; Cia Ltda</v>
      </c>
      <c r="B1693" s="12" t="s">
        <v>470</v>
      </c>
      <c r="C1693" s="1">
        <f>IFERROR(VLOOKUP(1260,'PEDIDO 21'!$C$2:$E$230,3,0),0)</f>
        <v>0</v>
      </c>
      <c r="D1693" s="1"/>
      <c r="E1693" s="1"/>
      <c r="F1693" s="1"/>
      <c r="G1693" s="18">
        <f t="shared" si="41"/>
        <v>0</v>
      </c>
    </row>
    <row r="1694" spans="1:7" ht="15.75" x14ac:dyDescent="0.25">
      <c r="A1694" s="15" t="str">
        <f>'PEDIDO 21'!$B$2</f>
        <v>Santa Cruz Do Rio Pardo-Franciscon &amp; Cia Ltda</v>
      </c>
      <c r="B1694" s="12" t="s">
        <v>471</v>
      </c>
      <c r="C1694" s="1">
        <f>IFERROR(VLOOKUP(1261,'PEDIDO 21'!$C$2:$E$230,3,0),0)</f>
        <v>0</v>
      </c>
      <c r="D1694" s="1"/>
      <c r="E1694" s="1"/>
      <c r="F1694" s="1"/>
      <c r="G1694" s="18">
        <f t="shared" si="41"/>
        <v>0</v>
      </c>
    </row>
    <row r="1695" spans="1:7" ht="15.75" x14ac:dyDescent="0.25">
      <c r="A1695" s="15" t="str">
        <f>'PEDIDO 21'!$B$2</f>
        <v>Santa Cruz Do Rio Pardo-Franciscon &amp; Cia Ltda</v>
      </c>
      <c r="B1695" s="12" t="s">
        <v>472</v>
      </c>
      <c r="C1695" s="1">
        <f>IFERROR(VLOOKUP(1262,'PEDIDO 21'!$C$2:$E$230,3,0),0)</f>
        <v>0</v>
      </c>
      <c r="D1695" s="1"/>
      <c r="E1695" s="1"/>
      <c r="F1695" s="1"/>
      <c r="G1695" s="18">
        <f t="shared" si="41"/>
        <v>0</v>
      </c>
    </row>
    <row r="1696" spans="1:7" ht="15.75" x14ac:dyDescent="0.25">
      <c r="A1696" s="15" t="str">
        <f>'PEDIDO 21'!$B$2</f>
        <v>Santa Cruz Do Rio Pardo-Franciscon &amp; Cia Ltda</v>
      </c>
      <c r="B1696" s="12" t="s">
        <v>473</v>
      </c>
      <c r="C1696" s="1">
        <f>IFERROR(VLOOKUP(1263,'PEDIDO 21'!$C$2:$E$230,3,0),0)</f>
        <v>0</v>
      </c>
      <c r="D1696" s="1"/>
      <c r="E1696" s="1"/>
      <c r="F1696" s="1"/>
      <c r="G1696" s="18">
        <f t="shared" si="41"/>
        <v>0</v>
      </c>
    </row>
    <row r="1697" spans="1:7" ht="15.75" x14ac:dyDescent="0.25">
      <c r="A1697" s="15" t="str">
        <f>'PEDIDO 21'!$B$2</f>
        <v>Santa Cruz Do Rio Pardo-Franciscon &amp; Cia Ltda</v>
      </c>
      <c r="B1697" s="12" t="s">
        <v>474</v>
      </c>
      <c r="C1697" s="1">
        <f>IFERROR(VLOOKUP(1264,'PEDIDO 21'!$C$2:$E$230,3,0),0)</f>
        <v>0</v>
      </c>
      <c r="D1697" s="1"/>
      <c r="E1697" s="1"/>
      <c r="F1697" s="1"/>
      <c r="G1697" s="18">
        <f t="shared" si="41"/>
        <v>0</v>
      </c>
    </row>
    <row r="1698" spans="1:7" ht="15.75" x14ac:dyDescent="0.25">
      <c r="A1698" s="15" t="str">
        <f>'PEDIDO 21'!$B$2</f>
        <v>Santa Cruz Do Rio Pardo-Franciscon &amp; Cia Ltda</v>
      </c>
      <c r="B1698" s="12" t="s">
        <v>475</v>
      </c>
      <c r="C1698" s="1">
        <f>IFERROR(VLOOKUP(1265,'PEDIDO 21'!$C$2:$E$230,3,0),0)</f>
        <v>0</v>
      </c>
      <c r="D1698" s="1"/>
      <c r="E1698" s="1"/>
      <c r="F1698" s="1"/>
      <c r="G1698" s="18">
        <f t="shared" si="41"/>
        <v>0</v>
      </c>
    </row>
    <row r="1699" spans="1:7" ht="15.75" x14ac:dyDescent="0.25">
      <c r="A1699" s="15" t="str">
        <f>'PEDIDO 21'!$B$2</f>
        <v>Santa Cruz Do Rio Pardo-Franciscon &amp; Cia Ltda</v>
      </c>
      <c r="B1699" s="12" t="s">
        <v>476</v>
      </c>
      <c r="C1699" s="1">
        <f>IFERROR(VLOOKUP(1266,'PEDIDO 21'!$C$2:$E$230,3,0),0)</f>
        <v>0</v>
      </c>
      <c r="D1699" s="1"/>
      <c r="E1699" s="1"/>
      <c r="F1699" s="1"/>
      <c r="G1699" s="18">
        <f t="shared" si="41"/>
        <v>0</v>
      </c>
    </row>
    <row r="1700" spans="1:7" ht="15.75" x14ac:dyDescent="0.25">
      <c r="A1700" s="15" t="str">
        <f>'PEDIDO 21'!$B$2</f>
        <v>Santa Cruz Do Rio Pardo-Franciscon &amp; Cia Ltda</v>
      </c>
      <c r="B1700" s="12" t="s">
        <v>477</v>
      </c>
      <c r="C1700" s="1">
        <f>IFERROR(VLOOKUP(1268,'PEDIDO 21'!$C$2:$E$230,3,0),0)</f>
        <v>0</v>
      </c>
      <c r="D1700" s="1">
        <f>IFERROR(VLOOKUP(1269,'PEDIDO 21'!$C$2:$E$230,3,0),0)</f>
        <v>0</v>
      </c>
      <c r="E1700" s="1">
        <f>IFERROR(VLOOKUP(1270,'PEDIDO 21'!$C$2:$E$230,3,0),0)</f>
        <v>0</v>
      </c>
      <c r="F1700" s="1">
        <f>IFERROR(VLOOKUP(1271,'PEDIDO 21'!$C$2:$E$230,3,0),0)</f>
        <v>0</v>
      </c>
      <c r="G1700" s="18">
        <f>SUM(C1700+D1700+E1700+F1700)</f>
        <v>0</v>
      </c>
    </row>
    <row r="1703" spans="1:7" ht="15.75" x14ac:dyDescent="0.25">
      <c r="A1703" s="15" t="str">
        <f>'PEDIDO 22'!$B$2</f>
        <v>Ourinhos-Lauro Tarloto 53861124815</v>
      </c>
      <c r="B1703" s="12" t="s">
        <v>399</v>
      </c>
      <c r="C1703" s="1">
        <f>IFERROR(VLOOKUP(1,'PEDIDO 22'!$C$2:$E$230,3,0),0)</f>
        <v>0</v>
      </c>
      <c r="D1703" s="1">
        <f>IFERROR(VLOOKUP(2,'PEDIDO 22'!$C$2:$E$230,3,0),0)</f>
        <v>0</v>
      </c>
      <c r="E1703" s="1">
        <f>IFERROR(VLOOKUP(3,'PEDIDO 22'!$C$2:$E$230,3,0),0)</f>
        <v>0</v>
      </c>
      <c r="F1703" s="1">
        <f>IFERROR(VLOOKUP(282,'PEDIDO 22'!$C$2:$E$230,3,0),0)</f>
        <v>0</v>
      </c>
      <c r="G1703" s="18">
        <f>SUM(C1703+D1703+E1703+F1703)</f>
        <v>0</v>
      </c>
    </row>
    <row r="1704" spans="1:7" ht="15.75" x14ac:dyDescent="0.25">
      <c r="A1704" s="15" t="str">
        <f>'PEDIDO 22'!$B$2</f>
        <v>Ourinhos-Lauro Tarloto 53861124815</v>
      </c>
      <c r="B1704" s="12" t="s">
        <v>400</v>
      </c>
      <c r="C1704" s="1">
        <f>IFERROR(VLOOKUP(5,'PEDIDO 22'!$C$2:$E$230,3,0),0)</f>
        <v>0</v>
      </c>
      <c r="D1704" s="1">
        <f>IFERROR(VLOOKUP(6,'PEDIDO 22'!$C$2:$E$230,3,0),0)</f>
        <v>0</v>
      </c>
      <c r="E1704" s="1">
        <f>IFERROR(VLOOKUP(7,'PEDIDO 22'!$C$2:$E$230,3,0),0)</f>
        <v>0</v>
      </c>
      <c r="F1704" s="1">
        <f>IFERROR(VLOOKUP(258,'PEDIDO 22'!$C$2:$E$230,3,0),0)</f>
        <v>20</v>
      </c>
      <c r="G1704" s="18">
        <f t="shared" ref="G1704:G1767" si="42">SUM(C1704+D1704+E1704+F1704)</f>
        <v>20</v>
      </c>
    </row>
    <row r="1705" spans="1:7" ht="15.75" x14ac:dyDescent="0.25">
      <c r="A1705" s="15" t="str">
        <f>'PEDIDO 22'!$B$2</f>
        <v>Ourinhos-Lauro Tarloto 53861124815</v>
      </c>
      <c r="B1705" s="12" t="s">
        <v>401</v>
      </c>
      <c r="C1705" s="1">
        <f>IFERROR(VLOOKUP(13,'PEDIDO 22'!$C$2:$E$230,3,0),0)</f>
        <v>0</v>
      </c>
      <c r="D1705" s="1">
        <f>IFERROR(VLOOKUP(14,'PEDIDO 22'!$C$2:$E$230,3,0),0)</f>
        <v>0</v>
      </c>
      <c r="E1705" s="1">
        <f>IFERROR(VLOOKUP(15,'PEDIDO 22'!$C$2:$E$230,3,0),0)</f>
        <v>0</v>
      </c>
      <c r="F1705" s="1">
        <f>IFERROR(VLOOKUP(289,'PEDIDO 22'!$C$2:$E$230,3,0),0)</f>
        <v>0</v>
      </c>
      <c r="G1705" s="18">
        <f t="shared" si="42"/>
        <v>0</v>
      </c>
    </row>
    <row r="1706" spans="1:7" ht="15.75" x14ac:dyDescent="0.25">
      <c r="A1706" s="15" t="str">
        <f>'PEDIDO 22'!$B$2</f>
        <v>Ourinhos-Lauro Tarloto 53861124815</v>
      </c>
      <c r="B1706" s="12" t="s">
        <v>402</v>
      </c>
      <c r="C1706" s="1">
        <f>IFERROR(VLOOKUP(267,'PEDIDO 22'!$C$2:$E$230,3,0),0)</f>
        <v>0</v>
      </c>
      <c r="D1706" s="1">
        <f>IFERROR(VLOOKUP(268,'PEDIDO 22'!$C$2:$E$230,3,0),0)</f>
        <v>0</v>
      </c>
      <c r="E1706" s="1">
        <f>IFERROR(VLOOKUP(270,'PEDIDO 22'!$C$2:$E$230,3,0),0)</f>
        <v>0</v>
      </c>
      <c r="F1706" s="1">
        <f>IFERROR(VLOOKUP(269,'PEDIDO 22'!$C$2:$E$230,3,0),0)</f>
        <v>0</v>
      </c>
      <c r="G1706" s="18">
        <f t="shared" si="42"/>
        <v>0</v>
      </c>
    </row>
    <row r="1707" spans="1:7" ht="15.75" x14ac:dyDescent="0.25">
      <c r="A1707" s="15" t="str">
        <f>'PEDIDO 22'!$B$2</f>
        <v>Ourinhos-Lauro Tarloto 53861124815</v>
      </c>
      <c r="B1707" s="12" t="s">
        <v>403</v>
      </c>
      <c r="C1707" s="1">
        <f>IFERROR(VLOOKUP(17,'PEDIDO 22'!$C$2:$E$230,3,0),0)</f>
        <v>0</v>
      </c>
      <c r="D1707" s="1">
        <f>IFERROR(VLOOKUP(18,'PEDIDO 22'!$C$2:$E$230,3,0),0)</f>
        <v>0</v>
      </c>
      <c r="E1707" s="1">
        <f>IFERROR(VLOOKUP(19,'PEDIDO 22'!$C$2:$E$230,3,0),0)</f>
        <v>0</v>
      </c>
      <c r="F1707" s="1">
        <f>IFERROR(VLOOKUP(290,'PEDIDO 22'!$C$2:$E$230,3,0),0)</f>
        <v>0</v>
      </c>
      <c r="G1707" s="18">
        <f t="shared" si="42"/>
        <v>0</v>
      </c>
    </row>
    <row r="1708" spans="1:7" ht="15.75" x14ac:dyDescent="0.25">
      <c r="A1708" s="15" t="str">
        <f>'PEDIDO 22'!$B$2</f>
        <v>Ourinhos-Lauro Tarloto 53861124815</v>
      </c>
      <c r="B1708" s="12" t="s">
        <v>404</v>
      </c>
      <c r="C1708" s="1">
        <f>IFERROR(VLOOKUP(23,'PEDIDO 22'!$C$2:$E$230,3,0),0)</f>
        <v>0</v>
      </c>
      <c r="D1708" s="1">
        <f>IFERROR(VLOOKUP(24,'PEDIDO 22'!$C$2:$E$230,3,0),0)</f>
        <v>0</v>
      </c>
      <c r="E1708" s="1">
        <f>IFERROR(VLOOKUP(25,'PEDIDO 22'!$C$2:$E$230,3,0),0)</f>
        <v>0</v>
      </c>
      <c r="F1708" s="1">
        <f>IFERROR(VLOOKUP(291,'PEDIDO 22'!$C$2:$E$230,3,0),0)</f>
        <v>0</v>
      </c>
      <c r="G1708" s="18">
        <f t="shared" si="42"/>
        <v>0</v>
      </c>
    </row>
    <row r="1709" spans="1:7" ht="15.75" x14ac:dyDescent="0.25">
      <c r="A1709" s="15" t="str">
        <f>'PEDIDO 22'!$B$2</f>
        <v>Ourinhos-Lauro Tarloto 53861124815</v>
      </c>
      <c r="B1709" s="12" t="s">
        <v>405</v>
      </c>
      <c r="C1709" s="1">
        <f>IFERROR(VLOOKUP(27,'PEDIDO 22'!$C$2:$E$230,3,0),0)</f>
        <v>0</v>
      </c>
      <c r="D1709" s="1">
        <f>IFERROR(VLOOKUP(28,'PEDIDO 22'!$C$2:$E$230,3,0),0)</f>
        <v>0</v>
      </c>
      <c r="E1709" s="1">
        <f>IFERROR(VLOOKUP(29,'PEDIDO 22'!$C$2:$E$230,3,0),0)</f>
        <v>0</v>
      </c>
      <c r="F1709" s="1">
        <f>IFERROR(VLOOKUP(292,'PEDIDO 22'!$C$2:$E$230,3,0),0)</f>
        <v>0</v>
      </c>
      <c r="G1709" s="18">
        <f t="shared" si="42"/>
        <v>0</v>
      </c>
    </row>
    <row r="1710" spans="1:7" ht="15.75" x14ac:dyDescent="0.25">
      <c r="A1710" s="15" t="str">
        <f>'PEDIDO 22'!$B$2</f>
        <v>Ourinhos-Lauro Tarloto 53861124815</v>
      </c>
      <c r="B1710" s="12" t="s">
        <v>406</v>
      </c>
      <c r="C1710" s="1">
        <f>IFERROR(VLOOKUP(227,'PEDIDO 22'!$C$2:$E$230,3,0),0)</f>
        <v>0</v>
      </c>
      <c r="D1710" s="1">
        <f>IFERROR(VLOOKUP(228,'PEDIDO 22'!$C$2:$E$230,3,0),0)</f>
        <v>0</v>
      </c>
      <c r="E1710" s="1">
        <f>IFERROR(VLOOKUP(229,'PEDIDO 22'!$C$2:$E$230,3,0),0)</f>
        <v>0</v>
      </c>
      <c r="F1710" s="1">
        <f>IFERROR(VLOOKUP(230,'PEDIDO 22'!$C$2:$E$230,3,0),0)</f>
        <v>0</v>
      </c>
      <c r="G1710" s="18">
        <f t="shared" si="42"/>
        <v>0</v>
      </c>
    </row>
    <row r="1711" spans="1:7" ht="15.75" x14ac:dyDescent="0.25">
      <c r="A1711" s="15" t="str">
        <f>'PEDIDO 22'!$B$2</f>
        <v>Ourinhos-Lauro Tarloto 53861124815</v>
      </c>
      <c r="B1711" s="12" t="s">
        <v>407</v>
      </c>
      <c r="C1711" s="1">
        <f>IFERROR(VLOOKUP(231,'PEDIDO 22'!$C$2:$E$230,3,0),0)</f>
        <v>0</v>
      </c>
      <c r="D1711" s="1">
        <f>IFERROR(VLOOKUP(232,'PEDIDO 22'!$C$2:$E$230,3,0),0)</f>
        <v>0</v>
      </c>
      <c r="E1711" s="1">
        <f>IFERROR(VLOOKUP(234,'PEDIDO 22'!$C$2:$E$230,3,0),0)</f>
        <v>0</v>
      </c>
      <c r="F1711" s="1">
        <f>IFERROR(VLOOKUP(233,'PEDIDO 22'!$C$2:$E$230,3,0),0)</f>
        <v>0</v>
      </c>
      <c r="G1711" s="18">
        <f t="shared" si="42"/>
        <v>0</v>
      </c>
    </row>
    <row r="1712" spans="1:7" ht="15.75" x14ac:dyDescent="0.25">
      <c r="A1712" s="15" t="str">
        <f>'PEDIDO 22'!$B$2</f>
        <v>Ourinhos-Lauro Tarloto 53861124815</v>
      </c>
      <c r="B1712" s="12" t="s">
        <v>408</v>
      </c>
      <c r="C1712" s="1">
        <f>IFERROR(VLOOKUP(237,'PEDIDO 22'!$C$2:$E$230,3,0),0)</f>
        <v>0</v>
      </c>
      <c r="D1712" s="1">
        <f>IFERROR(VLOOKUP(238,'PEDIDO 22'!$C$2:$E$230,3,0),0)</f>
        <v>0</v>
      </c>
      <c r="E1712" s="1">
        <f>IFERROR(VLOOKUP(240,'PEDIDO 22'!$C$2:$E$230,3,0),0)</f>
        <v>0</v>
      </c>
      <c r="F1712" s="1">
        <f>IFERROR(VLOOKUP(239,'PEDIDO 22'!$C$2:$E$230,3,0),0)</f>
        <v>0</v>
      </c>
      <c r="G1712" s="18">
        <f t="shared" si="42"/>
        <v>0</v>
      </c>
    </row>
    <row r="1713" spans="1:7" ht="15.75" x14ac:dyDescent="0.25">
      <c r="A1713" s="15" t="str">
        <f>'PEDIDO 22'!$B$2</f>
        <v>Ourinhos-Lauro Tarloto 53861124815</v>
      </c>
      <c r="B1713" s="12" t="s">
        <v>409</v>
      </c>
      <c r="C1713" s="1">
        <f>IFERROR(VLOOKUP(25707,'PEDIDO 22'!$C$2:$E$230,3,0),0)</f>
        <v>0</v>
      </c>
      <c r="D1713" s="1">
        <f>IFERROR(VLOOKUP(25708,'PEDIDO 22'!$C$2:$E$230,3,0),0)</f>
        <v>0</v>
      </c>
      <c r="E1713" s="1">
        <f>IFERROR(VLOOKUP(25710,'PEDIDO 22'!$C$2:$E$230,3,0),0)</f>
        <v>0</v>
      </c>
      <c r="F1713" s="1">
        <f>IFERROR(VLOOKUP(25709,'PEDIDO 22'!$C$2:$E$230,3,0),0)</f>
        <v>0</v>
      </c>
      <c r="G1713" s="18">
        <f t="shared" si="42"/>
        <v>0</v>
      </c>
    </row>
    <row r="1714" spans="1:7" ht="15.75" x14ac:dyDescent="0.25">
      <c r="A1714" s="15" t="str">
        <f>'PEDIDO 22'!$B$2</f>
        <v>Ourinhos-Lauro Tarloto 53861124815</v>
      </c>
      <c r="B1714" s="12" t="s">
        <v>410</v>
      </c>
      <c r="C1714" s="1">
        <f>IFERROR(VLOOKUP(25711,'PEDIDO 22'!$C$2:$E$230,3,0),0)</f>
        <v>0</v>
      </c>
      <c r="D1714" s="1"/>
      <c r="E1714" s="1"/>
      <c r="F1714" s="1"/>
      <c r="G1714" s="18">
        <f t="shared" si="42"/>
        <v>0</v>
      </c>
    </row>
    <row r="1715" spans="1:7" ht="15.75" x14ac:dyDescent="0.25">
      <c r="A1715" s="15" t="str">
        <f>'PEDIDO 22'!$B$2</f>
        <v>Ourinhos-Lauro Tarloto 53861124815</v>
      </c>
      <c r="B1715" s="12" t="s">
        <v>411</v>
      </c>
      <c r="C1715" s="1">
        <f>IFERROR(VLOOKUP(35,'PEDIDO 22'!$C$2:$E$230,3,0),0)</f>
        <v>0</v>
      </c>
      <c r="D1715" s="1">
        <f>IFERROR(VLOOKUP(36,'PEDIDO 22'!$C$2:$E$230,3,0),0)</f>
        <v>0</v>
      </c>
      <c r="E1715" s="1">
        <f>IFERROR(VLOOKUP(37,'PEDIDO 22'!$C$2:$E$230,3,0),0)</f>
        <v>0</v>
      </c>
      <c r="F1715" s="1">
        <f>IFERROR(VLOOKUP(294,'PEDIDO 22'!$C$2:$E$230,3,0),0)</f>
        <v>0</v>
      </c>
      <c r="G1715" s="18">
        <f t="shared" si="42"/>
        <v>0</v>
      </c>
    </row>
    <row r="1716" spans="1:7" ht="15.75" x14ac:dyDescent="0.25">
      <c r="A1716" s="15" t="str">
        <f>'PEDIDO 22'!$B$2</f>
        <v>Ourinhos-Lauro Tarloto 53861124815</v>
      </c>
      <c r="B1716" s="12" t="s">
        <v>412</v>
      </c>
      <c r="C1716" s="1">
        <f>IFERROR(VLOOKUP(39,'PEDIDO 22'!$C$2:$E$230,3,0),0)</f>
        <v>0</v>
      </c>
      <c r="D1716" s="1">
        <f>IFERROR(VLOOKUP(40,'PEDIDO 22'!$C$2:$E$230,3,0),0)</f>
        <v>0</v>
      </c>
      <c r="E1716" s="1">
        <f>IFERROR(VLOOKUP(42,'PEDIDO 22'!$C$2:$E$230,3,0),0)</f>
        <v>0</v>
      </c>
      <c r="F1716" s="1">
        <f>IFERROR(VLOOKUP(295,'PEDIDO 22'!$C$2:$E$230,3,0),0)</f>
        <v>0</v>
      </c>
      <c r="G1716" s="18">
        <f t="shared" si="42"/>
        <v>0</v>
      </c>
    </row>
    <row r="1717" spans="1:7" ht="15.75" x14ac:dyDescent="0.25">
      <c r="A1717" s="15" t="str">
        <f>'PEDIDO 22'!$B$2</f>
        <v>Ourinhos-Lauro Tarloto 53861124815</v>
      </c>
      <c r="B1717" s="12" t="s">
        <v>413</v>
      </c>
      <c r="C1717" s="1">
        <f>IFERROR(VLOOKUP(44,'PEDIDO 22'!$C$2:$E$230,3,0),0)</f>
        <v>0</v>
      </c>
      <c r="D1717" s="1">
        <f>IFERROR(VLOOKUP(45,'PEDIDO 22'!$C$2:$E$230,3,0),0)</f>
        <v>0</v>
      </c>
      <c r="E1717" s="1">
        <f>IFERROR(VLOOKUP(46,'PEDIDO 22'!$C$2:$E$230,3,0),0)</f>
        <v>0</v>
      </c>
      <c r="F1717" s="1">
        <f>IFERROR(VLOOKUP(283,'PEDIDO 22'!$C$2:$E$230,3,0),0)</f>
        <v>0</v>
      </c>
      <c r="G1717" s="18">
        <f t="shared" si="42"/>
        <v>0</v>
      </c>
    </row>
    <row r="1718" spans="1:7" ht="15.75" x14ac:dyDescent="0.25">
      <c r="A1718" s="15" t="str">
        <f>'PEDIDO 22'!$B$2</f>
        <v>Ourinhos-Lauro Tarloto 53861124815</v>
      </c>
      <c r="B1718" s="12" t="s">
        <v>414</v>
      </c>
      <c r="C1718" s="1">
        <f>IFERROR(VLOOKUP(48,'PEDIDO 22'!$C$2:$E$230,3,0),0)</f>
        <v>0</v>
      </c>
      <c r="D1718" s="1">
        <f>IFERROR(VLOOKUP(49,'PEDIDO 22'!$C$2:$E$230,3,0),0)</f>
        <v>0</v>
      </c>
      <c r="E1718" s="1">
        <f>IFERROR(VLOOKUP(50,'PEDIDO 22'!$C$2:$E$230,3,0),0)</f>
        <v>0</v>
      </c>
      <c r="F1718" s="1">
        <f>IFERROR(VLOOKUP(298,'PEDIDO 22'!$C$2:$E$230,3,0),0)</f>
        <v>0</v>
      </c>
      <c r="G1718" s="18">
        <f t="shared" si="42"/>
        <v>0</v>
      </c>
    </row>
    <row r="1719" spans="1:7" ht="15.75" x14ac:dyDescent="0.25">
      <c r="A1719" s="15" t="str">
        <f>'PEDIDO 22'!$B$2</f>
        <v>Ourinhos-Lauro Tarloto 53861124815</v>
      </c>
      <c r="B1719" s="12" t="s">
        <v>415</v>
      </c>
      <c r="C1719" s="1">
        <f>IFERROR(VLOOKUP(52,'PEDIDO 22'!$C$2:$E$230,3,0),0)</f>
        <v>0</v>
      </c>
      <c r="D1719" s="1">
        <f>IFERROR(VLOOKUP(53,'PEDIDO 22'!$C$2:$E$230,3,0),0)</f>
        <v>0</v>
      </c>
      <c r="E1719" s="1">
        <f>IFERROR(VLOOKUP(54,'PEDIDO 22'!$C$2:$E$230,3,0),0)</f>
        <v>0</v>
      </c>
      <c r="F1719" s="1">
        <f>IFERROR(VLOOKUP(299,'PEDIDO 22'!$C$2:$E$230,3,0),0)</f>
        <v>0</v>
      </c>
      <c r="G1719" s="18">
        <f t="shared" si="42"/>
        <v>0</v>
      </c>
    </row>
    <row r="1720" spans="1:7" ht="15.75" x14ac:dyDescent="0.25">
      <c r="A1720" s="15" t="str">
        <f>'PEDIDO 22'!$B$2</f>
        <v>Ourinhos-Lauro Tarloto 53861124815</v>
      </c>
      <c r="B1720" s="12" t="s">
        <v>416</v>
      </c>
      <c r="C1720" s="1">
        <f>IFERROR(VLOOKUP(56,'PEDIDO 22'!$C$2:$E$230,3,0),0)</f>
        <v>0</v>
      </c>
      <c r="D1720" s="1">
        <f>IFERROR(VLOOKUP(61,'PEDIDO 22'!$C$2:$E$230,3,0),0)</f>
        <v>0</v>
      </c>
      <c r="E1720" s="1">
        <f>IFERROR(VLOOKUP(58,'PEDIDO 22'!$C$2:$E$230,3,0),0)</f>
        <v>0</v>
      </c>
      <c r="F1720" s="1">
        <f>IFERROR(VLOOKUP(300,'PEDIDO 22'!$C$2:$E$230,3,0),0)</f>
        <v>0</v>
      </c>
      <c r="G1720" s="18">
        <f t="shared" si="42"/>
        <v>0</v>
      </c>
    </row>
    <row r="1721" spans="1:7" ht="15.75" x14ac:dyDescent="0.25">
      <c r="A1721" s="15" t="str">
        <f>'PEDIDO 22'!$B$2</f>
        <v>Ourinhos-Lauro Tarloto 53861124815</v>
      </c>
      <c r="B1721" s="12" t="s">
        <v>417</v>
      </c>
      <c r="C1721" s="1">
        <f>IFERROR(VLOOKUP(60,'PEDIDO 22'!$C$2:$E$230,3,0),0)</f>
        <v>0</v>
      </c>
      <c r="D1721" s="1">
        <f>IFERROR(VLOOKUP(120,'PEDIDO 22'!$C$2:$E$230,3,0),0)</f>
        <v>0</v>
      </c>
      <c r="E1721" s="1">
        <f>IFERROR(VLOOKUP(62,'PEDIDO 22'!$C$2:$E$230,3,0),0)</f>
        <v>0</v>
      </c>
      <c r="F1721" s="1">
        <f>IFERROR(VLOOKUP(301,'PEDIDO 22'!$C$2:$E$230,3,0),0)</f>
        <v>0</v>
      </c>
      <c r="G1721" s="18">
        <f t="shared" si="42"/>
        <v>0</v>
      </c>
    </row>
    <row r="1722" spans="1:7" ht="15.75" x14ac:dyDescent="0.25">
      <c r="A1722" s="15" t="str">
        <f>'PEDIDO 22'!$B$2</f>
        <v>Ourinhos-Lauro Tarloto 53861124815</v>
      </c>
      <c r="B1722" s="12" t="s">
        <v>426</v>
      </c>
      <c r="C1722" s="1">
        <f>IFERROR(VLOOKUP(112,'PEDIDO 22'!$C$2:$E$230,3,0),0)</f>
        <v>0</v>
      </c>
      <c r="D1722" s="1">
        <f>IFERROR(VLOOKUP(113,'PEDIDO 22'!$C$2:$E$230,3,0),0)</f>
        <v>0</v>
      </c>
      <c r="E1722" s="1">
        <f>IFERROR(VLOOKUP(114,'PEDIDO 22'!$C$2:$E$230,3,0),0)</f>
        <v>0</v>
      </c>
      <c r="F1722" s="1">
        <f>IFERROR(VLOOKUP(296,'PEDIDO 22'!$C$2:$E$230,3,0),0)</f>
        <v>0</v>
      </c>
      <c r="G1722" s="18">
        <f t="shared" si="42"/>
        <v>0</v>
      </c>
    </row>
    <row r="1723" spans="1:7" ht="15.75" x14ac:dyDescent="0.25">
      <c r="A1723" s="15" t="str">
        <f>'PEDIDO 22'!$B$2</f>
        <v>Ourinhos-Lauro Tarloto 53861124815</v>
      </c>
      <c r="B1723" s="12" t="s">
        <v>427</v>
      </c>
      <c r="C1723" s="1">
        <f>IFERROR(VLOOKUP(116,'PEDIDO 22'!$C$2:$E$230,3,0),0)</f>
        <v>0</v>
      </c>
      <c r="D1723" s="1">
        <f>IFERROR(VLOOKUP(117,'PEDIDO 22'!$C$2:$E$230,3,0),0)</f>
        <v>0</v>
      </c>
      <c r="E1723" s="1">
        <f>IFERROR(VLOOKUP(118,'PEDIDO 22'!$C$2:$E$230,3,0),0)</f>
        <v>0</v>
      </c>
      <c r="F1723" s="1">
        <f>IFERROR(VLOOKUP(293,'PEDIDO 22'!$C$2:$E$230,3,0),0)</f>
        <v>0</v>
      </c>
      <c r="G1723" s="18">
        <f t="shared" si="42"/>
        <v>0</v>
      </c>
    </row>
    <row r="1724" spans="1:7" ht="15.75" x14ac:dyDescent="0.25">
      <c r="A1724" s="15" t="str">
        <f>'PEDIDO 22'!$B$2</f>
        <v>Ourinhos-Lauro Tarloto 53861124815</v>
      </c>
      <c r="B1724" s="12" t="s">
        <v>418</v>
      </c>
      <c r="C1724" s="1">
        <f>IFERROR(VLOOKUP(963,'PEDIDO 22'!$C$2:$E$230,3,0),0)</f>
        <v>0</v>
      </c>
      <c r="D1724" s="1">
        <f>IFERROR(VLOOKUP(965,'PEDIDO 22'!$C$2:$E$230,3,0),0)</f>
        <v>0</v>
      </c>
      <c r="E1724" s="1">
        <f>IFERROR(VLOOKUP(966,'PEDIDO 22'!$C$2:$E$230,3,0),0)</f>
        <v>0</v>
      </c>
      <c r="F1724" s="1">
        <f>IFERROR(VLOOKUP(964,'PEDIDO 22'!$C$2:$E$230,3,0),0)</f>
        <v>0</v>
      </c>
      <c r="G1724" s="18">
        <f t="shared" si="42"/>
        <v>0</v>
      </c>
    </row>
    <row r="1725" spans="1:7" ht="15.75" x14ac:dyDescent="0.25">
      <c r="A1725" s="15" t="str">
        <f>'PEDIDO 22'!$B$2</f>
        <v>Ourinhos-Lauro Tarloto 53861124815</v>
      </c>
      <c r="B1725" s="12" t="s">
        <v>419</v>
      </c>
      <c r="C1725" s="1">
        <f>IFERROR(VLOOKUP(2042,'PEDIDO 22'!$C$2:$E$230,3,0),0)</f>
        <v>0</v>
      </c>
      <c r="D1725" s="1">
        <f>IFERROR(VLOOKUP(2041,'PEDIDO 22'!$C$2:$E$230,3,0),0)</f>
        <v>0</v>
      </c>
      <c r="E1725" s="1">
        <f>IFERROR(VLOOKUP(2043,'PEDIDO 22'!$C$2:$E$230,3,0),0)</f>
        <v>0</v>
      </c>
      <c r="F1725" s="1">
        <f>IFERROR(VLOOKUP(2040,'PEDIDO 22'!$C$2:$E$230,3,0),0)</f>
        <v>0</v>
      </c>
      <c r="G1725" s="18">
        <f t="shared" si="42"/>
        <v>0</v>
      </c>
    </row>
    <row r="1726" spans="1:7" ht="15.75" x14ac:dyDescent="0.25">
      <c r="A1726" s="15" t="str">
        <f>'PEDIDO 22'!$B$2</f>
        <v>Ourinhos-Lauro Tarloto 53861124815</v>
      </c>
      <c r="B1726" s="12" t="s">
        <v>420</v>
      </c>
      <c r="C1726" s="1">
        <f>IFERROR(VLOOKUP(2045,'PEDIDO 22'!$C$2:$E$230,3,0),0)</f>
        <v>0</v>
      </c>
      <c r="D1726" s="1">
        <f>IFERROR(VLOOKUP(2046,'PEDIDO 22'!$C$2:$E$230,3,0),0)</f>
        <v>0</v>
      </c>
      <c r="E1726" s="1">
        <f>IFERROR(VLOOKUP(2047,'PEDIDO 22'!$C$2:$E$230,3,0),0)</f>
        <v>0</v>
      </c>
      <c r="F1726" s="1">
        <f>IFERROR(VLOOKUP(2048,'PEDIDO 22'!$C$2:$E$230,3,0),0)</f>
        <v>0</v>
      </c>
      <c r="G1726" s="18">
        <f t="shared" si="42"/>
        <v>0</v>
      </c>
    </row>
    <row r="1727" spans="1:7" ht="15.75" x14ac:dyDescent="0.25">
      <c r="A1727" s="15" t="str">
        <f>'PEDIDO 22'!$B$2</f>
        <v>Ourinhos-Lauro Tarloto 53861124815</v>
      </c>
      <c r="B1727" s="12" t="s">
        <v>421</v>
      </c>
      <c r="C1727" s="1">
        <f>IFERROR(VLOOKUP(2050,'PEDIDO 22'!$C$2:$E$230,3,0),0)</f>
        <v>0</v>
      </c>
      <c r="D1727" s="1">
        <f>IFERROR(VLOOKUP(2051,'PEDIDO 22'!$C$2:$E$230,3,0),0)</f>
        <v>0</v>
      </c>
      <c r="E1727" s="1">
        <f>IFERROR(VLOOKUP(2052,'PEDIDO 22'!$C$2:$E$230,3,0),0)</f>
        <v>0</v>
      </c>
      <c r="F1727" s="1">
        <f>IFERROR(VLOOKUP(2053,'PEDIDO 22'!$C$2:$E$230,3,0),0)</f>
        <v>0</v>
      </c>
      <c r="G1727" s="18">
        <f t="shared" si="42"/>
        <v>0</v>
      </c>
    </row>
    <row r="1728" spans="1:7" ht="15.75" x14ac:dyDescent="0.25">
      <c r="A1728" s="15" t="str">
        <f>'PEDIDO 22'!$B$2</f>
        <v>Ourinhos-Lauro Tarloto 53861124815</v>
      </c>
      <c r="B1728" s="12" t="s">
        <v>422</v>
      </c>
      <c r="C1728" s="1">
        <f>IFERROR(VLOOKUP(216,'PEDIDO 22'!$C$2:$E$230,3,0),0)</f>
        <v>0</v>
      </c>
      <c r="D1728" s="1">
        <f>IFERROR(VLOOKUP(217,'PEDIDO 22'!$C$2:$E$230,3,0),0)</f>
        <v>0</v>
      </c>
      <c r="E1728" s="1">
        <f>IFERROR(VLOOKUP(218,'PEDIDO 22'!$C$2:$E$230,3,0),0)</f>
        <v>0</v>
      </c>
      <c r="F1728" s="1">
        <f>IFERROR(VLOOKUP(305,'PEDIDO 22'!$C$2:$E$230,3,0),0)</f>
        <v>0</v>
      </c>
      <c r="G1728" s="18">
        <f t="shared" si="42"/>
        <v>0</v>
      </c>
    </row>
    <row r="1729" spans="1:7" ht="15.75" x14ac:dyDescent="0.25">
      <c r="A1729" s="15" t="str">
        <f>'PEDIDO 22'!$B$2</f>
        <v>Ourinhos-Lauro Tarloto 53861124815</v>
      </c>
      <c r="B1729" s="12" t="s">
        <v>423</v>
      </c>
      <c r="C1729" s="1">
        <f>IFERROR(VLOOKUP(100,'PEDIDO 22'!$C$2:$E$230,3,0),0)</f>
        <v>0</v>
      </c>
      <c r="D1729" s="1">
        <f>IFERROR(VLOOKUP(101,'PEDIDO 22'!$C$2:$E$230,3,0),0)</f>
        <v>0</v>
      </c>
      <c r="E1729" s="1">
        <f>IFERROR(VLOOKUP(102,'PEDIDO 22'!$C$2:$E$230,3,0),0)</f>
        <v>0</v>
      </c>
      <c r="F1729" s="1">
        <f>IFERROR(VLOOKUP(306,'PEDIDO 22'!$C$2:$E$230,3,0),0)</f>
        <v>0</v>
      </c>
      <c r="G1729" s="18">
        <f t="shared" si="42"/>
        <v>0</v>
      </c>
    </row>
    <row r="1730" spans="1:7" ht="15.75" x14ac:dyDescent="0.25">
      <c r="A1730" s="15" t="str">
        <f>'PEDIDO 22'!$B$2</f>
        <v>Ourinhos-Lauro Tarloto 53861124815</v>
      </c>
      <c r="B1730" s="12" t="s">
        <v>424</v>
      </c>
      <c r="C1730" s="1">
        <f>IFERROR(VLOOKUP(104,'PEDIDO 22'!$C$2:$E$230,3,0),0)</f>
        <v>0</v>
      </c>
      <c r="D1730" s="1">
        <f>IFERROR(VLOOKUP(105,'PEDIDO 22'!$C$2:$E$230,3,0),0)</f>
        <v>0</v>
      </c>
      <c r="E1730" s="1">
        <f>IFERROR(VLOOKUP(106,'PEDIDO 22'!$C$2:$E$230,3,0),0)</f>
        <v>0</v>
      </c>
      <c r="F1730" s="1">
        <f>IFERROR(VLOOKUP(307,'PEDIDO 22'!$C$2:$E$230,3,0),0)</f>
        <v>0</v>
      </c>
      <c r="G1730" s="18">
        <f t="shared" si="42"/>
        <v>0</v>
      </c>
    </row>
    <row r="1731" spans="1:7" ht="15.75" x14ac:dyDescent="0.25">
      <c r="A1731" s="15" t="str">
        <f>'PEDIDO 22'!$B$2</f>
        <v>Ourinhos-Lauro Tarloto 53861124815</v>
      </c>
      <c r="B1731" s="12" t="s">
        <v>425</v>
      </c>
      <c r="C1731" s="1">
        <f>IFERROR(VLOOKUP(400,'PEDIDO 22'!$C$2:$E$230,3,0),0)</f>
        <v>0</v>
      </c>
      <c r="D1731" s="1">
        <f>IFERROR(VLOOKUP(401,'PEDIDO 22'!$C$2:$E$230,3,0),0)</f>
        <v>0</v>
      </c>
      <c r="E1731" s="1">
        <f>IFERROR(VLOOKUP(402,'PEDIDO 22'!$C$2:$E$230,3,0),0)</f>
        <v>0</v>
      </c>
      <c r="F1731" s="1">
        <f>IFERROR(VLOOKUP(403,'PEDIDO 22'!$C$2:$E$230,3,0),0)</f>
        <v>0</v>
      </c>
      <c r="G1731" s="18">
        <f t="shared" si="42"/>
        <v>0</v>
      </c>
    </row>
    <row r="1732" spans="1:7" ht="15.75" x14ac:dyDescent="0.25">
      <c r="A1732" s="15" t="str">
        <f>'PEDIDO 22'!$B$2</f>
        <v>Ourinhos-Lauro Tarloto 53861124815</v>
      </c>
      <c r="B1732" s="12" t="s">
        <v>428</v>
      </c>
      <c r="C1732" s="1">
        <f>IFERROR(VLOOKUP(22,'PEDIDO 22'!$C$2:$E$230,3,0),0)</f>
        <v>0</v>
      </c>
      <c r="D1732" s="1"/>
      <c r="E1732" s="1"/>
      <c r="F1732" s="1"/>
      <c r="G1732" s="18">
        <f t="shared" si="42"/>
        <v>0</v>
      </c>
    </row>
    <row r="1733" spans="1:7" ht="15.75" x14ac:dyDescent="0.25">
      <c r="A1733" s="15" t="str">
        <f>'PEDIDO 22'!$B$2</f>
        <v>Ourinhos-Lauro Tarloto 53861124815</v>
      </c>
      <c r="B1733" s="12" t="s">
        <v>429</v>
      </c>
      <c r="C1733" s="1">
        <f>IFERROR(VLOOKUP(21,'PEDIDO 22'!$C$2:$E$230,3,0),0)</f>
        <v>0</v>
      </c>
      <c r="D1733" s="1"/>
      <c r="E1733" s="1"/>
      <c r="F1733" s="1"/>
      <c r="G1733" s="18">
        <f t="shared" si="42"/>
        <v>0</v>
      </c>
    </row>
    <row r="1734" spans="1:7" ht="15.75" x14ac:dyDescent="0.25">
      <c r="A1734" s="15" t="str">
        <f>'PEDIDO 22'!$B$2</f>
        <v>Ourinhos-Lauro Tarloto 53861124815</v>
      </c>
      <c r="B1734" s="12" t="s">
        <v>430</v>
      </c>
      <c r="C1734" s="1">
        <f>IFERROR(VLOOKUP(1125,'PEDIDO 22'!$C$2:$E$230,3,0),0)</f>
        <v>0</v>
      </c>
      <c r="D1734" s="1">
        <f>IFERROR(VLOOKUP(1126,'PEDIDO 22'!$C$2:$E$230,3,0),0)</f>
        <v>0</v>
      </c>
      <c r="E1734" s="1">
        <f>IFERROR(VLOOKUP(1127,'PEDIDO 22'!$C$2:$E$230,3,0),0)</f>
        <v>0</v>
      </c>
      <c r="F1734" s="1">
        <f>IFERROR(VLOOKUP(1128,'PEDIDO 22'!$C$2:$E$230,3,0),0)</f>
        <v>0</v>
      </c>
      <c r="G1734" s="18">
        <f t="shared" si="42"/>
        <v>0</v>
      </c>
    </row>
    <row r="1735" spans="1:7" ht="15.75" x14ac:dyDescent="0.25">
      <c r="A1735" s="15" t="str">
        <f>'PEDIDO 22'!$B$2</f>
        <v>Ourinhos-Lauro Tarloto 53861124815</v>
      </c>
      <c r="B1735" s="12" t="s">
        <v>431</v>
      </c>
      <c r="C1735" s="1">
        <f>IFERROR(VLOOKUP(1133,'PEDIDO 22'!$C$2:$E$230,3,0),0)</f>
        <v>0</v>
      </c>
      <c r="D1735" s="1">
        <f>IFERROR(VLOOKUP(1134,'PEDIDO 22'!$C$2:$E$230,3,0),0)</f>
        <v>0</v>
      </c>
      <c r="E1735" s="1">
        <f>IFERROR(VLOOKUP(1135,'PEDIDO 22'!$C$2:$E$230,3,0),0)</f>
        <v>0</v>
      </c>
      <c r="F1735" s="1">
        <f>IFERROR(VLOOKUP(1136,'PEDIDO 22'!$C$2:$E$230,3,0),0)</f>
        <v>0</v>
      </c>
      <c r="G1735" s="18">
        <f t="shared" si="42"/>
        <v>0</v>
      </c>
    </row>
    <row r="1736" spans="1:7" ht="15.75" x14ac:dyDescent="0.25">
      <c r="A1736" s="15" t="str">
        <f>'PEDIDO 22'!$B$2</f>
        <v>Ourinhos-Lauro Tarloto 53861124815</v>
      </c>
      <c r="B1736" s="12" t="s">
        <v>432</v>
      </c>
      <c r="C1736" s="1">
        <f>IFERROR(VLOOKUP(1105,'PEDIDO 22'!$C$2:$E$230,3,0),0)</f>
        <v>0</v>
      </c>
      <c r="D1736" s="1">
        <f>IFERROR(VLOOKUP(1106,'PEDIDO 22'!$C$2:$E$230,3,0),0)</f>
        <v>0</v>
      </c>
      <c r="E1736" s="1">
        <f>IFERROR(VLOOKUP(1107,'PEDIDO 22'!$C$2:$E$230,3,0),0)</f>
        <v>0</v>
      </c>
      <c r="F1736" s="1">
        <f>IFERROR(VLOOKUP(1108,'PEDIDO 22'!$C$2:$E$230,3,0),0)</f>
        <v>0</v>
      </c>
      <c r="G1736" s="18">
        <f t="shared" si="42"/>
        <v>0</v>
      </c>
    </row>
    <row r="1737" spans="1:7" ht="15.75" x14ac:dyDescent="0.25">
      <c r="A1737" s="15" t="str">
        <f>'PEDIDO 22'!$B$2</f>
        <v>Ourinhos-Lauro Tarloto 53861124815</v>
      </c>
      <c r="B1737" s="12" t="s">
        <v>433</v>
      </c>
      <c r="C1737" s="1">
        <f>IFERROR(VLOOKUP(1109,'PEDIDO 22'!$C$2:$E$230,3,0),0)</f>
        <v>0</v>
      </c>
      <c r="D1737" s="1">
        <f>IFERROR(VLOOKUP(1110,'PEDIDO 22'!$C$2:$E$230,3,0),0)</f>
        <v>0</v>
      </c>
      <c r="E1737" s="1">
        <f>IFERROR(VLOOKUP(1111,'PEDIDO 22'!$C$2:$E$230,3,0),0)</f>
        <v>0</v>
      </c>
      <c r="F1737" s="1">
        <f>IFERROR(VLOOKUP(1112,'PEDIDO 22'!$C$2:$E$230,3,0),0)</f>
        <v>0</v>
      </c>
      <c r="G1737" s="18">
        <f t="shared" si="42"/>
        <v>0</v>
      </c>
    </row>
    <row r="1738" spans="1:7" ht="15.75" x14ac:dyDescent="0.25">
      <c r="A1738" s="15" t="str">
        <f>'PEDIDO 22'!$B$2</f>
        <v>Ourinhos-Lauro Tarloto 53861124815</v>
      </c>
      <c r="B1738" s="12" t="s">
        <v>434</v>
      </c>
      <c r="C1738" s="1">
        <f>IFERROR(VLOOKUP(1113,'PEDIDO 22'!$C$2:$E$230,3,0),0)</f>
        <v>0</v>
      </c>
      <c r="D1738" s="1">
        <f>IFERROR(VLOOKUP(1114,'PEDIDO 22'!$C$2:$E$230,3,0),0)</f>
        <v>0</v>
      </c>
      <c r="E1738" s="1">
        <f>IFERROR(VLOOKUP(1115,'PEDIDO 22'!$C$2:$E$230,3,0),0)</f>
        <v>0</v>
      </c>
      <c r="F1738" s="1">
        <f>IFERROR(VLOOKUP(1116,'PEDIDO 22'!$C$2:$E$230,3,0),0)</f>
        <v>0</v>
      </c>
      <c r="G1738" s="18">
        <f t="shared" si="42"/>
        <v>0</v>
      </c>
    </row>
    <row r="1739" spans="1:7" ht="15.75" x14ac:dyDescent="0.25">
      <c r="A1739" s="15" t="str">
        <f>'PEDIDO 22'!$B$2</f>
        <v>Ourinhos-Lauro Tarloto 53861124815</v>
      </c>
      <c r="B1739" s="12" t="s">
        <v>435</v>
      </c>
      <c r="C1739" s="1">
        <f>IFERROR(VLOOKUP(1117,'PEDIDO 22'!$C$2:$E$230,3,0),0)</f>
        <v>0</v>
      </c>
      <c r="D1739" s="1">
        <f>IFERROR(VLOOKUP(1118,'PEDIDO 22'!$C$2:$E$230,3,0),0)</f>
        <v>0</v>
      </c>
      <c r="E1739" s="1">
        <f>IFERROR(VLOOKUP(1119,'PEDIDO 22'!$C$2:$E$230,3,0),0)</f>
        <v>0</v>
      </c>
      <c r="F1739" s="1">
        <f>IFERROR(VLOOKUP(1120,'PEDIDO 22'!$C$2:$E$230,3,0),0)</f>
        <v>0</v>
      </c>
      <c r="G1739" s="18">
        <f t="shared" si="42"/>
        <v>0</v>
      </c>
    </row>
    <row r="1740" spans="1:7" ht="15.75" x14ac:dyDescent="0.25">
      <c r="A1740" s="15" t="str">
        <f>'PEDIDO 22'!$B$2</f>
        <v>Ourinhos-Lauro Tarloto 53861124815</v>
      </c>
      <c r="B1740" s="12" t="s">
        <v>436</v>
      </c>
      <c r="C1740" s="1">
        <f>IFERROR(VLOOKUP(1121,'PEDIDO 22'!$C$2:$E$230,3,0),0)</f>
        <v>0</v>
      </c>
      <c r="D1740" s="1">
        <f>IFERROR(VLOOKUP(1122,'PEDIDO 22'!$C$2:$E$230,3,0),0)</f>
        <v>0</v>
      </c>
      <c r="E1740" s="1">
        <f>IFERROR(VLOOKUP(1123,'PEDIDO 22'!$C$2:$E$230,3,0),0)</f>
        <v>0</v>
      </c>
      <c r="F1740" s="1">
        <f>IFERROR(VLOOKUP(1124,'PEDIDO 22'!$C$2:$E$230,3,0),0)</f>
        <v>0</v>
      </c>
      <c r="G1740" s="18">
        <f t="shared" si="42"/>
        <v>0</v>
      </c>
    </row>
    <row r="1741" spans="1:7" ht="15.75" x14ac:dyDescent="0.25">
      <c r="A1741" s="15" t="str">
        <f>'PEDIDO 22'!$B$2</f>
        <v>Ourinhos-Lauro Tarloto 53861124815</v>
      </c>
      <c r="B1741" s="12" t="s">
        <v>437</v>
      </c>
      <c r="C1741" s="1">
        <f>IFERROR(VLOOKUP(1129,'PEDIDO 22'!$C$2:$E$230,3,0),0)</f>
        <v>0</v>
      </c>
      <c r="D1741" s="1">
        <f>IFERROR(VLOOKUP(1130,'PEDIDO 22'!$C$2:$E$230,3,0),0)</f>
        <v>0</v>
      </c>
      <c r="E1741" s="1">
        <f>IFERROR(VLOOKUP(1131,'PEDIDO 22'!$C$2:$E$230,3,0),0)</f>
        <v>0</v>
      </c>
      <c r="F1741" s="1">
        <f>IFERROR(VLOOKUP(1132,'PEDIDO 22'!$C$2:$E$230,3,0),0)</f>
        <v>0</v>
      </c>
      <c r="G1741" s="18">
        <f t="shared" si="42"/>
        <v>0</v>
      </c>
    </row>
    <row r="1742" spans="1:7" ht="15.75" x14ac:dyDescent="0.25">
      <c r="A1742" s="15" t="str">
        <f>'PEDIDO 22'!$B$2</f>
        <v>Ourinhos-Lauro Tarloto 53861124815</v>
      </c>
      <c r="B1742" s="12" t="s">
        <v>438</v>
      </c>
      <c r="C1742" s="1">
        <f>IFERROR(VLOOKUP(1137,'PEDIDO 22'!$C$2:$E$230,3,0),0)</f>
        <v>0</v>
      </c>
      <c r="D1742" s="1">
        <f>IFERROR(VLOOKUP(1138,'PEDIDO 22'!$C$2:$E$230,3,0),0)</f>
        <v>0</v>
      </c>
      <c r="E1742" s="1">
        <f>IFERROR(VLOOKUP(1139,'PEDIDO 22'!$C$2:$E$230,3,0),0)</f>
        <v>0</v>
      </c>
      <c r="F1742" s="1">
        <f>IFERROR(VLOOKUP(1140,'PEDIDO 22'!$C$2:$E$230,3,0),0)</f>
        <v>0</v>
      </c>
      <c r="G1742" s="18">
        <f t="shared" si="42"/>
        <v>0</v>
      </c>
    </row>
    <row r="1743" spans="1:7" ht="15.75" x14ac:dyDescent="0.25">
      <c r="A1743" s="15" t="str">
        <f>'PEDIDO 22'!$B$2</f>
        <v>Ourinhos-Lauro Tarloto 53861124815</v>
      </c>
      <c r="B1743" s="12" t="s">
        <v>439</v>
      </c>
      <c r="C1743" s="1">
        <f>IFERROR(VLOOKUP(1141,'PEDIDO 22'!$C$2:$E$230,3,0),0)</f>
        <v>0</v>
      </c>
      <c r="D1743" s="1">
        <f>IFERROR(VLOOKUP(1142,'PEDIDO 22'!$C$2:$E$230,3,0),0)</f>
        <v>0</v>
      </c>
      <c r="E1743" s="1">
        <f>IFERROR(VLOOKUP(1143,'PEDIDO 22'!$C$2:$E$230,3,0),0)</f>
        <v>0</v>
      </c>
      <c r="F1743" s="1">
        <f>IFERROR(VLOOKUP(1144,'PEDIDO 22'!$C$2:$E$230,3,0),0)</f>
        <v>0</v>
      </c>
      <c r="G1743" s="18">
        <f t="shared" si="42"/>
        <v>0</v>
      </c>
    </row>
    <row r="1744" spans="1:7" ht="15.75" x14ac:dyDescent="0.25">
      <c r="A1744" s="15" t="str">
        <f>'PEDIDO 22'!$B$2</f>
        <v>Ourinhos-Lauro Tarloto 53861124815</v>
      </c>
      <c r="B1744" s="12" t="s">
        <v>440</v>
      </c>
      <c r="C1744" s="1">
        <f>IFERROR(VLOOKUP(1145,'PEDIDO 22'!$C$2:$E$230,3,0),0)</f>
        <v>0</v>
      </c>
      <c r="D1744" s="1">
        <f>IFERROR(VLOOKUP(1146,'PEDIDO 22'!$C$2:$E$230,3,0),0)</f>
        <v>0</v>
      </c>
      <c r="E1744" s="1">
        <f>IFERROR(VLOOKUP(1147,'PEDIDO 22'!$C$2:$E$230,3,0),0)</f>
        <v>0</v>
      </c>
      <c r="F1744" s="1">
        <f>IFERROR(VLOOKUP(1148,'PEDIDO 22'!$C$2:$E$230,3,0),0)</f>
        <v>0</v>
      </c>
      <c r="G1744" s="18">
        <f t="shared" si="42"/>
        <v>0</v>
      </c>
    </row>
    <row r="1745" spans="1:7" ht="15.75" x14ac:dyDescent="0.25">
      <c r="A1745" s="15" t="str">
        <f>'PEDIDO 22'!$B$2</f>
        <v>Ourinhos-Lauro Tarloto 53861124815</v>
      </c>
      <c r="B1745" s="12" t="s">
        <v>441</v>
      </c>
      <c r="C1745" s="1">
        <f>IFERROR(VLOOKUP(1149,'PEDIDO 22'!$C$2:$E$230,3,0),0)</f>
        <v>0</v>
      </c>
      <c r="D1745" s="1">
        <f>IFERROR(VLOOKUP(1150,'PEDIDO 22'!$C$2:$E$230,3,0),0)</f>
        <v>0</v>
      </c>
      <c r="E1745" s="1">
        <f>IFERROR(VLOOKUP(1151,'PEDIDO 22'!$C$2:$E$230,3,0),0)</f>
        <v>0</v>
      </c>
      <c r="F1745" s="1">
        <f>IFERROR(VLOOKUP(1152,'PEDIDO 22'!$C$2:$E$230,3,0),0)</f>
        <v>0</v>
      </c>
      <c r="G1745" s="18">
        <f t="shared" si="42"/>
        <v>0</v>
      </c>
    </row>
    <row r="1746" spans="1:7" ht="15.75" x14ac:dyDescent="0.25">
      <c r="A1746" s="15" t="str">
        <f>'PEDIDO 22'!$B$2</f>
        <v>Ourinhos-Lauro Tarloto 53861124815</v>
      </c>
      <c r="B1746" s="12" t="s">
        <v>442</v>
      </c>
      <c r="C1746" s="1">
        <f>IFERROR(VLOOKUP(1153,'PEDIDO 22'!$C$2:$E$230,3,0),0)</f>
        <v>0</v>
      </c>
      <c r="D1746" s="1">
        <f>IFERROR(VLOOKUP(1154,'PEDIDO 22'!$C$2:$E$230,3,0),0)</f>
        <v>0</v>
      </c>
      <c r="E1746" s="1">
        <f>IFERROR(VLOOKUP(1155,'PEDIDO 22'!$C$2:$E$230,3,0),0)</f>
        <v>0</v>
      </c>
      <c r="F1746" s="1">
        <f>IFERROR(VLOOKUP(1156,'PEDIDO 22'!$C$2:$E$230,3,0),0)</f>
        <v>0</v>
      </c>
      <c r="G1746" s="18">
        <f t="shared" si="42"/>
        <v>0</v>
      </c>
    </row>
    <row r="1747" spans="1:7" ht="15.75" x14ac:dyDescent="0.25">
      <c r="A1747" s="15" t="str">
        <f>'PEDIDO 22'!$B$2</f>
        <v>Ourinhos-Lauro Tarloto 53861124815</v>
      </c>
      <c r="B1747" s="12" t="s">
        <v>443</v>
      </c>
      <c r="C1747" s="1">
        <f>IFERROR(VLOOKUP(1157,'PEDIDO 22'!$C$2:$E$230,3,0),0)</f>
        <v>0</v>
      </c>
      <c r="D1747" s="1">
        <f>IFERROR(VLOOKUP(1158,'PEDIDO 22'!$C$2:$E$230,3,0),0)</f>
        <v>0</v>
      </c>
      <c r="E1747" s="1">
        <f>IFERROR(VLOOKUP(1159,'PEDIDO 22'!$C$2:$E$230,3,0),0)</f>
        <v>0</v>
      </c>
      <c r="F1747" s="1">
        <f>IFERROR(VLOOKUP(1160,'PEDIDO 22'!$C$2:$E$230,3,0),0)</f>
        <v>0</v>
      </c>
      <c r="G1747" s="18">
        <f t="shared" si="42"/>
        <v>0</v>
      </c>
    </row>
    <row r="1748" spans="1:7" ht="15.75" x14ac:dyDescent="0.25">
      <c r="A1748" s="15" t="str">
        <f>'PEDIDO 22'!$B$2</f>
        <v>Ourinhos-Lauro Tarloto 53861124815</v>
      </c>
      <c r="B1748" s="12" t="s">
        <v>444</v>
      </c>
      <c r="C1748" s="1">
        <f>IFERROR(VLOOKUP(1161,'PEDIDO 22'!$C$2:$E$230,3,0),0)</f>
        <v>0</v>
      </c>
      <c r="D1748" s="1">
        <f>IFERROR(VLOOKUP(1162,'PEDIDO 22'!$C$2:$E$230,3,0),0)</f>
        <v>0</v>
      </c>
      <c r="E1748" s="1">
        <f>IFERROR(VLOOKUP(1163,'PEDIDO 22'!$C$2:$E$230,3,0),0)</f>
        <v>0</v>
      </c>
      <c r="F1748" s="1">
        <f>IFERROR(VLOOKUP(1164,'PEDIDO 22'!$C$2:$E$230,3,0),0)</f>
        <v>0</v>
      </c>
      <c r="G1748" s="18">
        <f t="shared" si="42"/>
        <v>0</v>
      </c>
    </row>
    <row r="1749" spans="1:7" ht="15.75" x14ac:dyDescent="0.25">
      <c r="A1749" s="15" t="str">
        <f>'PEDIDO 22'!$B$2</f>
        <v>Ourinhos-Lauro Tarloto 53861124815</v>
      </c>
      <c r="B1749" s="12" t="s">
        <v>445</v>
      </c>
      <c r="C1749" s="1">
        <f>IFERROR(VLOOKUP(1165,'PEDIDO 22'!$C$2:$E$230,3,0),0)</f>
        <v>0</v>
      </c>
      <c r="D1749" s="1">
        <f>IFERROR(VLOOKUP(1166,'PEDIDO 22'!$C$2:$E$230,3,0),0)</f>
        <v>0</v>
      </c>
      <c r="E1749" s="1">
        <f>IFERROR(VLOOKUP(1167,'PEDIDO 22'!$C$2:$E$230,3,0),0)</f>
        <v>0</v>
      </c>
      <c r="F1749" s="1">
        <f>IFERROR(VLOOKUP(1168,'PEDIDO 22'!$C$2:$E$230,3,0),0)</f>
        <v>0</v>
      </c>
      <c r="G1749" s="18">
        <f t="shared" si="42"/>
        <v>0</v>
      </c>
    </row>
    <row r="1750" spans="1:7" ht="15.75" x14ac:dyDescent="0.25">
      <c r="A1750" s="15" t="str">
        <f>'PEDIDO 22'!$B$2</f>
        <v>Ourinhos-Lauro Tarloto 53861124815</v>
      </c>
      <c r="B1750" s="12" t="s">
        <v>446</v>
      </c>
      <c r="C1750" s="1">
        <f>IFERROR(VLOOKUP(1169,'PEDIDO 22'!$C$2:$E$230,3,0),0)</f>
        <v>0</v>
      </c>
      <c r="D1750" s="1">
        <f>IFERROR(VLOOKUP(1170,'PEDIDO 22'!$C$2:$E$230,3,0),0)</f>
        <v>0</v>
      </c>
      <c r="E1750" s="1">
        <f>IFERROR(VLOOKUP(1171,'PEDIDO 22'!$C$2:$E$230,3,0),0)</f>
        <v>0</v>
      </c>
      <c r="F1750" s="1">
        <f>IFERROR(VLOOKUP(1172,'PEDIDO 22'!$C$2:$E$230,3,0),0)</f>
        <v>0</v>
      </c>
      <c r="G1750" s="18">
        <f t="shared" si="42"/>
        <v>0</v>
      </c>
    </row>
    <row r="1751" spans="1:7" ht="15.75" x14ac:dyDescent="0.25">
      <c r="A1751" s="15" t="str">
        <f>'PEDIDO 22'!$B$2</f>
        <v>Ourinhos-Lauro Tarloto 53861124815</v>
      </c>
      <c r="B1751" s="12" t="s">
        <v>447</v>
      </c>
      <c r="C1751" s="1">
        <f>IFERROR(VLOOKUP(1173,'PEDIDO 22'!$C$2:$E$230,3,0),0)</f>
        <v>0</v>
      </c>
      <c r="D1751" s="1">
        <f>IFERROR(VLOOKUP(1174,'PEDIDO 22'!$C$2:$E$230,3,0),0)</f>
        <v>0</v>
      </c>
      <c r="E1751" s="1">
        <f>IFERROR(VLOOKUP(1175,'PEDIDO 22'!$C$2:$E$230,3,0),0)</f>
        <v>0</v>
      </c>
      <c r="F1751" s="1">
        <f>IFERROR(VLOOKUP(1176,'PEDIDO 22'!$C$2:$E$230,3,0),0)</f>
        <v>0</v>
      </c>
      <c r="G1751" s="18">
        <f t="shared" si="42"/>
        <v>0</v>
      </c>
    </row>
    <row r="1752" spans="1:7" ht="15.75" x14ac:dyDescent="0.25">
      <c r="A1752" s="15" t="str">
        <f>'PEDIDO 22'!$B$2</f>
        <v>Ourinhos-Lauro Tarloto 53861124815</v>
      </c>
      <c r="B1752" s="12" t="s">
        <v>448</v>
      </c>
      <c r="C1752" s="1">
        <f>IFERROR(VLOOKUP(1249,'PEDIDO 22'!$C$2:$E$230,3,0),0)</f>
        <v>0</v>
      </c>
      <c r="D1752" s="1">
        <f>IFERROR(VLOOKUP(1250,'PEDIDO 22'!$C$2:$E$230,3,0),0)</f>
        <v>0</v>
      </c>
      <c r="E1752" s="1">
        <f>IFERROR(VLOOKUP(1251,'PEDIDO 22'!$C$2:$E$230,3,0),0)</f>
        <v>0</v>
      </c>
      <c r="F1752" s="1">
        <f>IFERROR(VLOOKUP(1252,'PEDIDO 22'!$C$2:$E$230,3,0),0)</f>
        <v>0</v>
      </c>
      <c r="G1752" s="18">
        <f t="shared" si="42"/>
        <v>0</v>
      </c>
    </row>
    <row r="1753" spans="1:7" ht="15.75" x14ac:dyDescent="0.25">
      <c r="A1753" s="15" t="str">
        <f>'PEDIDO 22'!$B$2</f>
        <v>Ourinhos-Lauro Tarloto 53861124815</v>
      </c>
      <c r="B1753" s="12" t="s">
        <v>449</v>
      </c>
      <c r="C1753" s="1">
        <f>IFERROR(VLOOKUP(1177,'PEDIDO 22'!$C$2:$E$230,3,0),0)</f>
        <v>0</v>
      </c>
      <c r="D1753" s="1">
        <f>IFERROR(VLOOKUP(1178,'PEDIDO 22'!$C$2:$E$230,3,0),0)</f>
        <v>0</v>
      </c>
      <c r="E1753" s="1">
        <f>IFERROR(VLOOKUP(1179,'PEDIDO 22'!$C$2:$E$230,3,0),0)</f>
        <v>0</v>
      </c>
      <c r="F1753" s="1">
        <f>IFERROR(VLOOKUP(1180,'PEDIDO 22'!$C$2:$E$230,3,0),0)</f>
        <v>0</v>
      </c>
      <c r="G1753" s="18">
        <f t="shared" si="42"/>
        <v>0</v>
      </c>
    </row>
    <row r="1754" spans="1:7" ht="15.75" x14ac:dyDescent="0.25">
      <c r="A1754" s="15" t="str">
        <f>'PEDIDO 22'!$B$2</f>
        <v>Ourinhos-Lauro Tarloto 53861124815</v>
      </c>
      <c r="B1754" s="12" t="s">
        <v>450</v>
      </c>
      <c r="C1754" s="1">
        <f>IFERROR(VLOOKUP(1181,'PEDIDO 22'!$C$2:$E$230,3,0),0)</f>
        <v>0</v>
      </c>
      <c r="D1754" s="1">
        <f>IFERROR(VLOOKUP(1182,'PEDIDO 22'!$C$2:$E$230,3,0),0)</f>
        <v>0</v>
      </c>
      <c r="E1754" s="1">
        <f>IFERROR(VLOOKUP(1183,'PEDIDO 22'!$C$2:$E$230,3,0),0)</f>
        <v>0</v>
      </c>
      <c r="F1754" s="1">
        <f>IFERROR(VLOOKUP(1184,'PEDIDO 22'!$C$2:$E$230,3,0),0)</f>
        <v>0</v>
      </c>
      <c r="G1754" s="18">
        <f t="shared" si="42"/>
        <v>0</v>
      </c>
    </row>
    <row r="1755" spans="1:7" ht="15.75" x14ac:dyDescent="0.25">
      <c r="A1755" s="15" t="str">
        <f>'PEDIDO 22'!$B$2</f>
        <v>Ourinhos-Lauro Tarloto 53861124815</v>
      </c>
      <c r="B1755" s="12" t="s">
        <v>451</v>
      </c>
      <c r="C1755" s="1">
        <f>IFERROR(VLOOKUP(1185,'PEDIDO 22'!$C$2:$E$230,3,0),0)</f>
        <v>0</v>
      </c>
      <c r="D1755" s="1">
        <f>IFERROR(VLOOKUP(1186,'PEDIDO 22'!$C$2:$E$230,3,0),0)</f>
        <v>0</v>
      </c>
      <c r="E1755" s="1">
        <f>IFERROR(VLOOKUP(1187,'PEDIDO 22'!$C$2:$E$230,3,0),0)</f>
        <v>0</v>
      </c>
      <c r="F1755" s="1">
        <f>IFERROR(VLOOKUP(1188,'PEDIDO 22'!$C$2:$E$230,3,0),0)</f>
        <v>0</v>
      </c>
      <c r="G1755" s="18">
        <f t="shared" si="42"/>
        <v>0</v>
      </c>
    </row>
    <row r="1756" spans="1:7" ht="15.75" x14ac:dyDescent="0.25">
      <c r="A1756" s="15" t="str">
        <f>'PEDIDO 22'!$B$2</f>
        <v>Ourinhos-Lauro Tarloto 53861124815</v>
      </c>
      <c r="B1756" s="12" t="s">
        <v>452</v>
      </c>
      <c r="C1756" s="1">
        <f>IFERROR(VLOOKUP(1189,'PEDIDO 22'!$C$2:$E$230,3,0),0)</f>
        <v>0</v>
      </c>
      <c r="D1756" s="1">
        <f>IFERROR(VLOOKUP(1190,'PEDIDO 22'!$C$2:$E$230,3,0),0)</f>
        <v>0</v>
      </c>
      <c r="E1756" s="1">
        <f>IFERROR(VLOOKUP(1191,'PEDIDO 22'!$C$2:$E$230,3,0),0)</f>
        <v>0</v>
      </c>
      <c r="F1756" s="1">
        <f>IFERROR(VLOOKUP(1192,'PEDIDO 22'!$C$2:$E$230,3,0),0)</f>
        <v>0</v>
      </c>
      <c r="G1756" s="18">
        <f t="shared" si="42"/>
        <v>0</v>
      </c>
    </row>
    <row r="1757" spans="1:7" ht="15.75" x14ac:dyDescent="0.25">
      <c r="A1757" s="15" t="str">
        <f>'PEDIDO 22'!$B$2</f>
        <v>Ourinhos-Lauro Tarloto 53861124815</v>
      </c>
      <c r="B1757" s="12" t="s">
        <v>453</v>
      </c>
      <c r="C1757" s="1">
        <f>IFERROR(VLOOKUP(1193,'PEDIDO 22'!$C$2:$E$230,3,0),0)</f>
        <v>0</v>
      </c>
      <c r="D1757" s="1">
        <f>IFERROR(VLOOKUP(1194,'PEDIDO 22'!$C$2:$E$230,3,0),0)</f>
        <v>0</v>
      </c>
      <c r="E1757" s="1">
        <f>IFERROR(VLOOKUP(1195,'PEDIDO 22'!$C$2:$E$230,3,0),0)</f>
        <v>0</v>
      </c>
      <c r="F1757" s="1">
        <f>IFERROR(VLOOKUP(1196,'PEDIDO 22'!$C$2:$E$230,3,0),0)</f>
        <v>0</v>
      </c>
      <c r="G1757" s="18">
        <f t="shared" si="42"/>
        <v>0</v>
      </c>
    </row>
    <row r="1758" spans="1:7" ht="15.75" x14ac:dyDescent="0.25">
      <c r="A1758" s="15" t="str">
        <f>'PEDIDO 22'!$B$2</f>
        <v>Ourinhos-Lauro Tarloto 53861124815</v>
      </c>
      <c r="B1758" s="12" t="s">
        <v>454</v>
      </c>
      <c r="C1758" s="1">
        <f>IFERROR(VLOOKUP(1197,'PEDIDO 22'!$C$2:$E$230,3,0),0)</f>
        <v>0</v>
      </c>
      <c r="D1758" s="1">
        <f>IFERROR(VLOOKUP(1198,'PEDIDO 22'!$C$2:$E$230,3,0),0)</f>
        <v>0</v>
      </c>
      <c r="E1758" s="1">
        <f>IFERROR(VLOOKUP(1199,'PEDIDO 22'!$C$2:$E$230,3,0),0)</f>
        <v>0</v>
      </c>
      <c r="F1758" s="1">
        <f>IFERROR(VLOOKUP(1200,'PEDIDO 22'!$C$2:$E$230,3,0),0)</f>
        <v>0</v>
      </c>
      <c r="G1758" s="18">
        <f t="shared" si="42"/>
        <v>0</v>
      </c>
    </row>
    <row r="1759" spans="1:7" ht="15.75" x14ac:dyDescent="0.25">
      <c r="A1759" s="15" t="str">
        <f>'PEDIDO 22'!$B$2</f>
        <v>Ourinhos-Lauro Tarloto 53861124815</v>
      </c>
      <c r="B1759" s="12" t="s">
        <v>455</v>
      </c>
      <c r="C1759" s="1">
        <f>IFERROR(VLOOKUP(1201,'PEDIDO 22'!$C$2:$E$230,3,0),0)</f>
        <v>0</v>
      </c>
      <c r="D1759" s="1">
        <f>IFERROR(VLOOKUP(1202,'PEDIDO 22'!$C$2:$E$230,3,0),0)</f>
        <v>0</v>
      </c>
      <c r="E1759" s="1">
        <f>IFERROR(VLOOKUP(1203,'PEDIDO 22'!$C$2:$E$230,3,0),0)</f>
        <v>0</v>
      </c>
      <c r="F1759" s="1">
        <f>IFERROR(VLOOKUP(1204,'PEDIDO 22'!$C$2:$E$230,3,0),0)</f>
        <v>0</v>
      </c>
      <c r="G1759" s="18">
        <f t="shared" si="42"/>
        <v>0</v>
      </c>
    </row>
    <row r="1760" spans="1:7" ht="15.75" x14ac:dyDescent="0.25">
      <c r="A1760" s="15" t="str">
        <f>'PEDIDO 22'!$B$2</f>
        <v>Ourinhos-Lauro Tarloto 53861124815</v>
      </c>
      <c r="B1760" s="12" t="s">
        <v>456</v>
      </c>
      <c r="C1760" s="1">
        <f>IFERROR(VLOOKUP(1205,'PEDIDO 22'!$C$2:$E$230,3,0),0)</f>
        <v>0</v>
      </c>
      <c r="D1760" s="1">
        <f>IFERROR(VLOOKUP(1206,'PEDIDO 22'!$C$2:$E$230,3,0),0)</f>
        <v>0</v>
      </c>
      <c r="E1760" s="1">
        <f>IFERROR(VLOOKUP(1207,'PEDIDO 22'!$C$2:$E$230,3,0),0)</f>
        <v>0</v>
      </c>
      <c r="F1760" s="1">
        <f>IFERROR(VLOOKUP(1208,'PEDIDO 22'!$C$2:$E$230,3,0),0)</f>
        <v>0</v>
      </c>
      <c r="G1760" s="18">
        <f t="shared" si="42"/>
        <v>0</v>
      </c>
    </row>
    <row r="1761" spans="1:7" ht="15.75" x14ac:dyDescent="0.25">
      <c r="A1761" s="15" t="str">
        <f>'PEDIDO 22'!$B$2</f>
        <v>Ourinhos-Lauro Tarloto 53861124815</v>
      </c>
      <c r="B1761" s="12" t="s">
        <v>457</v>
      </c>
      <c r="C1761" s="1">
        <f>IFERROR(VLOOKUP(1213,'PEDIDO 22'!$C$2:$E$230,3,0),0)</f>
        <v>0</v>
      </c>
      <c r="D1761" s="1">
        <f>IFERROR(VLOOKUP(1214,'PEDIDO 22'!$C$2:$E$230,3,0),0)</f>
        <v>0</v>
      </c>
      <c r="E1761" s="1">
        <f>IFERROR(VLOOKUP(1215,'PEDIDO 22'!$C$2:$E$230,3,0),0)</f>
        <v>0</v>
      </c>
      <c r="F1761" s="10">
        <f>IFERROR(VLOOKUP(1216,'PEDIDO 22'!$C$2:$E$230,3,0),0)</f>
        <v>0</v>
      </c>
      <c r="G1761" s="18">
        <f t="shared" si="42"/>
        <v>0</v>
      </c>
    </row>
    <row r="1762" spans="1:7" ht="15.75" x14ac:dyDescent="0.25">
      <c r="A1762" s="15" t="str">
        <f>'PEDIDO 22'!$B$2</f>
        <v>Ourinhos-Lauro Tarloto 53861124815</v>
      </c>
      <c r="B1762" s="12" t="s">
        <v>458</v>
      </c>
      <c r="C1762" s="1">
        <f>IFERROR(VLOOKUP(1209,'PEDIDO 22'!$C$2:$E$230,3,0),0)</f>
        <v>0</v>
      </c>
      <c r="D1762" s="1">
        <f>IFERROR(VLOOKUP(1210,'PEDIDO 22'!$C$2:$E$230,3,0),0)</f>
        <v>0</v>
      </c>
      <c r="E1762" s="1">
        <f>IFERROR(VLOOKUP(1211,'PEDIDO 22'!$C$2:$E$230,3,0),0)</f>
        <v>0</v>
      </c>
      <c r="F1762" s="1">
        <f>IFERROR(VLOOKUP(1212,'PEDIDO 22'!$C$2:$E$230,3,0),0)</f>
        <v>0</v>
      </c>
      <c r="G1762" s="18">
        <f t="shared" si="42"/>
        <v>0</v>
      </c>
    </row>
    <row r="1763" spans="1:7" ht="15.75" x14ac:dyDescent="0.25">
      <c r="A1763" s="15" t="str">
        <f>'PEDIDO 22'!$B$2</f>
        <v>Ourinhos-Lauro Tarloto 53861124815</v>
      </c>
      <c r="B1763" s="12" t="s">
        <v>459</v>
      </c>
      <c r="C1763" s="1">
        <f>IFERROR(VLOOKUP(1217,'PEDIDO 22'!$C$2:$E$230,3,0),0)</f>
        <v>0</v>
      </c>
      <c r="D1763" s="1">
        <f>IFERROR(VLOOKUP(1218,'PEDIDO 22'!$C$2:$E$230,3,0),0)</f>
        <v>0</v>
      </c>
      <c r="E1763" s="1">
        <f>IFERROR(VLOOKUP(1219,'PEDIDO 22'!$C$2:$E$230,3,0),0)</f>
        <v>0</v>
      </c>
      <c r="F1763" s="1">
        <f>IFERROR(VLOOKUP(1220,'PEDIDO 22'!$C$2:$E$230,3,0),0)</f>
        <v>0</v>
      </c>
      <c r="G1763" s="18">
        <f t="shared" si="42"/>
        <v>0</v>
      </c>
    </row>
    <row r="1764" spans="1:7" ht="15.75" x14ac:dyDescent="0.25">
      <c r="A1764" s="15" t="str">
        <f>'PEDIDO 22'!$B$2</f>
        <v>Ourinhos-Lauro Tarloto 53861124815</v>
      </c>
      <c r="B1764" s="12" t="s">
        <v>461</v>
      </c>
      <c r="C1764" s="1">
        <f>IFERROR(VLOOKUP(1225,'PEDIDO 22'!$C$2:$E$230,3,0),0)</f>
        <v>0</v>
      </c>
      <c r="D1764" s="1">
        <f>IFERROR(VLOOKUP(1226,'PEDIDO 22'!$C$2:$E$230,3,0),0)</f>
        <v>0</v>
      </c>
      <c r="E1764" s="1">
        <f>IFERROR(VLOOKUP(1227,'PEDIDO 22'!$C$2:$E$230,3,0),0)</f>
        <v>0</v>
      </c>
      <c r="F1764" s="1">
        <f>IFERROR(VLOOKUP(1228,'PEDIDO 22'!$C$2:$E$230,3,0),0)</f>
        <v>0</v>
      </c>
      <c r="G1764" s="18">
        <f t="shared" si="42"/>
        <v>0</v>
      </c>
    </row>
    <row r="1765" spans="1:7" ht="15.75" x14ac:dyDescent="0.25">
      <c r="A1765" s="15" t="str">
        <f>'PEDIDO 22'!$B$2</f>
        <v>Ourinhos-Lauro Tarloto 53861124815</v>
      </c>
      <c r="B1765" s="12" t="s">
        <v>462</v>
      </c>
      <c r="C1765" s="1">
        <f>IFERROR(VLOOKUP(1221,'PEDIDO 22'!$C$2:$E$230,3,0),0)</f>
        <v>0</v>
      </c>
      <c r="D1765" s="1">
        <f>IFERROR(VLOOKUP(1222,'PEDIDO 22'!$C$2:$E$230,3,0),0)</f>
        <v>0</v>
      </c>
      <c r="E1765" s="1">
        <f>IFERROR(VLOOKUP(1223,'PEDIDO 22'!$C$2:$E$230,3,0),0)</f>
        <v>0</v>
      </c>
      <c r="F1765" s="1">
        <f>IFERROR(VLOOKUP(1224,'PEDIDO 22'!$C$2:$E$230,3,0),0)</f>
        <v>0</v>
      </c>
      <c r="G1765" s="18">
        <f t="shared" si="42"/>
        <v>0</v>
      </c>
    </row>
    <row r="1766" spans="1:7" ht="15.75" x14ac:dyDescent="0.25">
      <c r="A1766" s="15" t="str">
        <f>'PEDIDO 22'!$B$2</f>
        <v>Ourinhos-Lauro Tarloto 53861124815</v>
      </c>
      <c r="B1766" s="12" t="s">
        <v>460</v>
      </c>
      <c r="C1766" s="1">
        <f>IFERROR(VLOOKUP(1229,'PEDIDO 22'!$C$2:$E$230,3,0),0)</f>
        <v>0</v>
      </c>
      <c r="D1766" s="1">
        <f>IFERROR(VLOOKUP(1230,'PEDIDO 22'!$C$2:$E$230,3,0),0)</f>
        <v>0</v>
      </c>
      <c r="E1766" s="1">
        <f>IFERROR(VLOOKUP(1231,'PEDIDO 22'!$C$2:$E$230,3,0),0)</f>
        <v>0</v>
      </c>
      <c r="F1766" s="1">
        <f>IFERROR(VLOOKUP(1232,'PEDIDO 22'!$C$2:$E$230,3,0),0)</f>
        <v>0</v>
      </c>
      <c r="G1766" s="18">
        <f t="shared" si="42"/>
        <v>0</v>
      </c>
    </row>
    <row r="1767" spans="1:7" ht="15.75" x14ac:dyDescent="0.25">
      <c r="A1767" s="15" t="str">
        <f>'PEDIDO 22'!$B$2</f>
        <v>Ourinhos-Lauro Tarloto 53861124815</v>
      </c>
      <c r="B1767" s="12" t="s">
        <v>463</v>
      </c>
      <c r="C1767" s="1">
        <f>IFERROR(VLOOKUP(1233,'PEDIDO 22'!$C$2:$E$230,3,0),0)</f>
        <v>0</v>
      </c>
      <c r="D1767" s="1">
        <f>IFERROR(VLOOKUP(1234,'PEDIDO 22'!$C$2:$E$230,3,0),0)</f>
        <v>0</v>
      </c>
      <c r="E1767" s="1">
        <f>IFERROR(VLOOKUP(1235,'PEDIDO 22'!$C$2:$E$230,3,0),0)</f>
        <v>0</v>
      </c>
      <c r="F1767" s="1">
        <f>IFERROR(VLOOKUP(1236,'PEDIDO 22'!$C$2:$E$230,3,0),0)</f>
        <v>0</v>
      </c>
      <c r="G1767" s="18">
        <f t="shared" si="42"/>
        <v>0</v>
      </c>
    </row>
    <row r="1768" spans="1:7" ht="15.75" x14ac:dyDescent="0.25">
      <c r="A1768" s="15" t="str">
        <f>'PEDIDO 22'!$B$2</f>
        <v>Ourinhos-Lauro Tarloto 53861124815</v>
      </c>
      <c r="B1768" s="12" t="s">
        <v>464</v>
      </c>
      <c r="C1768" s="1">
        <f>IFERROR(VLOOKUP(1237,'PEDIDO 22'!$C$2:$E$230,3,0),0)</f>
        <v>0</v>
      </c>
      <c r="D1768" s="1">
        <f>IFERROR(VLOOKUP(1238,'PEDIDO 22'!$C$2:$E$230,3,0),0)</f>
        <v>0</v>
      </c>
      <c r="E1768" s="1">
        <f>IFERROR(VLOOKUP(1239,'PEDIDO 22'!$C$2:$E$230,3,0),0)</f>
        <v>0</v>
      </c>
      <c r="F1768" s="1">
        <f>IFERROR(VLOOKUP(1240,'PEDIDO 22'!$C$2:$E$230,3,0),0)</f>
        <v>0</v>
      </c>
      <c r="G1768" s="18">
        <f t="shared" ref="G1768:G1780" si="43">SUM(C1768+D1768+E1768+F1768)</f>
        <v>0</v>
      </c>
    </row>
    <row r="1769" spans="1:7" ht="15.75" x14ac:dyDescent="0.25">
      <c r="A1769" s="15" t="str">
        <f>'PEDIDO 22'!$B$2</f>
        <v>Ourinhos-Lauro Tarloto 53861124815</v>
      </c>
      <c r="B1769" s="12" t="s">
        <v>465</v>
      </c>
      <c r="C1769" s="1">
        <f>IFERROR(VLOOKUP(1241,'PEDIDO 22'!$C$2:$E$230,3,0),0)</f>
        <v>0</v>
      </c>
      <c r="D1769" s="1">
        <f>IFERROR(VLOOKUP(1242,'PEDIDO 22'!$C$2:$E$230,3,0),0)</f>
        <v>0</v>
      </c>
      <c r="E1769" s="1">
        <f>IFERROR(VLOOKUP(1243,'PEDIDO 22'!$C$2:$E$230,3,0),0)</f>
        <v>0</v>
      </c>
      <c r="F1769" s="1">
        <f>IFERROR(VLOOKUP(1244,'PEDIDO 22'!$C$2:$E$230,3,0),0)</f>
        <v>0</v>
      </c>
      <c r="G1769" s="18">
        <f t="shared" si="43"/>
        <v>0</v>
      </c>
    </row>
    <row r="1770" spans="1:7" ht="15.75" x14ac:dyDescent="0.25">
      <c r="A1770" s="15" t="str">
        <f>'PEDIDO 22'!$B$2</f>
        <v>Ourinhos-Lauro Tarloto 53861124815</v>
      </c>
      <c r="B1770" s="12" t="s">
        <v>466</v>
      </c>
      <c r="C1770" s="1">
        <f>IFERROR(VLOOKUP(1245,'PEDIDO 22'!$C$2:$E$230,3,0),0)</f>
        <v>0</v>
      </c>
      <c r="D1770" s="1">
        <f>IFERROR(VLOOKUP(1246,'PEDIDO 22'!$C$2:$E$230,3,0),0)</f>
        <v>0</v>
      </c>
      <c r="E1770" s="1">
        <f>IFERROR(VLOOKUP(1247,'PEDIDO 22'!$C$2:$E$230,3,0),0)</f>
        <v>0</v>
      </c>
      <c r="F1770" s="1">
        <f>IFERROR(VLOOKUP(1248,'PEDIDO 22'!$C$2:$E$230,3,0),0)</f>
        <v>0</v>
      </c>
      <c r="G1770" s="18">
        <f t="shared" si="43"/>
        <v>0</v>
      </c>
    </row>
    <row r="1771" spans="1:7" ht="15.75" x14ac:dyDescent="0.25">
      <c r="A1771" s="15" t="str">
        <f>'PEDIDO 22'!$B$2</f>
        <v>Ourinhos-Lauro Tarloto 53861124815</v>
      </c>
      <c r="B1771" s="12" t="s">
        <v>467</v>
      </c>
      <c r="C1771" s="1">
        <f>IFERROR(VLOOKUP(25714,'PEDIDO 22'!$C$2:$E$230,3,0),0)</f>
        <v>0</v>
      </c>
      <c r="D1771" s="1"/>
      <c r="E1771" s="1"/>
      <c r="F1771" s="1"/>
      <c r="G1771" s="18">
        <f t="shared" si="43"/>
        <v>0</v>
      </c>
    </row>
    <row r="1772" spans="1:7" ht="15.75" x14ac:dyDescent="0.25">
      <c r="A1772" s="15" t="str">
        <f>'PEDIDO 22'!$B$2</f>
        <v>Ourinhos-Lauro Tarloto 53861124815</v>
      </c>
      <c r="B1772" s="12" t="s">
        <v>468</v>
      </c>
      <c r="C1772" s="1">
        <f>IFERROR(VLOOKUP(25712,'PEDIDO 22'!$C$2:$E$230,3,0),0)</f>
        <v>0</v>
      </c>
      <c r="D1772" s="1"/>
      <c r="E1772" s="1"/>
      <c r="F1772" s="1"/>
      <c r="G1772" s="18">
        <f t="shared" si="43"/>
        <v>0</v>
      </c>
    </row>
    <row r="1773" spans="1:7" ht="15.75" x14ac:dyDescent="0.25">
      <c r="A1773" s="15" t="str">
        <f>'PEDIDO 22'!$B$2</f>
        <v>Ourinhos-Lauro Tarloto 53861124815</v>
      </c>
      <c r="B1773" s="12" t="s">
        <v>469</v>
      </c>
      <c r="C1773" s="1">
        <f>IFERROR(VLOOKUP(25713,'PEDIDO 22'!$C$2:$E$230,3,0),0)</f>
        <v>0</v>
      </c>
      <c r="D1773" s="1"/>
      <c r="E1773" s="1"/>
      <c r="F1773" s="1"/>
      <c r="G1773" s="18">
        <f t="shared" si="43"/>
        <v>0</v>
      </c>
    </row>
    <row r="1774" spans="1:7" ht="15.75" x14ac:dyDescent="0.25">
      <c r="A1774" s="15" t="str">
        <f>'PEDIDO 22'!$B$2</f>
        <v>Ourinhos-Lauro Tarloto 53861124815</v>
      </c>
      <c r="B1774" s="12" t="s">
        <v>470</v>
      </c>
      <c r="C1774" s="1">
        <f>IFERROR(VLOOKUP(1260,'PEDIDO 22'!$C$2:$E$230,3,0),0)</f>
        <v>0</v>
      </c>
      <c r="D1774" s="1"/>
      <c r="E1774" s="1"/>
      <c r="F1774" s="1"/>
      <c r="G1774" s="18">
        <f t="shared" si="43"/>
        <v>0</v>
      </c>
    </row>
    <row r="1775" spans="1:7" ht="15.75" x14ac:dyDescent="0.25">
      <c r="A1775" s="15" t="str">
        <f>'PEDIDO 22'!$B$2</f>
        <v>Ourinhos-Lauro Tarloto 53861124815</v>
      </c>
      <c r="B1775" s="12" t="s">
        <v>471</v>
      </c>
      <c r="C1775" s="1">
        <f>IFERROR(VLOOKUP(1261,'PEDIDO 22'!$C$2:$E$230,3,0),0)</f>
        <v>0</v>
      </c>
      <c r="D1775" s="1"/>
      <c r="E1775" s="1"/>
      <c r="F1775" s="1"/>
      <c r="G1775" s="18">
        <f t="shared" si="43"/>
        <v>0</v>
      </c>
    </row>
    <row r="1776" spans="1:7" ht="15.75" x14ac:dyDescent="0.25">
      <c r="A1776" s="15" t="str">
        <f>'PEDIDO 22'!$B$2</f>
        <v>Ourinhos-Lauro Tarloto 53861124815</v>
      </c>
      <c r="B1776" s="12" t="s">
        <v>472</v>
      </c>
      <c r="C1776" s="1">
        <f>IFERROR(VLOOKUP(1262,'PEDIDO 22'!$C$2:$E$230,3,0),0)</f>
        <v>0</v>
      </c>
      <c r="D1776" s="1"/>
      <c r="E1776" s="1"/>
      <c r="F1776" s="1"/>
      <c r="G1776" s="18">
        <f t="shared" si="43"/>
        <v>0</v>
      </c>
    </row>
    <row r="1777" spans="1:7" ht="15.75" x14ac:dyDescent="0.25">
      <c r="A1777" s="15" t="str">
        <f>'PEDIDO 22'!$B$2</f>
        <v>Ourinhos-Lauro Tarloto 53861124815</v>
      </c>
      <c r="B1777" s="12" t="s">
        <v>473</v>
      </c>
      <c r="C1777" s="1">
        <f>IFERROR(VLOOKUP(1263,'PEDIDO 22'!$C$2:$E$230,3,0),0)</f>
        <v>0</v>
      </c>
      <c r="D1777" s="1"/>
      <c r="E1777" s="1"/>
      <c r="F1777" s="1"/>
      <c r="G1777" s="18">
        <f t="shared" si="43"/>
        <v>0</v>
      </c>
    </row>
    <row r="1778" spans="1:7" ht="15.75" x14ac:dyDescent="0.25">
      <c r="A1778" s="15" t="str">
        <f>'PEDIDO 22'!$B$2</f>
        <v>Ourinhos-Lauro Tarloto 53861124815</v>
      </c>
      <c r="B1778" s="12" t="s">
        <v>474</v>
      </c>
      <c r="C1778" s="1">
        <f>IFERROR(VLOOKUP(1264,'PEDIDO 22'!$C$2:$E$230,3,0),0)</f>
        <v>0</v>
      </c>
      <c r="D1778" s="1"/>
      <c r="E1778" s="1"/>
      <c r="F1778" s="1"/>
      <c r="G1778" s="18">
        <f t="shared" si="43"/>
        <v>0</v>
      </c>
    </row>
    <row r="1779" spans="1:7" ht="15.75" x14ac:dyDescent="0.25">
      <c r="A1779" s="15" t="str">
        <f>'PEDIDO 22'!$B$2</f>
        <v>Ourinhos-Lauro Tarloto 53861124815</v>
      </c>
      <c r="B1779" s="12" t="s">
        <v>475</v>
      </c>
      <c r="C1779" s="1">
        <f>IFERROR(VLOOKUP(1265,'PEDIDO 22'!$C$2:$E$230,3,0),0)</f>
        <v>0</v>
      </c>
      <c r="D1779" s="1"/>
      <c r="E1779" s="1"/>
      <c r="F1779" s="1"/>
      <c r="G1779" s="18">
        <f t="shared" si="43"/>
        <v>0</v>
      </c>
    </row>
    <row r="1780" spans="1:7" ht="15.75" x14ac:dyDescent="0.25">
      <c r="A1780" s="15" t="str">
        <f>'PEDIDO 22'!$B$2</f>
        <v>Ourinhos-Lauro Tarloto 53861124815</v>
      </c>
      <c r="B1780" s="12" t="s">
        <v>476</v>
      </c>
      <c r="C1780" s="1">
        <f>IFERROR(VLOOKUP(1266,'PEDIDO 22'!$C$2:$E$230,3,0),0)</f>
        <v>0</v>
      </c>
      <c r="D1780" s="1"/>
      <c r="E1780" s="1"/>
      <c r="F1780" s="1"/>
      <c r="G1780" s="18">
        <f t="shared" si="43"/>
        <v>0</v>
      </c>
    </row>
    <row r="1781" spans="1:7" ht="15.75" x14ac:dyDescent="0.25">
      <c r="A1781" s="15" t="str">
        <f>'PEDIDO 22'!$B$2</f>
        <v>Ourinhos-Lauro Tarloto 53861124815</v>
      </c>
      <c r="B1781" s="12" t="s">
        <v>477</v>
      </c>
      <c r="C1781" s="1">
        <f>IFERROR(VLOOKUP(1268,'PEDIDO 22'!$C$2:$E$230,3,0),0)</f>
        <v>0</v>
      </c>
      <c r="D1781" s="1">
        <f>IFERROR(VLOOKUP(1269,'PEDIDO 22'!$C$2:$E$230,3,0),0)</f>
        <v>0</v>
      </c>
      <c r="E1781" s="1">
        <f>IFERROR(VLOOKUP(1270,'PEDIDO 22'!$C$2:$E$230,3,0),0)</f>
        <v>0</v>
      </c>
      <c r="F1781" s="1">
        <f>IFERROR(VLOOKUP(1271,'PEDIDO 22'!$C$2:$E$230,3,0),0)</f>
        <v>0</v>
      </c>
      <c r="G1781" s="18">
        <f>SUM(C1781+D1781+E1781+F1781)</f>
        <v>0</v>
      </c>
    </row>
    <row r="1784" spans="1:7" ht="15.75" x14ac:dyDescent="0.25">
      <c r="A1784" s="15">
        <f>'PEDIDO 23'!$B$2</f>
        <v>0</v>
      </c>
      <c r="B1784" s="12" t="s">
        <v>399</v>
      </c>
      <c r="C1784" s="1">
        <f>IFERROR(VLOOKUP(1,'PEDIDO 23'!$C$2:$E$230,3,0),0)</f>
        <v>0</v>
      </c>
      <c r="D1784" s="1">
        <f>IFERROR(VLOOKUP(2,'PEDIDO 23'!$C$2:$E$230,3,0),0)</f>
        <v>0</v>
      </c>
      <c r="E1784" s="1">
        <f>IFERROR(VLOOKUP(3,'PEDIDO 23'!$C$2:$E$230,3,0),0)</f>
        <v>0</v>
      </c>
      <c r="F1784" s="1">
        <f>IFERROR(VLOOKUP(282,'PEDIDO 23'!$C$2:$E$230,3,0),0)</f>
        <v>0</v>
      </c>
      <c r="G1784" s="18">
        <f>SUM(C1784+D1784+E1784+F1784)</f>
        <v>0</v>
      </c>
    </row>
    <row r="1785" spans="1:7" ht="15.75" x14ac:dyDescent="0.25">
      <c r="A1785" s="15">
        <f>'PEDIDO 23'!$B$2</f>
        <v>0</v>
      </c>
      <c r="B1785" s="12" t="s">
        <v>400</v>
      </c>
      <c r="C1785" s="1">
        <f>IFERROR(VLOOKUP(5,'PEDIDO 23'!$C$2:$E$230,3,0),0)</f>
        <v>0</v>
      </c>
      <c r="D1785" s="1">
        <f>IFERROR(VLOOKUP(6,'PEDIDO 23'!$C$2:$E$230,3,0),0)</f>
        <v>0</v>
      </c>
      <c r="E1785" s="1">
        <f>IFERROR(VLOOKUP(7,'PEDIDO 23'!$C$2:$E$230,3,0),0)</f>
        <v>0</v>
      </c>
      <c r="F1785" s="1">
        <f>IFERROR(VLOOKUP(258,'PEDIDO 23'!$C$2:$E$230,3,0),0)</f>
        <v>0</v>
      </c>
      <c r="G1785" s="18">
        <f t="shared" ref="G1785:G1848" si="44">SUM(C1785+D1785+E1785+F1785)</f>
        <v>0</v>
      </c>
    </row>
    <row r="1786" spans="1:7" ht="15.75" x14ac:dyDescent="0.25">
      <c r="A1786" s="15">
        <f>'PEDIDO 23'!$B$2</f>
        <v>0</v>
      </c>
      <c r="B1786" s="12" t="s">
        <v>401</v>
      </c>
      <c r="C1786" s="1">
        <f>IFERROR(VLOOKUP(13,'PEDIDO 23'!$C$2:$E$230,3,0),0)</f>
        <v>0</v>
      </c>
      <c r="D1786" s="1">
        <f>IFERROR(VLOOKUP(14,'PEDIDO 23'!$C$2:$E$230,3,0),0)</f>
        <v>0</v>
      </c>
      <c r="E1786" s="1">
        <f>IFERROR(VLOOKUP(15,'PEDIDO 23'!$C$2:$E$230,3,0),0)</f>
        <v>0</v>
      </c>
      <c r="F1786" s="1">
        <f>IFERROR(VLOOKUP(289,'PEDIDO 23'!$C$2:$E$230,3,0),0)</f>
        <v>0</v>
      </c>
      <c r="G1786" s="18">
        <f t="shared" si="44"/>
        <v>0</v>
      </c>
    </row>
    <row r="1787" spans="1:7" ht="15.75" x14ac:dyDescent="0.25">
      <c r="A1787" s="15">
        <f>'PEDIDO 23'!$B$2</f>
        <v>0</v>
      </c>
      <c r="B1787" s="12" t="s">
        <v>402</v>
      </c>
      <c r="C1787" s="1">
        <f>IFERROR(VLOOKUP(267,'PEDIDO 23'!$C$2:$E$230,3,0),0)</f>
        <v>0</v>
      </c>
      <c r="D1787" s="1">
        <f>IFERROR(VLOOKUP(268,'PEDIDO 23'!$C$2:$E$230,3,0),0)</f>
        <v>0</v>
      </c>
      <c r="E1787" s="1">
        <f>IFERROR(VLOOKUP(270,'PEDIDO 23'!$C$2:$E$230,3,0),0)</f>
        <v>0</v>
      </c>
      <c r="F1787" s="1">
        <f>IFERROR(VLOOKUP(269,'PEDIDO 23'!$C$2:$E$230,3,0),0)</f>
        <v>0</v>
      </c>
      <c r="G1787" s="18">
        <f t="shared" si="44"/>
        <v>0</v>
      </c>
    </row>
    <row r="1788" spans="1:7" ht="15.75" x14ac:dyDescent="0.25">
      <c r="A1788" s="15">
        <f>'PEDIDO 23'!$B$2</f>
        <v>0</v>
      </c>
      <c r="B1788" s="12" t="s">
        <v>403</v>
      </c>
      <c r="C1788" s="1">
        <f>IFERROR(VLOOKUP(17,'PEDIDO 23'!$C$2:$E$230,3,0),0)</f>
        <v>0</v>
      </c>
      <c r="D1788" s="1">
        <f>IFERROR(VLOOKUP(18,'PEDIDO 23'!$C$2:$E$230,3,0),0)</f>
        <v>0</v>
      </c>
      <c r="E1788" s="1">
        <f>IFERROR(VLOOKUP(19,'PEDIDO 23'!$C$2:$E$230,3,0),0)</f>
        <v>0</v>
      </c>
      <c r="F1788" s="1">
        <f>IFERROR(VLOOKUP(290,'PEDIDO 23'!$C$2:$E$230,3,0),0)</f>
        <v>0</v>
      </c>
      <c r="G1788" s="18">
        <f t="shared" si="44"/>
        <v>0</v>
      </c>
    </row>
    <row r="1789" spans="1:7" ht="15.75" x14ac:dyDescent="0.25">
      <c r="A1789" s="15">
        <f>'PEDIDO 23'!$B$2</f>
        <v>0</v>
      </c>
      <c r="B1789" s="12" t="s">
        <v>404</v>
      </c>
      <c r="C1789" s="1">
        <f>IFERROR(VLOOKUP(23,'PEDIDO 23'!$C$2:$E$230,3,0),0)</f>
        <v>0</v>
      </c>
      <c r="D1789" s="1">
        <f>IFERROR(VLOOKUP(24,'PEDIDO 23'!$C$2:$E$230,3,0),0)</f>
        <v>0</v>
      </c>
      <c r="E1789" s="1">
        <f>IFERROR(VLOOKUP(25,'PEDIDO 23'!$C$2:$E$230,3,0),0)</f>
        <v>0</v>
      </c>
      <c r="F1789" s="1">
        <f>IFERROR(VLOOKUP(291,'PEDIDO 23'!$C$2:$E$230,3,0),0)</f>
        <v>0</v>
      </c>
      <c r="G1789" s="18">
        <f t="shared" si="44"/>
        <v>0</v>
      </c>
    </row>
    <row r="1790" spans="1:7" ht="15.75" x14ac:dyDescent="0.25">
      <c r="A1790" s="15">
        <f>'PEDIDO 23'!$B$2</f>
        <v>0</v>
      </c>
      <c r="B1790" s="12" t="s">
        <v>405</v>
      </c>
      <c r="C1790" s="1">
        <f>IFERROR(VLOOKUP(27,'PEDIDO 23'!$C$2:$E$230,3,0),0)</f>
        <v>0</v>
      </c>
      <c r="D1790" s="1">
        <f>IFERROR(VLOOKUP(28,'PEDIDO 23'!$C$2:$E$230,3,0),0)</f>
        <v>0</v>
      </c>
      <c r="E1790" s="1">
        <f>IFERROR(VLOOKUP(29,'PEDIDO 23'!$C$2:$E$230,3,0),0)</f>
        <v>0</v>
      </c>
      <c r="F1790" s="1">
        <f>IFERROR(VLOOKUP(292,'PEDIDO 23'!$C$2:$E$230,3,0),0)</f>
        <v>0</v>
      </c>
      <c r="G1790" s="18">
        <f t="shared" si="44"/>
        <v>0</v>
      </c>
    </row>
    <row r="1791" spans="1:7" ht="15.75" x14ac:dyDescent="0.25">
      <c r="A1791" s="15">
        <f>'PEDIDO 23'!$B$2</f>
        <v>0</v>
      </c>
      <c r="B1791" s="12" t="s">
        <v>406</v>
      </c>
      <c r="C1791" s="1">
        <f>IFERROR(VLOOKUP(227,'PEDIDO 23'!$C$2:$E$230,3,0),0)</f>
        <v>0</v>
      </c>
      <c r="D1791" s="1">
        <f>IFERROR(VLOOKUP(228,'PEDIDO 23'!$C$2:$E$230,3,0),0)</f>
        <v>0</v>
      </c>
      <c r="E1791" s="1">
        <f>IFERROR(VLOOKUP(229,'PEDIDO 23'!$C$2:$E$230,3,0),0)</f>
        <v>0</v>
      </c>
      <c r="F1791" s="1">
        <f>IFERROR(VLOOKUP(230,'PEDIDO 23'!$C$2:$E$230,3,0),0)</f>
        <v>0</v>
      </c>
      <c r="G1791" s="18">
        <f t="shared" si="44"/>
        <v>0</v>
      </c>
    </row>
    <row r="1792" spans="1:7" ht="15.75" x14ac:dyDescent="0.25">
      <c r="A1792" s="15">
        <f>'PEDIDO 23'!$B$2</f>
        <v>0</v>
      </c>
      <c r="B1792" s="12" t="s">
        <v>407</v>
      </c>
      <c r="C1792" s="1">
        <f>IFERROR(VLOOKUP(231,'PEDIDO 23'!$C$2:$E$230,3,0),0)</f>
        <v>0</v>
      </c>
      <c r="D1792" s="1">
        <f>IFERROR(VLOOKUP(232,'PEDIDO 23'!$C$2:$E$230,3,0),0)</f>
        <v>0</v>
      </c>
      <c r="E1792" s="1">
        <f>IFERROR(VLOOKUP(234,'PEDIDO 23'!$C$2:$E$230,3,0),0)</f>
        <v>0</v>
      </c>
      <c r="F1792" s="1">
        <f>IFERROR(VLOOKUP(233,'PEDIDO 23'!$C$2:$E$230,3,0),0)</f>
        <v>0</v>
      </c>
      <c r="G1792" s="18">
        <f t="shared" si="44"/>
        <v>0</v>
      </c>
    </row>
    <row r="1793" spans="1:7" ht="15.75" x14ac:dyDescent="0.25">
      <c r="A1793" s="15">
        <f>'PEDIDO 23'!$B$2</f>
        <v>0</v>
      </c>
      <c r="B1793" s="12" t="s">
        <v>408</v>
      </c>
      <c r="C1793" s="1">
        <f>IFERROR(VLOOKUP(237,'PEDIDO 23'!$C$2:$E$230,3,0),0)</f>
        <v>0</v>
      </c>
      <c r="D1793" s="1">
        <f>IFERROR(VLOOKUP(238,'PEDIDO 23'!$C$2:$E$230,3,0),0)</f>
        <v>0</v>
      </c>
      <c r="E1793" s="1">
        <f>IFERROR(VLOOKUP(240,'PEDIDO 23'!$C$2:$E$230,3,0),0)</f>
        <v>0</v>
      </c>
      <c r="F1793" s="1">
        <f>IFERROR(VLOOKUP(239,'PEDIDO 23'!$C$2:$E$230,3,0),0)</f>
        <v>0</v>
      </c>
      <c r="G1793" s="18">
        <f t="shared" si="44"/>
        <v>0</v>
      </c>
    </row>
    <row r="1794" spans="1:7" ht="15.75" x14ac:dyDescent="0.25">
      <c r="A1794" s="15">
        <f>'PEDIDO 23'!$B$2</f>
        <v>0</v>
      </c>
      <c r="B1794" s="12" t="s">
        <v>409</v>
      </c>
      <c r="C1794" s="1">
        <f>IFERROR(VLOOKUP(25707,'PEDIDO 23'!$C$2:$E$230,3,0),0)</f>
        <v>0</v>
      </c>
      <c r="D1794" s="1">
        <f>IFERROR(VLOOKUP(25708,'PEDIDO 23'!$C$2:$E$230,3,0),0)</f>
        <v>0</v>
      </c>
      <c r="E1794" s="1">
        <f>IFERROR(VLOOKUP(25710,'PEDIDO 23'!$C$2:$E$230,3,0),0)</f>
        <v>0</v>
      </c>
      <c r="F1794" s="1">
        <f>IFERROR(VLOOKUP(25709,'PEDIDO 23'!$C$2:$E$230,3,0),0)</f>
        <v>0</v>
      </c>
      <c r="G1794" s="18">
        <f t="shared" si="44"/>
        <v>0</v>
      </c>
    </row>
    <row r="1795" spans="1:7" ht="15.75" x14ac:dyDescent="0.25">
      <c r="A1795" s="15">
        <f>'PEDIDO 23'!$B$2</f>
        <v>0</v>
      </c>
      <c r="B1795" s="12" t="s">
        <v>410</v>
      </c>
      <c r="C1795" s="1">
        <f>IFERROR(VLOOKUP(25711,'PEDIDO 23'!$C$2:$E$230,3,0),0)</f>
        <v>0</v>
      </c>
      <c r="D1795" s="1"/>
      <c r="E1795" s="1"/>
      <c r="F1795" s="1"/>
      <c r="G1795" s="18">
        <f t="shared" si="44"/>
        <v>0</v>
      </c>
    </row>
    <row r="1796" spans="1:7" ht="15.75" x14ac:dyDescent="0.25">
      <c r="A1796" s="15">
        <f>'PEDIDO 23'!$B$2</f>
        <v>0</v>
      </c>
      <c r="B1796" s="12" t="s">
        <v>411</v>
      </c>
      <c r="C1796" s="1">
        <f>IFERROR(VLOOKUP(35,'PEDIDO 23'!$C$2:$E$230,3,0),0)</f>
        <v>0</v>
      </c>
      <c r="D1796" s="1">
        <f>IFERROR(VLOOKUP(36,'PEDIDO 23'!$C$2:$E$230,3,0),0)</f>
        <v>0</v>
      </c>
      <c r="E1796" s="1">
        <f>IFERROR(VLOOKUP(37,'PEDIDO 23'!$C$2:$E$230,3,0),0)</f>
        <v>0</v>
      </c>
      <c r="F1796" s="1">
        <f>IFERROR(VLOOKUP(294,'PEDIDO 23'!$C$2:$E$230,3,0),0)</f>
        <v>0</v>
      </c>
      <c r="G1796" s="18">
        <f t="shared" si="44"/>
        <v>0</v>
      </c>
    </row>
    <row r="1797" spans="1:7" ht="15.75" x14ac:dyDescent="0.25">
      <c r="A1797" s="15">
        <f>'PEDIDO 23'!$B$2</f>
        <v>0</v>
      </c>
      <c r="B1797" s="12" t="s">
        <v>412</v>
      </c>
      <c r="C1797" s="1">
        <f>IFERROR(VLOOKUP(39,'PEDIDO 23'!$C$2:$E$230,3,0),0)</f>
        <v>0</v>
      </c>
      <c r="D1797" s="1">
        <f>IFERROR(VLOOKUP(40,'PEDIDO 23'!$C$2:$E$230,3,0),0)</f>
        <v>0</v>
      </c>
      <c r="E1797" s="1">
        <f>IFERROR(VLOOKUP(42,'PEDIDO 23'!$C$2:$E$230,3,0),0)</f>
        <v>0</v>
      </c>
      <c r="F1797" s="1">
        <f>IFERROR(VLOOKUP(295,'PEDIDO 23'!$C$2:$E$230,3,0),0)</f>
        <v>0</v>
      </c>
      <c r="G1797" s="18">
        <f t="shared" si="44"/>
        <v>0</v>
      </c>
    </row>
    <row r="1798" spans="1:7" ht="15.75" x14ac:dyDescent="0.25">
      <c r="A1798" s="15">
        <f>'PEDIDO 23'!$B$2</f>
        <v>0</v>
      </c>
      <c r="B1798" s="12" t="s">
        <v>413</v>
      </c>
      <c r="C1798" s="1">
        <f>IFERROR(VLOOKUP(44,'PEDIDO 23'!$C$2:$E$230,3,0),0)</f>
        <v>0</v>
      </c>
      <c r="D1798" s="1">
        <f>IFERROR(VLOOKUP(45,'PEDIDO 23'!$C$2:$E$230,3,0),0)</f>
        <v>0</v>
      </c>
      <c r="E1798" s="1">
        <f>IFERROR(VLOOKUP(46,'PEDIDO 23'!$C$2:$E$230,3,0),0)</f>
        <v>0</v>
      </c>
      <c r="F1798" s="1">
        <f>IFERROR(VLOOKUP(283,'PEDIDO 23'!$C$2:$E$230,3,0),0)</f>
        <v>0</v>
      </c>
      <c r="G1798" s="18">
        <f t="shared" si="44"/>
        <v>0</v>
      </c>
    </row>
    <row r="1799" spans="1:7" ht="15.75" x14ac:dyDescent="0.25">
      <c r="A1799" s="15">
        <f>'PEDIDO 23'!$B$2</f>
        <v>0</v>
      </c>
      <c r="B1799" s="12" t="s">
        <v>414</v>
      </c>
      <c r="C1799" s="1">
        <f>IFERROR(VLOOKUP(48,'PEDIDO 23'!$C$2:$E$230,3,0),0)</f>
        <v>0</v>
      </c>
      <c r="D1799" s="1">
        <f>IFERROR(VLOOKUP(49,'PEDIDO 23'!$C$2:$E$230,3,0),0)</f>
        <v>0</v>
      </c>
      <c r="E1799" s="1">
        <f>IFERROR(VLOOKUP(50,'PEDIDO 23'!$C$2:$E$230,3,0),0)</f>
        <v>0</v>
      </c>
      <c r="F1799" s="1">
        <f>IFERROR(VLOOKUP(298,'PEDIDO 23'!$C$2:$E$230,3,0),0)</f>
        <v>0</v>
      </c>
      <c r="G1799" s="18">
        <f t="shared" si="44"/>
        <v>0</v>
      </c>
    </row>
    <row r="1800" spans="1:7" ht="15.75" x14ac:dyDescent="0.25">
      <c r="A1800" s="15">
        <f>'PEDIDO 23'!$B$2</f>
        <v>0</v>
      </c>
      <c r="B1800" s="12" t="s">
        <v>415</v>
      </c>
      <c r="C1800" s="1">
        <f>IFERROR(VLOOKUP(52,'PEDIDO 23'!$C$2:$E$230,3,0),0)</f>
        <v>0</v>
      </c>
      <c r="D1800" s="1">
        <f>IFERROR(VLOOKUP(53,'PEDIDO 23'!$C$2:$E$230,3,0),0)</f>
        <v>0</v>
      </c>
      <c r="E1800" s="1">
        <f>IFERROR(VLOOKUP(54,'PEDIDO 23'!$C$2:$E$230,3,0),0)</f>
        <v>0</v>
      </c>
      <c r="F1800" s="1">
        <f>IFERROR(VLOOKUP(299,'PEDIDO 23'!$C$2:$E$230,3,0),0)</f>
        <v>0</v>
      </c>
      <c r="G1800" s="18">
        <f t="shared" si="44"/>
        <v>0</v>
      </c>
    </row>
    <row r="1801" spans="1:7" ht="15.75" x14ac:dyDescent="0.25">
      <c r="A1801" s="15">
        <f>'PEDIDO 23'!$B$2</f>
        <v>0</v>
      </c>
      <c r="B1801" s="12" t="s">
        <v>416</v>
      </c>
      <c r="C1801" s="1">
        <f>IFERROR(VLOOKUP(56,'PEDIDO 23'!$C$2:$E$230,3,0),0)</f>
        <v>0</v>
      </c>
      <c r="D1801" s="1">
        <f>IFERROR(VLOOKUP(61,'PEDIDO 23'!$C$2:$E$230,3,0),0)</f>
        <v>0</v>
      </c>
      <c r="E1801" s="1">
        <f>IFERROR(VLOOKUP(58,'PEDIDO 23'!$C$2:$E$230,3,0),0)</f>
        <v>0</v>
      </c>
      <c r="F1801" s="1">
        <f>IFERROR(VLOOKUP(300,'PEDIDO 23'!$C$2:$E$230,3,0),0)</f>
        <v>0</v>
      </c>
      <c r="G1801" s="18">
        <f t="shared" si="44"/>
        <v>0</v>
      </c>
    </row>
    <row r="1802" spans="1:7" ht="15.75" x14ac:dyDescent="0.25">
      <c r="A1802" s="15">
        <f>'PEDIDO 23'!$B$2</f>
        <v>0</v>
      </c>
      <c r="B1802" s="12" t="s">
        <v>417</v>
      </c>
      <c r="C1802" s="1">
        <f>IFERROR(VLOOKUP(60,'PEDIDO 23'!$C$2:$E$230,3,0),0)</f>
        <v>0</v>
      </c>
      <c r="D1802" s="1">
        <f>IFERROR(VLOOKUP(120,'PEDIDO 23'!$C$2:$E$230,3,0),0)</f>
        <v>0</v>
      </c>
      <c r="E1802" s="1">
        <f>IFERROR(VLOOKUP(62,'PEDIDO 23'!$C$2:$E$230,3,0),0)</f>
        <v>0</v>
      </c>
      <c r="F1802" s="1">
        <f>IFERROR(VLOOKUP(301,'PEDIDO 23'!$C$2:$E$230,3,0),0)</f>
        <v>0</v>
      </c>
      <c r="G1802" s="18">
        <f t="shared" si="44"/>
        <v>0</v>
      </c>
    </row>
    <row r="1803" spans="1:7" ht="15.75" x14ac:dyDescent="0.25">
      <c r="A1803" s="15">
        <f>'PEDIDO 23'!$B$2</f>
        <v>0</v>
      </c>
      <c r="B1803" s="12" t="s">
        <v>426</v>
      </c>
      <c r="C1803" s="1">
        <f>IFERROR(VLOOKUP(112,'PEDIDO 23'!$C$2:$E$230,3,0),0)</f>
        <v>0</v>
      </c>
      <c r="D1803" s="1">
        <f>IFERROR(VLOOKUP(113,'PEDIDO 23'!$C$2:$E$230,3,0),0)</f>
        <v>0</v>
      </c>
      <c r="E1803" s="1">
        <f>IFERROR(VLOOKUP(114,'PEDIDO 23'!$C$2:$E$230,3,0),0)</f>
        <v>0</v>
      </c>
      <c r="F1803" s="1">
        <f>IFERROR(VLOOKUP(296,'PEDIDO 23'!$C$2:$E$230,3,0),0)</f>
        <v>0</v>
      </c>
      <c r="G1803" s="18">
        <f t="shared" si="44"/>
        <v>0</v>
      </c>
    </row>
    <row r="1804" spans="1:7" ht="15.75" x14ac:dyDescent="0.25">
      <c r="A1804" s="15">
        <f>'PEDIDO 23'!$B$2</f>
        <v>0</v>
      </c>
      <c r="B1804" s="12" t="s">
        <v>427</v>
      </c>
      <c r="C1804" s="1">
        <f>IFERROR(VLOOKUP(116,'PEDIDO 23'!$C$2:$E$230,3,0),0)</f>
        <v>0</v>
      </c>
      <c r="D1804" s="1">
        <f>IFERROR(VLOOKUP(117,'PEDIDO 23'!$C$2:$E$230,3,0),0)</f>
        <v>0</v>
      </c>
      <c r="E1804" s="1">
        <f>IFERROR(VLOOKUP(118,'PEDIDO 23'!$C$2:$E$230,3,0),0)</f>
        <v>0</v>
      </c>
      <c r="F1804" s="1">
        <f>IFERROR(VLOOKUP(293,'PEDIDO 23'!$C$2:$E$230,3,0),0)</f>
        <v>0</v>
      </c>
      <c r="G1804" s="18">
        <f t="shared" si="44"/>
        <v>0</v>
      </c>
    </row>
    <row r="1805" spans="1:7" ht="15.75" x14ac:dyDescent="0.25">
      <c r="A1805" s="15">
        <f>'PEDIDO 23'!$B$2</f>
        <v>0</v>
      </c>
      <c r="B1805" s="12" t="s">
        <v>418</v>
      </c>
      <c r="C1805" s="1">
        <f>IFERROR(VLOOKUP(963,'PEDIDO 23'!$C$2:$E$230,3,0),0)</f>
        <v>0</v>
      </c>
      <c r="D1805" s="1">
        <f>IFERROR(VLOOKUP(965,'PEDIDO 23'!$C$2:$E$230,3,0),0)</f>
        <v>0</v>
      </c>
      <c r="E1805" s="1">
        <f>IFERROR(VLOOKUP(966,'PEDIDO 23'!$C$2:$E$230,3,0),0)</f>
        <v>0</v>
      </c>
      <c r="F1805" s="1">
        <f>IFERROR(VLOOKUP(964,'PEDIDO 23'!$C$2:$E$230,3,0),0)</f>
        <v>0</v>
      </c>
      <c r="G1805" s="18">
        <f t="shared" si="44"/>
        <v>0</v>
      </c>
    </row>
    <row r="1806" spans="1:7" ht="15.75" x14ac:dyDescent="0.25">
      <c r="A1806" s="15">
        <f>'PEDIDO 23'!$B$2</f>
        <v>0</v>
      </c>
      <c r="B1806" s="12" t="s">
        <v>419</v>
      </c>
      <c r="C1806" s="1">
        <f>IFERROR(VLOOKUP(2042,'PEDIDO 23'!$C$2:$E$230,3,0),0)</f>
        <v>0</v>
      </c>
      <c r="D1806" s="1">
        <f>IFERROR(VLOOKUP(2041,'PEDIDO 23'!$C$2:$E$230,3,0),0)</f>
        <v>0</v>
      </c>
      <c r="E1806" s="1">
        <f>IFERROR(VLOOKUP(2043,'PEDIDO 23'!$C$2:$E$230,3,0),0)</f>
        <v>0</v>
      </c>
      <c r="F1806" s="1">
        <f>IFERROR(VLOOKUP(2040,'PEDIDO 23'!$C$2:$E$230,3,0),0)</f>
        <v>0</v>
      </c>
      <c r="G1806" s="18">
        <f t="shared" si="44"/>
        <v>0</v>
      </c>
    </row>
    <row r="1807" spans="1:7" ht="15.75" x14ac:dyDescent="0.25">
      <c r="A1807" s="15">
        <f>'PEDIDO 23'!$B$2</f>
        <v>0</v>
      </c>
      <c r="B1807" s="12" t="s">
        <v>420</v>
      </c>
      <c r="C1807" s="1">
        <f>IFERROR(VLOOKUP(2045,'PEDIDO 23'!$C$2:$E$230,3,0),0)</f>
        <v>0</v>
      </c>
      <c r="D1807" s="1">
        <f>IFERROR(VLOOKUP(2046,'PEDIDO 23'!$C$2:$E$230,3,0),0)</f>
        <v>0</v>
      </c>
      <c r="E1807" s="1">
        <f>IFERROR(VLOOKUP(2047,'PEDIDO 23'!$C$2:$E$230,3,0),0)</f>
        <v>0</v>
      </c>
      <c r="F1807" s="1">
        <f>IFERROR(VLOOKUP(2048,'PEDIDO 23'!$C$2:$E$230,3,0),0)</f>
        <v>0</v>
      </c>
      <c r="G1807" s="18">
        <f t="shared" si="44"/>
        <v>0</v>
      </c>
    </row>
    <row r="1808" spans="1:7" ht="15.75" x14ac:dyDescent="0.25">
      <c r="A1808" s="15">
        <f>'PEDIDO 23'!$B$2</f>
        <v>0</v>
      </c>
      <c r="B1808" s="12" t="s">
        <v>421</v>
      </c>
      <c r="C1808" s="1">
        <f>IFERROR(VLOOKUP(2050,'PEDIDO 23'!$C$2:$E$230,3,0),0)</f>
        <v>0</v>
      </c>
      <c r="D1808" s="1">
        <f>IFERROR(VLOOKUP(2051,'PEDIDO 23'!$C$2:$E$230,3,0),0)</f>
        <v>0</v>
      </c>
      <c r="E1808" s="1">
        <f>IFERROR(VLOOKUP(2052,'PEDIDO 23'!$C$2:$E$230,3,0),0)</f>
        <v>0</v>
      </c>
      <c r="F1808" s="1">
        <f>IFERROR(VLOOKUP(2053,'PEDIDO 23'!$C$2:$E$230,3,0),0)</f>
        <v>0</v>
      </c>
      <c r="G1808" s="18">
        <f t="shared" si="44"/>
        <v>0</v>
      </c>
    </row>
    <row r="1809" spans="1:7" ht="15.75" x14ac:dyDescent="0.25">
      <c r="A1809" s="15">
        <f>'PEDIDO 23'!$B$2</f>
        <v>0</v>
      </c>
      <c r="B1809" s="12" t="s">
        <v>422</v>
      </c>
      <c r="C1809" s="1">
        <f>IFERROR(VLOOKUP(216,'PEDIDO 23'!$C$2:$E$230,3,0),0)</f>
        <v>0</v>
      </c>
      <c r="D1809" s="1">
        <f>IFERROR(VLOOKUP(217,'PEDIDO 23'!$C$2:$E$230,3,0),0)</f>
        <v>0</v>
      </c>
      <c r="E1809" s="1">
        <f>IFERROR(VLOOKUP(218,'PEDIDO 23'!$C$2:$E$230,3,0),0)</f>
        <v>0</v>
      </c>
      <c r="F1809" s="1">
        <f>IFERROR(VLOOKUP(305,'PEDIDO 23'!$C$2:$E$230,3,0),0)</f>
        <v>0</v>
      </c>
      <c r="G1809" s="18">
        <f t="shared" si="44"/>
        <v>0</v>
      </c>
    </row>
    <row r="1810" spans="1:7" ht="15.75" x14ac:dyDescent="0.25">
      <c r="A1810" s="15">
        <f>'PEDIDO 23'!$B$2</f>
        <v>0</v>
      </c>
      <c r="B1810" s="12" t="s">
        <v>423</v>
      </c>
      <c r="C1810" s="1">
        <f>IFERROR(VLOOKUP(100,'PEDIDO 23'!$C$2:$E$230,3,0),0)</f>
        <v>0</v>
      </c>
      <c r="D1810" s="1">
        <f>IFERROR(VLOOKUP(101,'PEDIDO 23'!$C$2:$E$230,3,0),0)</f>
        <v>0</v>
      </c>
      <c r="E1810" s="1">
        <f>IFERROR(VLOOKUP(102,'PEDIDO 23'!$C$2:$E$230,3,0),0)</f>
        <v>0</v>
      </c>
      <c r="F1810" s="1">
        <f>IFERROR(VLOOKUP(306,'PEDIDO 23'!$C$2:$E$230,3,0),0)</f>
        <v>0</v>
      </c>
      <c r="G1810" s="18">
        <f t="shared" si="44"/>
        <v>0</v>
      </c>
    </row>
    <row r="1811" spans="1:7" ht="15.75" x14ac:dyDescent="0.25">
      <c r="A1811" s="15">
        <f>'PEDIDO 23'!$B$2</f>
        <v>0</v>
      </c>
      <c r="B1811" s="12" t="s">
        <v>424</v>
      </c>
      <c r="C1811" s="1">
        <f>IFERROR(VLOOKUP(104,'PEDIDO 23'!$C$2:$E$230,3,0),0)</f>
        <v>0</v>
      </c>
      <c r="D1811" s="1">
        <f>IFERROR(VLOOKUP(105,'PEDIDO 23'!$C$2:$E$230,3,0),0)</f>
        <v>0</v>
      </c>
      <c r="E1811" s="1">
        <f>IFERROR(VLOOKUP(106,'PEDIDO 23'!$C$2:$E$230,3,0),0)</f>
        <v>0</v>
      </c>
      <c r="F1811" s="1">
        <f>IFERROR(VLOOKUP(307,'PEDIDO 23'!$C$2:$E$230,3,0),0)</f>
        <v>0</v>
      </c>
      <c r="G1811" s="18">
        <f t="shared" si="44"/>
        <v>0</v>
      </c>
    </row>
    <row r="1812" spans="1:7" ht="15.75" x14ac:dyDescent="0.25">
      <c r="A1812" s="15">
        <f>'PEDIDO 23'!$B$2</f>
        <v>0</v>
      </c>
      <c r="B1812" s="12" t="s">
        <v>425</v>
      </c>
      <c r="C1812" s="1">
        <f>IFERROR(VLOOKUP(400,'PEDIDO 23'!$C$2:$E$230,3,0),0)</f>
        <v>0</v>
      </c>
      <c r="D1812" s="1">
        <f>IFERROR(VLOOKUP(401,'PEDIDO 23'!$C$2:$E$230,3,0),0)</f>
        <v>0</v>
      </c>
      <c r="E1812" s="1">
        <f>IFERROR(VLOOKUP(402,'PEDIDO 23'!$C$2:$E$230,3,0),0)</f>
        <v>0</v>
      </c>
      <c r="F1812" s="1">
        <f>IFERROR(VLOOKUP(403,'PEDIDO 23'!$C$2:$E$230,3,0),0)</f>
        <v>0</v>
      </c>
      <c r="G1812" s="18">
        <f t="shared" si="44"/>
        <v>0</v>
      </c>
    </row>
    <row r="1813" spans="1:7" ht="15.75" x14ac:dyDescent="0.25">
      <c r="A1813" s="15">
        <f>'PEDIDO 23'!$B$2</f>
        <v>0</v>
      </c>
      <c r="B1813" s="12" t="s">
        <v>428</v>
      </c>
      <c r="C1813" s="1">
        <f>IFERROR(VLOOKUP(22,'PEDIDO 23'!$C$2:$E$230,3,0),0)</f>
        <v>0</v>
      </c>
      <c r="D1813" s="1"/>
      <c r="E1813" s="1"/>
      <c r="F1813" s="1"/>
      <c r="G1813" s="18">
        <f t="shared" si="44"/>
        <v>0</v>
      </c>
    </row>
    <row r="1814" spans="1:7" ht="15.75" x14ac:dyDescent="0.25">
      <c r="A1814" s="15">
        <f>'PEDIDO 23'!$B$2</f>
        <v>0</v>
      </c>
      <c r="B1814" s="12" t="s">
        <v>429</v>
      </c>
      <c r="C1814" s="1">
        <f>IFERROR(VLOOKUP(21,'PEDIDO 23'!$C$2:$E$230,3,0),0)</f>
        <v>0</v>
      </c>
      <c r="D1814" s="1"/>
      <c r="E1814" s="1"/>
      <c r="F1814" s="1"/>
      <c r="G1814" s="18">
        <f t="shared" si="44"/>
        <v>0</v>
      </c>
    </row>
    <row r="1815" spans="1:7" ht="15.75" x14ac:dyDescent="0.25">
      <c r="A1815" s="15">
        <f>'PEDIDO 23'!$B$2</f>
        <v>0</v>
      </c>
      <c r="B1815" s="12" t="s">
        <v>430</v>
      </c>
      <c r="C1815" s="1">
        <f>IFERROR(VLOOKUP(1125,'PEDIDO 23'!$C$2:$E$230,3,0),0)</f>
        <v>0</v>
      </c>
      <c r="D1815" s="1">
        <f>IFERROR(VLOOKUP(1126,'PEDIDO 23'!$C$2:$E$230,3,0),0)</f>
        <v>0</v>
      </c>
      <c r="E1815" s="1">
        <f>IFERROR(VLOOKUP(1127,'PEDIDO 23'!$C$2:$E$230,3,0),0)</f>
        <v>0</v>
      </c>
      <c r="F1815" s="1">
        <f>IFERROR(VLOOKUP(1128,'PEDIDO 23'!$C$2:$E$230,3,0),0)</f>
        <v>0</v>
      </c>
      <c r="G1815" s="18">
        <f t="shared" si="44"/>
        <v>0</v>
      </c>
    </row>
    <row r="1816" spans="1:7" ht="15.75" x14ac:dyDescent="0.25">
      <c r="A1816" s="15">
        <f>'PEDIDO 23'!$B$2</f>
        <v>0</v>
      </c>
      <c r="B1816" s="12" t="s">
        <v>431</v>
      </c>
      <c r="C1816" s="1">
        <f>IFERROR(VLOOKUP(1133,'PEDIDO 23'!$C$2:$E$230,3,0),0)</f>
        <v>0</v>
      </c>
      <c r="D1816" s="1">
        <f>IFERROR(VLOOKUP(1134,'PEDIDO 23'!$C$2:$E$230,3,0),0)</f>
        <v>0</v>
      </c>
      <c r="E1816" s="1">
        <f>IFERROR(VLOOKUP(1135,'PEDIDO 23'!$C$2:$E$230,3,0),0)</f>
        <v>0</v>
      </c>
      <c r="F1816" s="1">
        <f>IFERROR(VLOOKUP(1136,'PEDIDO 23'!$C$2:$E$230,3,0),0)</f>
        <v>0</v>
      </c>
      <c r="G1816" s="18">
        <f t="shared" si="44"/>
        <v>0</v>
      </c>
    </row>
    <row r="1817" spans="1:7" ht="15.75" x14ac:dyDescent="0.25">
      <c r="A1817" s="15">
        <f>'PEDIDO 23'!$B$2</f>
        <v>0</v>
      </c>
      <c r="B1817" s="12" t="s">
        <v>432</v>
      </c>
      <c r="C1817" s="1">
        <f>IFERROR(VLOOKUP(1105,'PEDIDO 23'!$C$2:$E$230,3,0),0)</f>
        <v>0</v>
      </c>
      <c r="D1817" s="1">
        <f>IFERROR(VLOOKUP(1106,'PEDIDO 23'!$C$2:$E$230,3,0),0)</f>
        <v>0</v>
      </c>
      <c r="E1817" s="1">
        <f>IFERROR(VLOOKUP(1107,'PEDIDO 23'!$C$2:$E$230,3,0),0)</f>
        <v>0</v>
      </c>
      <c r="F1817" s="1">
        <f>IFERROR(VLOOKUP(1108,'PEDIDO 23'!$C$2:$E$230,3,0),0)</f>
        <v>0</v>
      </c>
      <c r="G1817" s="18">
        <f t="shared" si="44"/>
        <v>0</v>
      </c>
    </row>
    <row r="1818" spans="1:7" ht="15.75" x14ac:dyDescent="0.25">
      <c r="A1818" s="15">
        <f>'PEDIDO 23'!$B$2</f>
        <v>0</v>
      </c>
      <c r="B1818" s="12" t="s">
        <v>433</v>
      </c>
      <c r="C1818" s="1">
        <f>IFERROR(VLOOKUP(1109,'PEDIDO 23'!$C$2:$E$230,3,0),0)</f>
        <v>0</v>
      </c>
      <c r="D1818" s="1">
        <f>IFERROR(VLOOKUP(1110,'PEDIDO 23'!$C$2:$E$230,3,0),0)</f>
        <v>0</v>
      </c>
      <c r="E1818" s="1">
        <f>IFERROR(VLOOKUP(1111,'PEDIDO 23'!$C$2:$E$230,3,0),0)</f>
        <v>0</v>
      </c>
      <c r="F1818" s="1">
        <f>IFERROR(VLOOKUP(1112,'PEDIDO 23'!$C$2:$E$230,3,0),0)</f>
        <v>0</v>
      </c>
      <c r="G1818" s="18">
        <f t="shared" si="44"/>
        <v>0</v>
      </c>
    </row>
    <row r="1819" spans="1:7" ht="15.75" x14ac:dyDescent="0.25">
      <c r="A1819" s="15">
        <f>'PEDIDO 23'!$B$2</f>
        <v>0</v>
      </c>
      <c r="B1819" s="12" t="s">
        <v>434</v>
      </c>
      <c r="C1819" s="1">
        <f>IFERROR(VLOOKUP(1113,'PEDIDO 23'!$C$2:$E$230,3,0),0)</f>
        <v>0</v>
      </c>
      <c r="D1819" s="1">
        <f>IFERROR(VLOOKUP(1114,'PEDIDO 23'!$C$2:$E$230,3,0),0)</f>
        <v>0</v>
      </c>
      <c r="E1819" s="1">
        <f>IFERROR(VLOOKUP(1115,'PEDIDO 23'!$C$2:$E$230,3,0),0)</f>
        <v>0</v>
      </c>
      <c r="F1819" s="1">
        <f>IFERROR(VLOOKUP(1116,'PEDIDO 23'!$C$2:$E$230,3,0),0)</f>
        <v>0</v>
      </c>
      <c r="G1819" s="18">
        <f t="shared" si="44"/>
        <v>0</v>
      </c>
    </row>
    <row r="1820" spans="1:7" ht="15.75" x14ac:dyDescent="0.25">
      <c r="A1820" s="15">
        <f>'PEDIDO 23'!$B$2</f>
        <v>0</v>
      </c>
      <c r="B1820" s="12" t="s">
        <v>435</v>
      </c>
      <c r="C1820" s="1">
        <f>IFERROR(VLOOKUP(1117,'PEDIDO 23'!$C$2:$E$230,3,0),0)</f>
        <v>0</v>
      </c>
      <c r="D1820" s="1">
        <f>IFERROR(VLOOKUP(1118,'PEDIDO 23'!$C$2:$E$230,3,0),0)</f>
        <v>0</v>
      </c>
      <c r="E1820" s="1">
        <f>IFERROR(VLOOKUP(1119,'PEDIDO 23'!$C$2:$E$230,3,0),0)</f>
        <v>0</v>
      </c>
      <c r="F1820" s="1">
        <f>IFERROR(VLOOKUP(1120,'PEDIDO 23'!$C$2:$E$230,3,0),0)</f>
        <v>0</v>
      </c>
      <c r="G1820" s="18">
        <f t="shared" si="44"/>
        <v>0</v>
      </c>
    </row>
    <row r="1821" spans="1:7" ht="15.75" x14ac:dyDescent="0.25">
      <c r="A1821" s="15">
        <f>'PEDIDO 23'!$B$2</f>
        <v>0</v>
      </c>
      <c r="B1821" s="12" t="s">
        <v>436</v>
      </c>
      <c r="C1821" s="1">
        <f>IFERROR(VLOOKUP(1121,'PEDIDO 23'!$C$2:$E$230,3,0),0)</f>
        <v>0</v>
      </c>
      <c r="D1821" s="1">
        <f>IFERROR(VLOOKUP(1122,'PEDIDO 23'!$C$2:$E$230,3,0),0)</f>
        <v>0</v>
      </c>
      <c r="E1821" s="1">
        <f>IFERROR(VLOOKUP(1123,'PEDIDO 23'!$C$2:$E$230,3,0),0)</f>
        <v>0</v>
      </c>
      <c r="F1821" s="1">
        <f>IFERROR(VLOOKUP(1124,'PEDIDO 23'!$C$2:$E$230,3,0),0)</f>
        <v>0</v>
      </c>
      <c r="G1821" s="18">
        <f t="shared" si="44"/>
        <v>0</v>
      </c>
    </row>
    <row r="1822" spans="1:7" ht="15.75" x14ac:dyDescent="0.25">
      <c r="A1822" s="15">
        <f>'PEDIDO 23'!$B$2</f>
        <v>0</v>
      </c>
      <c r="B1822" s="12" t="s">
        <v>437</v>
      </c>
      <c r="C1822" s="1">
        <f>IFERROR(VLOOKUP(1129,'PEDIDO 23'!$C$2:$E$230,3,0),0)</f>
        <v>0</v>
      </c>
      <c r="D1822" s="1">
        <f>IFERROR(VLOOKUP(1130,'PEDIDO 23'!$C$2:$E$230,3,0),0)</f>
        <v>0</v>
      </c>
      <c r="E1822" s="1">
        <f>IFERROR(VLOOKUP(1131,'PEDIDO 23'!$C$2:$E$230,3,0),0)</f>
        <v>0</v>
      </c>
      <c r="F1822" s="1">
        <f>IFERROR(VLOOKUP(1132,'PEDIDO 23'!$C$2:$E$230,3,0),0)</f>
        <v>0</v>
      </c>
      <c r="G1822" s="18">
        <f t="shared" si="44"/>
        <v>0</v>
      </c>
    </row>
    <row r="1823" spans="1:7" ht="15.75" x14ac:dyDescent="0.25">
      <c r="A1823" s="15">
        <f>'PEDIDO 23'!$B$2</f>
        <v>0</v>
      </c>
      <c r="B1823" s="12" t="s">
        <v>438</v>
      </c>
      <c r="C1823" s="1">
        <f>IFERROR(VLOOKUP(1137,'PEDIDO 23'!$C$2:$E$230,3,0),0)</f>
        <v>0</v>
      </c>
      <c r="D1823" s="1">
        <f>IFERROR(VLOOKUP(1138,'PEDIDO 23'!$C$2:$E$230,3,0),0)</f>
        <v>0</v>
      </c>
      <c r="E1823" s="1">
        <f>IFERROR(VLOOKUP(1139,'PEDIDO 23'!$C$2:$E$230,3,0),0)</f>
        <v>0</v>
      </c>
      <c r="F1823" s="1">
        <f>IFERROR(VLOOKUP(1140,'PEDIDO 23'!$C$2:$E$230,3,0),0)</f>
        <v>0</v>
      </c>
      <c r="G1823" s="18">
        <f t="shared" si="44"/>
        <v>0</v>
      </c>
    </row>
    <row r="1824" spans="1:7" ht="15.75" x14ac:dyDescent="0.25">
      <c r="A1824" s="15">
        <f>'PEDIDO 23'!$B$2</f>
        <v>0</v>
      </c>
      <c r="B1824" s="12" t="s">
        <v>439</v>
      </c>
      <c r="C1824" s="1">
        <f>IFERROR(VLOOKUP(1141,'PEDIDO 23'!$C$2:$E$230,3,0),0)</f>
        <v>0</v>
      </c>
      <c r="D1824" s="1">
        <f>IFERROR(VLOOKUP(1142,'PEDIDO 23'!$C$2:$E$230,3,0),0)</f>
        <v>0</v>
      </c>
      <c r="E1824" s="1">
        <f>IFERROR(VLOOKUP(1143,'PEDIDO 23'!$C$2:$E$230,3,0),0)</f>
        <v>0</v>
      </c>
      <c r="F1824" s="1">
        <f>IFERROR(VLOOKUP(1144,'PEDIDO 23'!$C$2:$E$230,3,0),0)</f>
        <v>0</v>
      </c>
      <c r="G1824" s="18">
        <f t="shared" si="44"/>
        <v>0</v>
      </c>
    </row>
    <row r="1825" spans="1:7" ht="15.75" x14ac:dyDescent="0.25">
      <c r="A1825" s="15">
        <f>'PEDIDO 23'!$B$2</f>
        <v>0</v>
      </c>
      <c r="B1825" s="12" t="s">
        <v>440</v>
      </c>
      <c r="C1825" s="1">
        <f>IFERROR(VLOOKUP(1145,'PEDIDO 23'!$C$2:$E$230,3,0),0)</f>
        <v>0</v>
      </c>
      <c r="D1825" s="1">
        <f>IFERROR(VLOOKUP(1146,'PEDIDO 23'!$C$2:$E$230,3,0),0)</f>
        <v>0</v>
      </c>
      <c r="E1825" s="1">
        <f>IFERROR(VLOOKUP(1147,'PEDIDO 23'!$C$2:$E$230,3,0),0)</f>
        <v>0</v>
      </c>
      <c r="F1825" s="1">
        <f>IFERROR(VLOOKUP(1148,'PEDIDO 23'!$C$2:$E$230,3,0),0)</f>
        <v>0</v>
      </c>
      <c r="G1825" s="18">
        <f t="shared" si="44"/>
        <v>0</v>
      </c>
    </row>
    <row r="1826" spans="1:7" ht="15.75" x14ac:dyDescent="0.25">
      <c r="A1826" s="15">
        <f>'PEDIDO 23'!$B$2</f>
        <v>0</v>
      </c>
      <c r="B1826" s="12" t="s">
        <v>441</v>
      </c>
      <c r="C1826" s="1">
        <f>IFERROR(VLOOKUP(1149,'PEDIDO 23'!$C$2:$E$230,3,0),0)</f>
        <v>0</v>
      </c>
      <c r="D1826" s="1">
        <f>IFERROR(VLOOKUP(1150,'PEDIDO 23'!$C$2:$E$230,3,0),0)</f>
        <v>0</v>
      </c>
      <c r="E1826" s="1">
        <f>IFERROR(VLOOKUP(1151,'PEDIDO 23'!$C$2:$E$230,3,0),0)</f>
        <v>0</v>
      </c>
      <c r="F1826" s="1">
        <f>IFERROR(VLOOKUP(1152,'PEDIDO 23'!$C$2:$E$230,3,0),0)</f>
        <v>0</v>
      </c>
      <c r="G1826" s="18">
        <f t="shared" si="44"/>
        <v>0</v>
      </c>
    </row>
    <row r="1827" spans="1:7" ht="15.75" x14ac:dyDescent="0.25">
      <c r="A1827" s="15">
        <f>'PEDIDO 23'!$B$2</f>
        <v>0</v>
      </c>
      <c r="B1827" s="12" t="s">
        <v>442</v>
      </c>
      <c r="C1827" s="1">
        <f>IFERROR(VLOOKUP(1153,'PEDIDO 23'!$C$2:$E$230,3,0),0)</f>
        <v>0</v>
      </c>
      <c r="D1827" s="1">
        <f>IFERROR(VLOOKUP(1154,'PEDIDO 23'!$C$2:$E$230,3,0),0)</f>
        <v>0</v>
      </c>
      <c r="E1827" s="1">
        <f>IFERROR(VLOOKUP(1155,'PEDIDO 23'!$C$2:$E$230,3,0),0)</f>
        <v>0</v>
      </c>
      <c r="F1827" s="1">
        <f>IFERROR(VLOOKUP(1156,'PEDIDO 23'!$C$2:$E$230,3,0),0)</f>
        <v>0</v>
      </c>
      <c r="G1827" s="18">
        <f t="shared" si="44"/>
        <v>0</v>
      </c>
    </row>
    <row r="1828" spans="1:7" ht="15.75" x14ac:dyDescent="0.25">
      <c r="A1828" s="15">
        <f>'PEDIDO 23'!$B$2</f>
        <v>0</v>
      </c>
      <c r="B1828" s="12" t="s">
        <v>443</v>
      </c>
      <c r="C1828" s="1">
        <f>IFERROR(VLOOKUP(1157,'PEDIDO 23'!$C$2:$E$230,3,0),0)</f>
        <v>0</v>
      </c>
      <c r="D1828" s="1">
        <f>IFERROR(VLOOKUP(1158,'PEDIDO 23'!$C$2:$E$230,3,0),0)</f>
        <v>0</v>
      </c>
      <c r="E1828" s="1">
        <f>IFERROR(VLOOKUP(1159,'PEDIDO 23'!$C$2:$E$230,3,0),0)</f>
        <v>0</v>
      </c>
      <c r="F1828" s="1">
        <f>IFERROR(VLOOKUP(1160,'PEDIDO 23'!$C$2:$E$230,3,0),0)</f>
        <v>0</v>
      </c>
      <c r="G1828" s="18">
        <f t="shared" si="44"/>
        <v>0</v>
      </c>
    </row>
    <row r="1829" spans="1:7" ht="15.75" x14ac:dyDescent="0.25">
      <c r="A1829" s="15">
        <f>'PEDIDO 23'!$B$2</f>
        <v>0</v>
      </c>
      <c r="B1829" s="12" t="s">
        <v>444</v>
      </c>
      <c r="C1829" s="1">
        <f>IFERROR(VLOOKUP(1161,'PEDIDO 23'!$C$2:$E$230,3,0),0)</f>
        <v>0</v>
      </c>
      <c r="D1829" s="1">
        <f>IFERROR(VLOOKUP(1162,'PEDIDO 23'!$C$2:$E$230,3,0),0)</f>
        <v>0</v>
      </c>
      <c r="E1829" s="1">
        <f>IFERROR(VLOOKUP(1163,'PEDIDO 23'!$C$2:$E$230,3,0),0)</f>
        <v>0</v>
      </c>
      <c r="F1829" s="1">
        <f>IFERROR(VLOOKUP(1164,'PEDIDO 23'!$C$2:$E$230,3,0),0)</f>
        <v>0</v>
      </c>
      <c r="G1829" s="18">
        <f t="shared" si="44"/>
        <v>0</v>
      </c>
    </row>
    <row r="1830" spans="1:7" ht="15.75" x14ac:dyDescent="0.25">
      <c r="A1830" s="15">
        <f>'PEDIDO 23'!$B$2</f>
        <v>0</v>
      </c>
      <c r="B1830" s="12" t="s">
        <v>445</v>
      </c>
      <c r="C1830" s="1">
        <f>IFERROR(VLOOKUP(1165,'PEDIDO 23'!$C$2:$E$230,3,0),0)</f>
        <v>0</v>
      </c>
      <c r="D1830" s="1">
        <f>IFERROR(VLOOKUP(1166,'PEDIDO 23'!$C$2:$E$230,3,0),0)</f>
        <v>0</v>
      </c>
      <c r="E1830" s="1">
        <f>IFERROR(VLOOKUP(1167,'PEDIDO 23'!$C$2:$E$230,3,0),0)</f>
        <v>0</v>
      </c>
      <c r="F1830" s="1">
        <f>IFERROR(VLOOKUP(1168,'PEDIDO 23'!$C$2:$E$230,3,0),0)</f>
        <v>0</v>
      </c>
      <c r="G1830" s="18">
        <f t="shared" si="44"/>
        <v>0</v>
      </c>
    </row>
    <row r="1831" spans="1:7" ht="15.75" x14ac:dyDescent="0.25">
      <c r="A1831" s="15">
        <f>'PEDIDO 23'!$B$2</f>
        <v>0</v>
      </c>
      <c r="B1831" s="12" t="s">
        <v>446</v>
      </c>
      <c r="C1831" s="1">
        <f>IFERROR(VLOOKUP(1169,'PEDIDO 23'!$C$2:$E$230,3,0),0)</f>
        <v>0</v>
      </c>
      <c r="D1831" s="1">
        <f>IFERROR(VLOOKUP(1170,'PEDIDO 23'!$C$2:$E$230,3,0),0)</f>
        <v>0</v>
      </c>
      <c r="E1831" s="1">
        <f>IFERROR(VLOOKUP(1171,'PEDIDO 23'!$C$2:$E$230,3,0),0)</f>
        <v>0</v>
      </c>
      <c r="F1831" s="1">
        <f>IFERROR(VLOOKUP(1172,'PEDIDO 23'!$C$2:$E$230,3,0),0)</f>
        <v>0</v>
      </c>
      <c r="G1831" s="18">
        <f t="shared" si="44"/>
        <v>0</v>
      </c>
    </row>
    <row r="1832" spans="1:7" ht="15.75" x14ac:dyDescent="0.25">
      <c r="A1832" s="15">
        <f>'PEDIDO 23'!$B$2</f>
        <v>0</v>
      </c>
      <c r="B1832" s="12" t="s">
        <v>447</v>
      </c>
      <c r="C1832" s="1">
        <f>IFERROR(VLOOKUP(1173,'PEDIDO 23'!$C$2:$E$230,3,0),0)</f>
        <v>0</v>
      </c>
      <c r="D1832" s="1">
        <f>IFERROR(VLOOKUP(1174,'PEDIDO 23'!$C$2:$E$230,3,0),0)</f>
        <v>0</v>
      </c>
      <c r="E1832" s="1">
        <f>IFERROR(VLOOKUP(1175,'PEDIDO 23'!$C$2:$E$230,3,0),0)</f>
        <v>0</v>
      </c>
      <c r="F1832" s="1">
        <f>IFERROR(VLOOKUP(1176,'PEDIDO 23'!$C$2:$E$230,3,0),0)</f>
        <v>0</v>
      </c>
      <c r="G1832" s="18">
        <f t="shared" si="44"/>
        <v>0</v>
      </c>
    </row>
    <row r="1833" spans="1:7" ht="15.75" x14ac:dyDescent="0.25">
      <c r="A1833" s="15">
        <f>'PEDIDO 23'!$B$2</f>
        <v>0</v>
      </c>
      <c r="B1833" s="12" t="s">
        <v>448</v>
      </c>
      <c r="C1833" s="1">
        <f>IFERROR(VLOOKUP(1249,'PEDIDO 23'!$C$2:$E$230,3,0),0)</f>
        <v>0</v>
      </c>
      <c r="D1833" s="1">
        <f>IFERROR(VLOOKUP(1250,'PEDIDO 23'!$C$2:$E$230,3,0),0)</f>
        <v>0</v>
      </c>
      <c r="E1833" s="1">
        <f>IFERROR(VLOOKUP(1251,'PEDIDO 23'!$C$2:$E$230,3,0),0)</f>
        <v>0</v>
      </c>
      <c r="F1833" s="1">
        <f>IFERROR(VLOOKUP(1252,'PEDIDO 23'!$C$2:$E$230,3,0),0)</f>
        <v>0</v>
      </c>
      <c r="G1833" s="18">
        <f t="shared" si="44"/>
        <v>0</v>
      </c>
    </row>
    <row r="1834" spans="1:7" ht="15.75" x14ac:dyDescent="0.25">
      <c r="A1834" s="15">
        <f>'PEDIDO 23'!$B$2</f>
        <v>0</v>
      </c>
      <c r="B1834" s="12" t="s">
        <v>449</v>
      </c>
      <c r="C1834" s="1">
        <f>IFERROR(VLOOKUP(1177,'PEDIDO 23'!$C$2:$E$230,3,0),0)</f>
        <v>0</v>
      </c>
      <c r="D1834" s="1">
        <f>IFERROR(VLOOKUP(1178,'PEDIDO 23'!$C$2:$E$230,3,0),0)</f>
        <v>0</v>
      </c>
      <c r="E1834" s="1">
        <f>IFERROR(VLOOKUP(1179,'PEDIDO 23'!$C$2:$E$230,3,0),0)</f>
        <v>0</v>
      </c>
      <c r="F1834" s="1">
        <f>IFERROR(VLOOKUP(1180,'PEDIDO 23'!$C$2:$E$230,3,0),0)</f>
        <v>0</v>
      </c>
      <c r="G1834" s="18">
        <f t="shared" si="44"/>
        <v>0</v>
      </c>
    </row>
    <row r="1835" spans="1:7" ht="15.75" x14ac:dyDescent="0.25">
      <c r="A1835" s="15">
        <f>'PEDIDO 23'!$B$2</f>
        <v>0</v>
      </c>
      <c r="B1835" s="12" t="s">
        <v>450</v>
      </c>
      <c r="C1835" s="1">
        <f>IFERROR(VLOOKUP(1181,'PEDIDO 23'!$C$2:$E$230,3,0),0)</f>
        <v>0</v>
      </c>
      <c r="D1835" s="1">
        <f>IFERROR(VLOOKUP(1182,'PEDIDO 23'!$C$2:$E$230,3,0),0)</f>
        <v>0</v>
      </c>
      <c r="E1835" s="1">
        <f>IFERROR(VLOOKUP(1183,'PEDIDO 23'!$C$2:$E$230,3,0),0)</f>
        <v>0</v>
      </c>
      <c r="F1835" s="1">
        <f>IFERROR(VLOOKUP(1184,'PEDIDO 23'!$C$2:$E$230,3,0),0)</f>
        <v>0</v>
      </c>
      <c r="G1835" s="18">
        <f t="shared" si="44"/>
        <v>0</v>
      </c>
    </row>
    <row r="1836" spans="1:7" ht="15.75" x14ac:dyDescent="0.25">
      <c r="A1836" s="15">
        <f>'PEDIDO 23'!$B$2</f>
        <v>0</v>
      </c>
      <c r="B1836" s="12" t="s">
        <v>451</v>
      </c>
      <c r="C1836" s="1">
        <f>IFERROR(VLOOKUP(1185,'PEDIDO 23'!$C$2:$E$230,3,0),0)</f>
        <v>0</v>
      </c>
      <c r="D1836" s="1">
        <f>IFERROR(VLOOKUP(1186,'PEDIDO 23'!$C$2:$E$230,3,0),0)</f>
        <v>0</v>
      </c>
      <c r="E1836" s="1">
        <f>IFERROR(VLOOKUP(1187,'PEDIDO 23'!$C$2:$E$230,3,0),0)</f>
        <v>0</v>
      </c>
      <c r="F1836" s="1">
        <f>IFERROR(VLOOKUP(1188,'PEDIDO 23'!$C$2:$E$230,3,0),0)</f>
        <v>0</v>
      </c>
      <c r="G1836" s="18">
        <f t="shared" si="44"/>
        <v>0</v>
      </c>
    </row>
    <row r="1837" spans="1:7" ht="15.75" x14ac:dyDescent="0.25">
      <c r="A1837" s="15">
        <f>'PEDIDO 23'!$B$2</f>
        <v>0</v>
      </c>
      <c r="B1837" s="12" t="s">
        <v>452</v>
      </c>
      <c r="C1837" s="1">
        <f>IFERROR(VLOOKUP(1189,'PEDIDO 23'!$C$2:$E$230,3,0),0)</f>
        <v>0</v>
      </c>
      <c r="D1837" s="1">
        <f>IFERROR(VLOOKUP(1190,'PEDIDO 23'!$C$2:$E$230,3,0),0)</f>
        <v>0</v>
      </c>
      <c r="E1837" s="1">
        <f>IFERROR(VLOOKUP(1191,'PEDIDO 23'!$C$2:$E$230,3,0),0)</f>
        <v>0</v>
      </c>
      <c r="F1837" s="1">
        <f>IFERROR(VLOOKUP(1192,'PEDIDO 23'!$C$2:$E$230,3,0),0)</f>
        <v>0</v>
      </c>
      <c r="G1837" s="18">
        <f t="shared" si="44"/>
        <v>0</v>
      </c>
    </row>
    <row r="1838" spans="1:7" ht="15.75" x14ac:dyDescent="0.25">
      <c r="A1838" s="15">
        <f>'PEDIDO 23'!$B$2</f>
        <v>0</v>
      </c>
      <c r="B1838" s="12" t="s">
        <v>453</v>
      </c>
      <c r="C1838" s="1">
        <f>IFERROR(VLOOKUP(1193,'PEDIDO 23'!$C$2:$E$230,3,0),0)</f>
        <v>0</v>
      </c>
      <c r="D1838" s="1">
        <f>IFERROR(VLOOKUP(1194,'PEDIDO 23'!$C$2:$E$230,3,0),0)</f>
        <v>0</v>
      </c>
      <c r="E1838" s="1">
        <f>IFERROR(VLOOKUP(1195,'PEDIDO 23'!$C$2:$E$230,3,0),0)</f>
        <v>0</v>
      </c>
      <c r="F1838" s="1">
        <f>IFERROR(VLOOKUP(1196,'PEDIDO 23'!$C$2:$E$230,3,0),0)</f>
        <v>0</v>
      </c>
      <c r="G1838" s="18">
        <f t="shared" si="44"/>
        <v>0</v>
      </c>
    </row>
    <row r="1839" spans="1:7" ht="15.75" x14ac:dyDescent="0.25">
      <c r="A1839" s="15">
        <f>'PEDIDO 23'!$B$2</f>
        <v>0</v>
      </c>
      <c r="B1839" s="12" t="s">
        <v>454</v>
      </c>
      <c r="C1839" s="1">
        <f>IFERROR(VLOOKUP(1197,'PEDIDO 23'!$C$2:$E$230,3,0),0)</f>
        <v>0</v>
      </c>
      <c r="D1839" s="1">
        <f>IFERROR(VLOOKUP(1198,'PEDIDO 23'!$C$2:$E$230,3,0),0)</f>
        <v>0</v>
      </c>
      <c r="E1839" s="1">
        <f>IFERROR(VLOOKUP(1199,'PEDIDO 23'!$C$2:$E$230,3,0),0)</f>
        <v>0</v>
      </c>
      <c r="F1839" s="1">
        <f>IFERROR(VLOOKUP(1200,'PEDIDO 23'!$C$2:$E$230,3,0),0)</f>
        <v>0</v>
      </c>
      <c r="G1839" s="18">
        <f t="shared" si="44"/>
        <v>0</v>
      </c>
    </row>
    <row r="1840" spans="1:7" ht="15.75" x14ac:dyDescent="0.25">
      <c r="A1840" s="15">
        <f>'PEDIDO 23'!$B$2</f>
        <v>0</v>
      </c>
      <c r="B1840" s="12" t="s">
        <v>455</v>
      </c>
      <c r="C1840" s="1">
        <f>IFERROR(VLOOKUP(1201,'PEDIDO 23'!$C$2:$E$230,3,0),0)</f>
        <v>0</v>
      </c>
      <c r="D1840" s="1">
        <f>IFERROR(VLOOKUP(1202,'PEDIDO 23'!$C$2:$E$230,3,0),0)</f>
        <v>0</v>
      </c>
      <c r="E1840" s="1">
        <f>IFERROR(VLOOKUP(1203,'PEDIDO 23'!$C$2:$E$230,3,0),0)</f>
        <v>0</v>
      </c>
      <c r="F1840" s="1">
        <f>IFERROR(VLOOKUP(1204,'PEDIDO 23'!$C$2:$E$230,3,0),0)</f>
        <v>0</v>
      </c>
      <c r="G1840" s="18">
        <f t="shared" si="44"/>
        <v>0</v>
      </c>
    </row>
    <row r="1841" spans="1:7" ht="15.75" x14ac:dyDescent="0.25">
      <c r="A1841" s="15">
        <f>'PEDIDO 23'!$B$2</f>
        <v>0</v>
      </c>
      <c r="B1841" s="12" t="s">
        <v>456</v>
      </c>
      <c r="C1841" s="1">
        <f>IFERROR(VLOOKUP(1205,'PEDIDO 23'!$C$2:$E$230,3,0),0)</f>
        <v>0</v>
      </c>
      <c r="D1841" s="1">
        <f>IFERROR(VLOOKUP(1206,'PEDIDO 23'!$C$2:$E$230,3,0),0)</f>
        <v>0</v>
      </c>
      <c r="E1841" s="1">
        <f>IFERROR(VLOOKUP(1207,'PEDIDO 23'!$C$2:$E$230,3,0),0)</f>
        <v>0</v>
      </c>
      <c r="F1841" s="1">
        <f>IFERROR(VLOOKUP(1208,'PEDIDO 23'!$C$2:$E$230,3,0),0)</f>
        <v>0</v>
      </c>
      <c r="G1841" s="18">
        <f t="shared" si="44"/>
        <v>0</v>
      </c>
    </row>
    <row r="1842" spans="1:7" ht="15.75" x14ac:dyDescent="0.25">
      <c r="A1842" s="15">
        <f>'PEDIDO 23'!$B$2</f>
        <v>0</v>
      </c>
      <c r="B1842" s="12" t="s">
        <v>457</v>
      </c>
      <c r="C1842" s="1">
        <f>IFERROR(VLOOKUP(1213,'PEDIDO 23'!$C$2:$E$230,3,0),0)</f>
        <v>0</v>
      </c>
      <c r="D1842" s="1">
        <f>IFERROR(VLOOKUP(1214,'PEDIDO 23'!$C$2:$E$230,3,0),0)</f>
        <v>0</v>
      </c>
      <c r="E1842" s="1">
        <f>IFERROR(VLOOKUP(1215,'PEDIDO 23'!$C$2:$E$230,3,0),0)</f>
        <v>0</v>
      </c>
      <c r="F1842" s="10">
        <f>IFERROR(VLOOKUP(1216,'PEDIDO 23'!$C$2:$E$230,3,0),0)</f>
        <v>0</v>
      </c>
      <c r="G1842" s="18">
        <f t="shared" si="44"/>
        <v>0</v>
      </c>
    </row>
    <row r="1843" spans="1:7" ht="15.75" x14ac:dyDescent="0.25">
      <c r="A1843" s="15">
        <f>'PEDIDO 23'!$B$2</f>
        <v>0</v>
      </c>
      <c r="B1843" s="12" t="s">
        <v>458</v>
      </c>
      <c r="C1843" s="1">
        <f>IFERROR(VLOOKUP(1209,'PEDIDO 23'!$C$2:$E$230,3,0),0)</f>
        <v>0</v>
      </c>
      <c r="D1843" s="1">
        <f>IFERROR(VLOOKUP(1210,'PEDIDO 23'!$C$2:$E$230,3,0),0)</f>
        <v>0</v>
      </c>
      <c r="E1843" s="1">
        <f>IFERROR(VLOOKUP(1211,'PEDIDO 23'!$C$2:$E$230,3,0),0)</f>
        <v>0</v>
      </c>
      <c r="F1843" s="1">
        <f>IFERROR(VLOOKUP(1212,'PEDIDO 23'!$C$2:$E$230,3,0),0)</f>
        <v>0</v>
      </c>
      <c r="G1843" s="18">
        <f t="shared" si="44"/>
        <v>0</v>
      </c>
    </row>
    <row r="1844" spans="1:7" ht="15.75" x14ac:dyDescent="0.25">
      <c r="A1844" s="15">
        <f>'PEDIDO 23'!$B$2</f>
        <v>0</v>
      </c>
      <c r="B1844" s="12" t="s">
        <v>459</v>
      </c>
      <c r="C1844" s="1">
        <f>IFERROR(VLOOKUP(1217,'PEDIDO 23'!$C$2:$E$230,3,0),0)</f>
        <v>0</v>
      </c>
      <c r="D1844" s="1">
        <f>IFERROR(VLOOKUP(1218,'PEDIDO 23'!$C$2:$E$230,3,0),0)</f>
        <v>0</v>
      </c>
      <c r="E1844" s="1">
        <f>IFERROR(VLOOKUP(1219,'PEDIDO 23'!$C$2:$E$230,3,0),0)</f>
        <v>0</v>
      </c>
      <c r="F1844" s="1">
        <f>IFERROR(VLOOKUP(1220,'PEDIDO 23'!$C$2:$E$230,3,0),0)</f>
        <v>0</v>
      </c>
      <c r="G1844" s="18">
        <f t="shared" si="44"/>
        <v>0</v>
      </c>
    </row>
    <row r="1845" spans="1:7" ht="15.75" x14ac:dyDescent="0.25">
      <c r="A1845" s="15">
        <f>'PEDIDO 23'!$B$2</f>
        <v>0</v>
      </c>
      <c r="B1845" s="12" t="s">
        <v>461</v>
      </c>
      <c r="C1845" s="1">
        <f>IFERROR(VLOOKUP(1225,'PEDIDO 23'!$C$2:$E$230,3,0),0)</f>
        <v>0</v>
      </c>
      <c r="D1845" s="1">
        <f>IFERROR(VLOOKUP(1226,'PEDIDO 23'!$C$2:$E$230,3,0),0)</f>
        <v>0</v>
      </c>
      <c r="E1845" s="1">
        <f>IFERROR(VLOOKUP(1227,'PEDIDO 23'!$C$2:$E$230,3,0),0)</f>
        <v>0</v>
      </c>
      <c r="F1845" s="1">
        <f>IFERROR(VLOOKUP(1228,'PEDIDO 23'!$C$2:$E$230,3,0),0)</f>
        <v>0</v>
      </c>
      <c r="G1845" s="18">
        <f t="shared" si="44"/>
        <v>0</v>
      </c>
    </row>
    <row r="1846" spans="1:7" ht="15.75" x14ac:dyDescent="0.25">
      <c r="A1846" s="15">
        <f>'PEDIDO 23'!$B$2</f>
        <v>0</v>
      </c>
      <c r="B1846" s="12" t="s">
        <v>462</v>
      </c>
      <c r="C1846" s="1">
        <f>IFERROR(VLOOKUP(1221,'PEDIDO 23'!$C$2:$E$230,3,0),0)</f>
        <v>0</v>
      </c>
      <c r="D1846" s="1">
        <f>IFERROR(VLOOKUP(1222,'PEDIDO 23'!$C$2:$E$230,3,0),0)</f>
        <v>0</v>
      </c>
      <c r="E1846" s="1">
        <f>IFERROR(VLOOKUP(1223,'PEDIDO 23'!$C$2:$E$230,3,0),0)</f>
        <v>0</v>
      </c>
      <c r="F1846" s="1">
        <f>IFERROR(VLOOKUP(1224,'PEDIDO 23'!$C$2:$E$230,3,0),0)</f>
        <v>0</v>
      </c>
      <c r="G1846" s="18">
        <f t="shared" si="44"/>
        <v>0</v>
      </c>
    </row>
    <row r="1847" spans="1:7" ht="15.75" x14ac:dyDescent="0.25">
      <c r="A1847" s="15">
        <f>'PEDIDO 23'!$B$2</f>
        <v>0</v>
      </c>
      <c r="B1847" s="12" t="s">
        <v>460</v>
      </c>
      <c r="C1847" s="1">
        <f>IFERROR(VLOOKUP(1229,'PEDIDO 23'!$C$2:$E$230,3,0),0)</f>
        <v>0</v>
      </c>
      <c r="D1847" s="1">
        <f>IFERROR(VLOOKUP(1230,'PEDIDO 23'!$C$2:$E$230,3,0),0)</f>
        <v>0</v>
      </c>
      <c r="E1847" s="1">
        <f>IFERROR(VLOOKUP(1231,'PEDIDO 23'!$C$2:$E$230,3,0),0)</f>
        <v>0</v>
      </c>
      <c r="F1847" s="1">
        <f>IFERROR(VLOOKUP(1232,'PEDIDO 23'!$C$2:$E$230,3,0),0)</f>
        <v>0</v>
      </c>
      <c r="G1847" s="18">
        <f t="shared" si="44"/>
        <v>0</v>
      </c>
    </row>
    <row r="1848" spans="1:7" ht="15.75" x14ac:dyDescent="0.25">
      <c r="A1848" s="15">
        <f>'PEDIDO 23'!$B$2</f>
        <v>0</v>
      </c>
      <c r="B1848" s="12" t="s">
        <v>463</v>
      </c>
      <c r="C1848" s="1">
        <f>IFERROR(VLOOKUP(1233,'PEDIDO 23'!$C$2:$E$230,3,0),0)</f>
        <v>0</v>
      </c>
      <c r="D1848" s="1">
        <f>IFERROR(VLOOKUP(1234,'PEDIDO 23'!$C$2:$E$230,3,0),0)</f>
        <v>0</v>
      </c>
      <c r="E1848" s="1">
        <f>IFERROR(VLOOKUP(1235,'PEDIDO 23'!$C$2:$E$230,3,0),0)</f>
        <v>0</v>
      </c>
      <c r="F1848" s="1">
        <f>IFERROR(VLOOKUP(1236,'PEDIDO 23'!$C$2:$E$230,3,0),0)</f>
        <v>0</v>
      </c>
      <c r="G1848" s="18">
        <f t="shared" si="44"/>
        <v>0</v>
      </c>
    </row>
    <row r="1849" spans="1:7" ht="15.75" x14ac:dyDescent="0.25">
      <c r="A1849" s="15">
        <f>'PEDIDO 23'!$B$2</f>
        <v>0</v>
      </c>
      <c r="B1849" s="12" t="s">
        <v>464</v>
      </c>
      <c r="C1849" s="1">
        <f>IFERROR(VLOOKUP(1237,'PEDIDO 23'!$C$2:$E$230,3,0),0)</f>
        <v>0</v>
      </c>
      <c r="D1849" s="1">
        <f>IFERROR(VLOOKUP(1238,'PEDIDO 23'!$C$2:$E$230,3,0),0)</f>
        <v>0</v>
      </c>
      <c r="E1849" s="1">
        <f>IFERROR(VLOOKUP(1239,'PEDIDO 23'!$C$2:$E$230,3,0),0)</f>
        <v>0</v>
      </c>
      <c r="F1849" s="1">
        <f>IFERROR(VLOOKUP(1240,'PEDIDO 23'!$C$2:$E$230,3,0),0)</f>
        <v>0</v>
      </c>
      <c r="G1849" s="18">
        <f t="shared" ref="G1849:G1862" si="45">SUM(C1849+D1849+E1849+F1849)</f>
        <v>0</v>
      </c>
    </row>
    <row r="1850" spans="1:7" ht="15.75" x14ac:dyDescent="0.25">
      <c r="A1850" s="15">
        <f>'PEDIDO 23'!$B$2</f>
        <v>0</v>
      </c>
      <c r="B1850" s="12" t="s">
        <v>465</v>
      </c>
      <c r="C1850" s="1">
        <f>IFERROR(VLOOKUP(1241,'PEDIDO 23'!$C$2:$E$230,3,0),0)</f>
        <v>0</v>
      </c>
      <c r="D1850" s="1">
        <f>IFERROR(VLOOKUP(1242,'PEDIDO 23'!$C$2:$E$230,3,0),0)</f>
        <v>0</v>
      </c>
      <c r="E1850" s="1">
        <f>IFERROR(VLOOKUP(1243,'PEDIDO 23'!$C$2:$E$230,3,0),0)</f>
        <v>0</v>
      </c>
      <c r="F1850" s="1">
        <f>IFERROR(VLOOKUP(1244,'PEDIDO 23'!$C$2:$E$230,3,0),0)</f>
        <v>0</v>
      </c>
      <c r="G1850" s="18">
        <f t="shared" si="45"/>
        <v>0</v>
      </c>
    </row>
    <row r="1851" spans="1:7" ht="15.75" x14ac:dyDescent="0.25">
      <c r="A1851" s="15">
        <f>'PEDIDO 23'!$B$2</f>
        <v>0</v>
      </c>
      <c r="B1851" s="12" t="s">
        <v>466</v>
      </c>
      <c r="C1851" s="1">
        <f>IFERROR(VLOOKUP(1245,'PEDIDO 23'!$C$2:$E$230,3,0),0)</f>
        <v>0</v>
      </c>
      <c r="D1851" s="1">
        <f>IFERROR(VLOOKUP(1246,'PEDIDO 23'!$C$2:$E$230,3,0),0)</f>
        <v>0</v>
      </c>
      <c r="E1851" s="1">
        <f>IFERROR(VLOOKUP(1247,'PEDIDO 23'!$C$2:$E$230,3,0),0)</f>
        <v>0</v>
      </c>
      <c r="F1851" s="1">
        <f>IFERROR(VLOOKUP(1248,'PEDIDO 23'!$C$2:$E$230,3,0),0)</f>
        <v>0</v>
      </c>
      <c r="G1851" s="18">
        <f t="shared" si="45"/>
        <v>0</v>
      </c>
    </row>
    <row r="1852" spans="1:7" ht="15.75" x14ac:dyDescent="0.25">
      <c r="A1852" s="15">
        <f>'PEDIDO 23'!$B$2</f>
        <v>0</v>
      </c>
      <c r="B1852" s="12" t="s">
        <v>467</v>
      </c>
      <c r="C1852" s="1">
        <f>IFERROR(VLOOKUP(25714,'PEDIDO 23'!$C$2:$E$230,3,0),0)</f>
        <v>0</v>
      </c>
      <c r="D1852" s="1"/>
      <c r="E1852" s="1"/>
      <c r="F1852" s="1"/>
      <c r="G1852" s="18">
        <f t="shared" si="45"/>
        <v>0</v>
      </c>
    </row>
    <row r="1853" spans="1:7" ht="15.75" x14ac:dyDescent="0.25">
      <c r="A1853" s="15">
        <f>'PEDIDO 23'!$B$2</f>
        <v>0</v>
      </c>
      <c r="B1853" s="12" t="s">
        <v>468</v>
      </c>
      <c r="C1853" s="1">
        <f>IFERROR(VLOOKUP(25712,'PEDIDO 23'!$C$2:$E$230,3,0),0)</f>
        <v>0</v>
      </c>
      <c r="D1853" s="1"/>
      <c r="E1853" s="1"/>
      <c r="F1853" s="1"/>
      <c r="G1853" s="18">
        <f t="shared" si="45"/>
        <v>0</v>
      </c>
    </row>
    <row r="1854" spans="1:7" ht="15.75" x14ac:dyDescent="0.25">
      <c r="A1854" s="15">
        <f>'PEDIDO 23'!$B$2</f>
        <v>0</v>
      </c>
      <c r="B1854" s="12" t="s">
        <v>469</v>
      </c>
      <c r="C1854" s="1">
        <f>IFERROR(VLOOKUP(25713,'PEDIDO 23'!$C$2:$E$230,3,0),0)</f>
        <v>0</v>
      </c>
      <c r="D1854" s="1"/>
      <c r="E1854" s="1"/>
      <c r="F1854" s="1"/>
      <c r="G1854" s="18">
        <f t="shared" si="45"/>
        <v>0</v>
      </c>
    </row>
    <row r="1855" spans="1:7" ht="15.75" x14ac:dyDescent="0.25">
      <c r="A1855" s="15">
        <f>'PEDIDO 23'!$B$2</f>
        <v>0</v>
      </c>
      <c r="B1855" s="12" t="s">
        <v>470</v>
      </c>
      <c r="C1855" s="1">
        <f>IFERROR(VLOOKUP(1260,'PEDIDO 23'!$C$2:$E$230,3,0),0)</f>
        <v>0</v>
      </c>
      <c r="D1855" s="1"/>
      <c r="E1855" s="1"/>
      <c r="F1855" s="1"/>
      <c r="G1855" s="18">
        <f t="shared" si="45"/>
        <v>0</v>
      </c>
    </row>
    <row r="1856" spans="1:7" ht="15.75" x14ac:dyDescent="0.25">
      <c r="A1856" s="15">
        <f>'PEDIDO 23'!$B$2</f>
        <v>0</v>
      </c>
      <c r="B1856" s="12" t="s">
        <v>471</v>
      </c>
      <c r="C1856" s="1">
        <f>IFERROR(VLOOKUP(1261,'PEDIDO 23'!$C$2:$E$230,3,0),0)</f>
        <v>0</v>
      </c>
      <c r="D1856" s="1"/>
      <c r="E1856" s="1"/>
      <c r="F1856" s="1"/>
      <c r="G1856" s="18">
        <f t="shared" si="45"/>
        <v>0</v>
      </c>
    </row>
    <row r="1857" spans="1:7" ht="15.75" x14ac:dyDescent="0.25">
      <c r="A1857" s="15">
        <f>'PEDIDO 23'!$B$2</f>
        <v>0</v>
      </c>
      <c r="B1857" s="12" t="s">
        <v>472</v>
      </c>
      <c r="C1857" s="1">
        <f>IFERROR(VLOOKUP(1262,'PEDIDO 23'!$C$2:$E$230,3,0),0)</f>
        <v>0</v>
      </c>
      <c r="D1857" s="1"/>
      <c r="E1857" s="1"/>
      <c r="F1857" s="1"/>
      <c r="G1857" s="18">
        <f t="shared" si="45"/>
        <v>0</v>
      </c>
    </row>
    <row r="1858" spans="1:7" ht="15.75" x14ac:dyDescent="0.25">
      <c r="A1858" s="15">
        <f>'PEDIDO 23'!$B$2</f>
        <v>0</v>
      </c>
      <c r="B1858" s="12" t="s">
        <v>473</v>
      </c>
      <c r="C1858" s="1">
        <f>IFERROR(VLOOKUP(1263,'PEDIDO 23'!$C$2:$E$230,3,0),0)</f>
        <v>0</v>
      </c>
      <c r="D1858" s="1"/>
      <c r="E1858" s="1"/>
      <c r="F1858" s="1"/>
      <c r="G1858" s="18">
        <f t="shared" si="45"/>
        <v>0</v>
      </c>
    </row>
    <row r="1859" spans="1:7" ht="15.75" x14ac:dyDescent="0.25">
      <c r="A1859" s="15">
        <f>'PEDIDO 23'!$B$2</f>
        <v>0</v>
      </c>
      <c r="B1859" s="12" t="s">
        <v>474</v>
      </c>
      <c r="C1859" s="1">
        <f>IFERROR(VLOOKUP(1264,'PEDIDO 23'!$C$2:$E$230,3,0),0)</f>
        <v>0</v>
      </c>
      <c r="D1859" s="1"/>
      <c r="E1859" s="1"/>
      <c r="F1859" s="1"/>
      <c r="G1859" s="18">
        <f t="shared" si="45"/>
        <v>0</v>
      </c>
    </row>
    <row r="1860" spans="1:7" ht="15.75" x14ac:dyDescent="0.25">
      <c r="A1860" s="15">
        <f>'PEDIDO 23'!$B$2</f>
        <v>0</v>
      </c>
      <c r="B1860" s="12" t="s">
        <v>475</v>
      </c>
      <c r="C1860" s="1">
        <f>IFERROR(VLOOKUP(1265,'PEDIDO 23'!$C$2:$E$230,3,0),0)</f>
        <v>0</v>
      </c>
      <c r="D1860" s="1"/>
      <c r="E1860" s="1"/>
      <c r="F1860" s="1"/>
      <c r="G1860" s="18">
        <f t="shared" si="45"/>
        <v>0</v>
      </c>
    </row>
    <row r="1861" spans="1:7" ht="15.75" x14ac:dyDescent="0.25">
      <c r="A1861" s="15">
        <f>'PEDIDO 23'!$B$2</f>
        <v>0</v>
      </c>
      <c r="B1861" s="12" t="s">
        <v>476</v>
      </c>
      <c r="C1861" s="1">
        <f>IFERROR(VLOOKUP(1266,'PEDIDO 23'!$C$2:$E$230,3,0),0)</f>
        <v>0</v>
      </c>
      <c r="D1861" s="1"/>
      <c r="E1861" s="1"/>
      <c r="F1861" s="1"/>
      <c r="G1861" s="18">
        <f t="shared" si="45"/>
        <v>0</v>
      </c>
    </row>
    <row r="1862" spans="1:7" ht="15.75" x14ac:dyDescent="0.25">
      <c r="A1862" s="15">
        <f>'PEDIDO 23'!$B$2</f>
        <v>0</v>
      </c>
      <c r="B1862" s="12" t="s">
        <v>477</v>
      </c>
      <c r="C1862" s="1">
        <f>IFERROR(VLOOKUP(1268,'PEDIDO 23'!$C$2:$E$230,3,0),0)</f>
        <v>0</v>
      </c>
      <c r="D1862" s="1">
        <f>IFERROR(VLOOKUP(1269,'PEDIDO 23'!$C$2:$E$230,3,0),0)</f>
        <v>0</v>
      </c>
      <c r="E1862" s="1">
        <f>IFERROR(VLOOKUP(1270,'PEDIDO 23'!$C$2:$E$230,3,0),0)</f>
        <v>0</v>
      </c>
      <c r="F1862" s="1">
        <f>IFERROR(VLOOKUP(1271,'PEDIDO 23'!$C$2:$E$230,3,0),0)</f>
        <v>0</v>
      </c>
      <c r="G1862" s="18">
        <f t="shared" si="45"/>
        <v>0</v>
      </c>
    </row>
    <row r="1865" spans="1:7" ht="15.75" x14ac:dyDescent="0.25">
      <c r="A1865" s="15">
        <f>'PEDIDO 24'!$B$2</f>
        <v>0</v>
      </c>
      <c r="B1865" s="12" t="s">
        <v>399</v>
      </c>
      <c r="C1865" s="1">
        <f>IFERROR(VLOOKUP(1,'PEDIDO 24'!$C$2:$E$230,3,0),0)</f>
        <v>0</v>
      </c>
      <c r="D1865" s="1">
        <f>IFERROR(VLOOKUP(2,'PEDIDO 24'!$C$2:$E$230,3,0),0)</f>
        <v>0</v>
      </c>
      <c r="E1865" s="1">
        <f>IFERROR(VLOOKUP(3,'PEDIDO 24'!$C$2:$E$230,3,0),0)</f>
        <v>0</v>
      </c>
      <c r="F1865" s="1">
        <f>IFERROR(VLOOKUP(282,'PEDIDO 24'!$C$2:$E$230,3,0),0)</f>
        <v>0</v>
      </c>
      <c r="G1865" s="18">
        <f>SUM(C1865+D1865+E1865+F1865)</f>
        <v>0</v>
      </c>
    </row>
    <row r="1866" spans="1:7" ht="15.75" x14ac:dyDescent="0.25">
      <c r="A1866" s="15">
        <f>'PEDIDO 24'!$B$2</f>
        <v>0</v>
      </c>
      <c r="B1866" s="12" t="s">
        <v>400</v>
      </c>
      <c r="C1866" s="1">
        <f>IFERROR(VLOOKUP(5,'PEDIDO 24'!$C$2:$E$230,3,0),0)</f>
        <v>0</v>
      </c>
      <c r="D1866" s="1">
        <f>IFERROR(VLOOKUP(6,'PEDIDO 24'!$C$2:$E$230,3,0),0)</f>
        <v>0</v>
      </c>
      <c r="E1866" s="1">
        <f>IFERROR(VLOOKUP(7,'PEDIDO 24'!$C$2:$E$230,3,0),0)</f>
        <v>0</v>
      </c>
      <c r="F1866" s="1">
        <f>IFERROR(VLOOKUP(258,'PEDIDO 24'!$C$2:$E$230,3,0),0)</f>
        <v>0</v>
      </c>
      <c r="G1866" s="18">
        <f t="shared" ref="G1866:G1929" si="46">SUM(C1866+D1866+E1866+F1866)</f>
        <v>0</v>
      </c>
    </row>
    <row r="1867" spans="1:7" ht="15.75" x14ac:dyDescent="0.25">
      <c r="A1867" s="15">
        <f>'PEDIDO 24'!$B$2</f>
        <v>0</v>
      </c>
      <c r="B1867" s="12" t="s">
        <v>401</v>
      </c>
      <c r="C1867" s="1">
        <f>IFERROR(VLOOKUP(13,'PEDIDO 24'!$C$2:$E$230,3,0),0)</f>
        <v>0</v>
      </c>
      <c r="D1867" s="1">
        <f>IFERROR(VLOOKUP(14,'PEDIDO 24'!$C$2:$E$230,3,0),0)</f>
        <v>0</v>
      </c>
      <c r="E1867" s="1">
        <f>IFERROR(VLOOKUP(15,'PEDIDO 24'!$C$2:$E$230,3,0),0)</f>
        <v>0</v>
      </c>
      <c r="F1867" s="1">
        <f>IFERROR(VLOOKUP(289,'PEDIDO 24'!$C$2:$E$230,3,0),0)</f>
        <v>0</v>
      </c>
      <c r="G1867" s="18">
        <f t="shared" si="46"/>
        <v>0</v>
      </c>
    </row>
    <row r="1868" spans="1:7" ht="15.75" x14ac:dyDescent="0.25">
      <c r="A1868" s="15">
        <f>'PEDIDO 24'!$B$2</f>
        <v>0</v>
      </c>
      <c r="B1868" s="12" t="s">
        <v>402</v>
      </c>
      <c r="C1868" s="1">
        <f>IFERROR(VLOOKUP(267,'PEDIDO 24'!$C$2:$E$230,3,0),0)</f>
        <v>0</v>
      </c>
      <c r="D1868" s="1">
        <f>IFERROR(VLOOKUP(268,'PEDIDO 24'!$C$2:$E$230,3,0),0)</f>
        <v>0</v>
      </c>
      <c r="E1868" s="1">
        <f>IFERROR(VLOOKUP(270,'PEDIDO 24'!$C$2:$E$230,3,0),0)</f>
        <v>0</v>
      </c>
      <c r="F1868" s="1">
        <f>IFERROR(VLOOKUP(269,'PEDIDO 24'!$C$2:$E$230,3,0),0)</f>
        <v>0</v>
      </c>
      <c r="G1868" s="18">
        <f t="shared" si="46"/>
        <v>0</v>
      </c>
    </row>
    <row r="1869" spans="1:7" ht="15.75" x14ac:dyDescent="0.25">
      <c r="A1869" s="15">
        <f>'PEDIDO 24'!$B$2</f>
        <v>0</v>
      </c>
      <c r="B1869" s="12" t="s">
        <v>403</v>
      </c>
      <c r="C1869" s="1">
        <f>IFERROR(VLOOKUP(17,'PEDIDO 24'!$C$2:$E$230,3,0),0)</f>
        <v>0</v>
      </c>
      <c r="D1869" s="1">
        <f>IFERROR(VLOOKUP(18,'PEDIDO 24'!$C$2:$E$230,3,0),0)</f>
        <v>0</v>
      </c>
      <c r="E1869" s="1">
        <f>IFERROR(VLOOKUP(19,'PEDIDO 24'!$C$2:$E$230,3,0),0)</f>
        <v>0</v>
      </c>
      <c r="F1869" s="1">
        <f>IFERROR(VLOOKUP(290,'PEDIDO 24'!$C$2:$E$230,3,0),0)</f>
        <v>0</v>
      </c>
      <c r="G1869" s="18">
        <f t="shared" si="46"/>
        <v>0</v>
      </c>
    </row>
    <row r="1870" spans="1:7" ht="15.75" x14ac:dyDescent="0.25">
      <c r="A1870" s="15">
        <f>'PEDIDO 24'!$B$2</f>
        <v>0</v>
      </c>
      <c r="B1870" s="12" t="s">
        <v>404</v>
      </c>
      <c r="C1870" s="1">
        <f>IFERROR(VLOOKUP(23,'PEDIDO 24'!$C$2:$E$230,3,0),0)</f>
        <v>0</v>
      </c>
      <c r="D1870" s="1">
        <f>IFERROR(VLOOKUP(24,'PEDIDO 24'!$C$2:$E$230,3,0),0)</f>
        <v>0</v>
      </c>
      <c r="E1870" s="1">
        <f>IFERROR(VLOOKUP(25,'PEDIDO 24'!$C$2:$E$230,3,0),0)</f>
        <v>0</v>
      </c>
      <c r="F1870" s="1">
        <f>IFERROR(VLOOKUP(291,'PEDIDO 24'!$C$2:$E$230,3,0),0)</f>
        <v>0</v>
      </c>
      <c r="G1870" s="18">
        <f t="shared" si="46"/>
        <v>0</v>
      </c>
    </row>
    <row r="1871" spans="1:7" ht="15.75" x14ac:dyDescent="0.25">
      <c r="A1871" s="15">
        <f>'PEDIDO 24'!$B$2</f>
        <v>0</v>
      </c>
      <c r="B1871" s="12" t="s">
        <v>405</v>
      </c>
      <c r="C1871" s="1">
        <f>IFERROR(VLOOKUP(27,'PEDIDO 24'!$C$2:$E$230,3,0),0)</f>
        <v>0</v>
      </c>
      <c r="D1871" s="1">
        <f>IFERROR(VLOOKUP(28,'PEDIDO 24'!$C$2:$E$230,3,0),0)</f>
        <v>0</v>
      </c>
      <c r="E1871" s="1">
        <f>IFERROR(VLOOKUP(29,'PEDIDO 24'!$C$2:$E$230,3,0),0)</f>
        <v>0</v>
      </c>
      <c r="F1871" s="1">
        <f>IFERROR(VLOOKUP(292,'PEDIDO 24'!$C$2:$E$230,3,0),0)</f>
        <v>0</v>
      </c>
      <c r="G1871" s="18">
        <f t="shared" si="46"/>
        <v>0</v>
      </c>
    </row>
    <row r="1872" spans="1:7" ht="15.75" x14ac:dyDescent="0.25">
      <c r="A1872" s="15">
        <f>'PEDIDO 24'!$B$2</f>
        <v>0</v>
      </c>
      <c r="B1872" s="12" t="s">
        <v>406</v>
      </c>
      <c r="C1872" s="1">
        <f>IFERROR(VLOOKUP(227,'PEDIDO 24'!$C$2:$E$230,3,0),0)</f>
        <v>0</v>
      </c>
      <c r="D1872" s="1">
        <f>IFERROR(VLOOKUP(228,'PEDIDO 24'!$C$2:$E$230,3,0),0)</f>
        <v>0</v>
      </c>
      <c r="E1872" s="1">
        <f>IFERROR(VLOOKUP(229,'PEDIDO 24'!$C$2:$E$230,3,0),0)</f>
        <v>0</v>
      </c>
      <c r="F1872" s="1">
        <f>IFERROR(VLOOKUP(230,'PEDIDO 24'!$C$2:$E$230,3,0),0)</f>
        <v>0</v>
      </c>
      <c r="G1872" s="18">
        <f t="shared" si="46"/>
        <v>0</v>
      </c>
    </row>
    <row r="1873" spans="1:7" ht="15.75" x14ac:dyDescent="0.25">
      <c r="A1873" s="15">
        <f>'PEDIDO 24'!$B$2</f>
        <v>0</v>
      </c>
      <c r="B1873" s="12" t="s">
        <v>407</v>
      </c>
      <c r="C1873" s="1">
        <f>IFERROR(VLOOKUP(231,'PEDIDO 24'!$C$2:$E$230,3,0),0)</f>
        <v>0</v>
      </c>
      <c r="D1873" s="1">
        <f>IFERROR(VLOOKUP(232,'PEDIDO 24'!$C$2:$E$230,3,0),0)</f>
        <v>0</v>
      </c>
      <c r="E1873" s="1">
        <f>IFERROR(VLOOKUP(234,'PEDIDO 24'!$C$2:$E$230,3,0),0)</f>
        <v>0</v>
      </c>
      <c r="F1873" s="1">
        <f>IFERROR(VLOOKUP(233,'PEDIDO 24'!$C$2:$E$230,3,0),0)</f>
        <v>0</v>
      </c>
      <c r="G1873" s="18">
        <f t="shared" si="46"/>
        <v>0</v>
      </c>
    </row>
    <row r="1874" spans="1:7" ht="15.75" x14ac:dyDescent="0.25">
      <c r="A1874" s="15">
        <f>'PEDIDO 24'!$B$2</f>
        <v>0</v>
      </c>
      <c r="B1874" s="12" t="s">
        <v>408</v>
      </c>
      <c r="C1874" s="1">
        <f>IFERROR(VLOOKUP(237,'PEDIDO 24'!$C$2:$E$230,3,0),0)</f>
        <v>0</v>
      </c>
      <c r="D1874" s="1">
        <f>IFERROR(VLOOKUP(238,'PEDIDO 24'!$C$2:$E$230,3,0),0)</f>
        <v>0</v>
      </c>
      <c r="E1874" s="1">
        <f>IFERROR(VLOOKUP(240,'PEDIDO 24'!$C$2:$E$230,3,0),0)</f>
        <v>0</v>
      </c>
      <c r="F1874" s="1">
        <f>IFERROR(VLOOKUP(239,'PEDIDO 24'!$C$2:$E$230,3,0),0)</f>
        <v>0</v>
      </c>
      <c r="G1874" s="18">
        <f t="shared" si="46"/>
        <v>0</v>
      </c>
    </row>
    <row r="1875" spans="1:7" ht="15.75" x14ac:dyDescent="0.25">
      <c r="A1875" s="15">
        <f>'PEDIDO 24'!$B$2</f>
        <v>0</v>
      </c>
      <c r="B1875" s="12" t="s">
        <v>409</v>
      </c>
      <c r="C1875" s="1">
        <f>IFERROR(VLOOKUP(25707,'PEDIDO 24'!$C$2:$E$230,3,0),0)</f>
        <v>0</v>
      </c>
      <c r="D1875" s="1">
        <f>IFERROR(VLOOKUP(25708,'PEDIDO 24'!$C$2:$E$230,3,0),0)</f>
        <v>0</v>
      </c>
      <c r="E1875" s="1">
        <f>IFERROR(VLOOKUP(25710,'PEDIDO 24'!$C$2:$E$230,3,0),0)</f>
        <v>0</v>
      </c>
      <c r="F1875" s="1">
        <f>IFERROR(VLOOKUP(25709,'PEDIDO 24'!$C$2:$E$230,3,0),0)</f>
        <v>0</v>
      </c>
      <c r="G1875" s="18">
        <f t="shared" si="46"/>
        <v>0</v>
      </c>
    </row>
    <row r="1876" spans="1:7" ht="15.75" x14ac:dyDescent="0.25">
      <c r="A1876" s="15">
        <f>'PEDIDO 24'!$B$2</f>
        <v>0</v>
      </c>
      <c r="B1876" s="12" t="s">
        <v>410</v>
      </c>
      <c r="C1876" s="1">
        <f>IFERROR(VLOOKUP(25711,'PEDIDO 24'!$C$2:$E$230,3,0),0)</f>
        <v>0</v>
      </c>
      <c r="D1876" s="1"/>
      <c r="E1876" s="1"/>
      <c r="F1876" s="1"/>
      <c r="G1876" s="18">
        <f t="shared" si="46"/>
        <v>0</v>
      </c>
    </row>
    <row r="1877" spans="1:7" ht="15.75" x14ac:dyDescent="0.25">
      <c r="A1877" s="15">
        <f>'PEDIDO 24'!$B$2</f>
        <v>0</v>
      </c>
      <c r="B1877" s="12" t="s">
        <v>411</v>
      </c>
      <c r="C1877" s="1">
        <f>IFERROR(VLOOKUP(35,'PEDIDO 24'!$C$2:$E$230,3,0),0)</f>
        <v>0</v>
      </c>
      <c r="D1877" s="1">
        <f>IFERROR(VLOOKUP(36,'PEDIDO 24'!$C$2:$E$230,3,0),0)</f>
        <v>0</v>
      </c>
      <c r="E1877" s="1">
        <f>IFERROR(VLOOKUP(37,'PEDIDO 24'!$C$2:$E$230,3,0),0)</f>
        <v>0</v>
      </c>
      <c r="F1877" s="1">
        <f>IFERROR(VLOOKUP(294,'PEDIDO 24'!$C$2:$E$230,3,0),0)</f>
        <v>0</v>
      </c>
      <c r="G1877" s="18">
        <f t="shared" si="46"/>
        <v>0</v>
      </c>
    </row>
    <row r="1878" spans="1:7" ht="15.75" x14ac:dyDescent="0.25">
      <c r="A1878" s="15">
        <f>'PEDIDO 24'!$B$2</f>
        <v>0</v>
      </c>
      <c r="B1878" s="12" t="s">
        <v>412</v>
      </c>
      <c r="C1878" s="1">
        <f>IFERROR(VLOOKUP(39,'PEDIDO 24'!$C$2:$E$230,3,0),0)</f>
        <v>0</v>
      </c>
      <c r="D1878" s="1">
        <f>IFERROR(VLOOKUP(40,'PEDIDO 24'!$C$2:$E$230,3,0),0)</f>
        <v>0</v>
      </c>
      <c r="E1878" s="1">
        <f>IFERROR(VLOOKUP(42,'PEDIDO 24'!$C$2:$E$230,3,0),0)</f>
        <v>0</v>
      </c>
      <c r="F1878" s="1">
        <f>IFERROR(VLOOKUP(295,'PEDIDO 24'!$C$2:$E$230,3,0),0)</f>
        <v>0</v>
      </c>
      <c r="G1878" s="18">
        <f t="shared" si="46"/>
        <v>0</v>
      </c>
    </row>
    <row r="1879" spans="1:7" ht="15.75" x14ac:dyDescent="0.25">
      <c r="A1879" s="15">
        <f>'PEDIDO 24'!$B$2</f>
        <v>0</v>
      </c>
      <c r="B1879" s="12" t="s">
        <v>413</v>
      </c>
      <c r="C1879" s="1">
        <f>IFERROR(VLOOKUP(44,'PEDIDO 24'!$C$2:$E$230,3,0),0)</f>
        <v>0</v>
      </c>
      <c r="D1879" s="1">
        <f>IFERROR(VLOOKUP(45,'PEDIDO 24'!$C$2:$E$230,3,0),0)</f>
        <v>0</v>
      </c>
      <c r="E1879" s="1">
        <f>IFERROR(VLOOKUP(46,'PEDIDO 24'!$C$2:$E$230,3,0),0)</f>
        <v>0</v>
      </c>
      <c r="F1879" s="1">
        <f>IFERROR(VLOOKUP(283,'PEDIDO 24'!$C$2:$E$230,3,0),0)</f>
        <v>0</v>
      </c>
      <c r="G1879" s="18">
        <f t="shared" si="46"/>
        <v>0</v>
      </c>
    </row>
    <row r="1880" spans="1:7" ht="15.75" x14ac:dyDescent="0.25">
      <c r="A1880" s="15">
        <f>'PEDIDO 24'!$B$2</f>
        <v>0</v>
      </c>
      <c r="B1880" s="12" t="s">
        <v>414</v>
      </c>
      <c r="C1880" s="1">
        <f>IFERROR(VLOOKUP(48,'PEDIDO 24'!$C$2:$E$230,3,0),0)</f>
        <v>0</v>
      </c>
      <c r="D1880" s="1">
        <f>IFERROR(VLOOKUP(49,'PEDIDO 24'!$C$2:$E$230,3,0),0)</f>
        <v>0</v>
      </c>
      <c r="E1880" s="1">
        <f>IFERROR(VLOOKUP(50,'PEDIDO 24'!$C$2:$E$230,3,0),0)</f>
        <v>0</v>
      </c>
      <c r="F1880" s="1">
        <f>IFERROR(VLOOKUP(298,'PEDIDO 24'!$C$2:$E$230,3,0),0)</f>
        <v>0</v>
      </c>
      <c r="G1880" s="18">
        <f t="shared" si="46"/>
        <v>0</v>
      </c>
    </row>
    <row r="1881" spans="1:7" ht="15.75" x14ac:dyDescent="0.25">
      <c r="A1881" s="15">
        <f>'PEDIDO 24'!$B$2</f>
        <v>0</v>
      </c>
      <c r="B1881" s="12" t="s">
        <v>415</v>
      </c>
      <c r="C1881" s="1">
        <f>IFERROR(VLOOKUP(52,'PEDIDO 24'!$C$2:$E$230,3,0),0)</f>
        <v>0</v>
      </c>
      <c r="D1881" s="1">
        <f>IFERROR(VLOOKUP(53,'PEDIDO 24'!$C$2:$E$230,3,0),0)</f>
        <v>0</v>
      </c>
      <c r="E1881" s="1">
        <f>IFERROR(VLOOKUP(54,'PEDIDO 24'!$C$2:$E$230,3,0),0)</f>
        <v>0</v>
      </c>
      <c r="F1881" s="1">
        <f>IFERROR(VLOOKUP(299,'PEDIDO 24'!$C$2:$E$230,3,0),0)</f>
        <v>0</v>
      </c>
      <c r="G1881" s="18">
        <f t="shared" si="46"/>
        <v>0</v>
      </c>
    </row>
    <row r="1882" spans="1:7" ht="15.75" x14ac:dyDescent="0.25">
      <c r="A1882" s="15">
        <f>'PEDIDO 24'!$B$2</f>
        <v>0</v>
      </c>
      <c r="B1882" s="12" t="s">
        <v>416</v>
      </c>
      <c r="C1882" s="1">
        <f>IFERROR(VLOOKUP(56,'PEDIDO 24'!$C$2:$E$230,3,0),0)</f>
        <v>0</v>
      </c>
      <c r="D1882" s="1">
        <f>IFERROR(VLOOKUP(61,'PEDIDO 24'!$C$2:$E$230,3,0),0)</f>
        <v>0</v>
      </c>
      <c r="E1882" s="1">
        <f>IFERROR(VLOOKUP(58,'PEDIDO 24'!$C$2:$E$230,3,0),0)</f>
        <v>0</v>
      </c>
      <c r="F1882" s="1">
        <f>IFERROR(VLOOKUP(300,'PEDIDO 24'!$C$2:$E$230,3,0),0)</f>
        <v>0</v>
      </c>
      <c r="G1882" s="18">
        <f t="shared" si="46"/>
        <v>0</v>
      </c>
    </row>
    <row r="1883" spans="1:7" ht="15.75" x14ac:dyDescent="0.25">
      <c r="A1883" s="15">
        <f>'PEDIDO 24'!$B$2</f>
        <v>0</v>
      </c>
      <c r="B1883" s="12" t="s">
        <v>417</v>
      </c>
      <c r="C1883" s="1">
        <f>IFERROR(VLOOKUP(60,'PEDIDO 24'!$C$2:$E$230,3,0),0)</f>
        <v>0</v>
      </c>
      <c r="D1883" s="1">
        <f>IFERROR(VLOOKUP(120,'PEDIDO 24'!$C$2:$E$230,3,0),0)</f>
        <v>0</v>
      </c>
      <c r="E1883" s="1">
        <f>IFERROR(VLOOKUP(62,'PEDIDO 24'!$C$2:$E$230,3,0),0)</f>
        <v>0</v>
      </c>
      <c r="F1883" s="1">
        <f>IFERROR(VLOOKUP(301,'PEDIDO 24'!$C$2:$E$230,3,0),0)</f>
        <v>0</v>
      </c>
      <c r="G1883" s="18">
        <f t="shared" si="46"/>
        <v>0</v>
      </c>
    </row>
    <row r="1884" spans="1:7" ht="15.75" x14ac:dyDescent="0.25">
      <c r="A1884" s="15">
        <f>'PEDIDO 24'!$B$2</f>
        <v>0</v>
      </c>
      <c r="B1884" s="12" t="s">
        <v>426</v>
      </c>
      <c r="C1884" s="1">
        <f>IFERROR(VLOOKUP(112,'PEDIDO 24'!$C$2:$E$230,3,0),0)</f>
        <v>0</v>
      </c>
      <c r="D1884" s="1">
        <f>IFERROR(VLOOKUP(113,'PEDIDO 24'!$C$2:$E$230,3,0),0)</f>
        <v>0</v>
      </c>
      <c r="E1884" s="1">
        <f>IFERROR(VLOOKUP(114,'PEDIDO 24'!$C$2:$E$230,3,0),0)</f>
        <v>0</v>
      </c>
      <c r="F1884" s="1">
        <f>IFERROR(VLOOKUP(296,'PEDIDO 24'!$C$2:$E$230,3,0),0)</f>
        <v>0</v>
      </c>
      <c r="G1884" s="18">
        <f t="shared" si="46"/>
        <v>0</v>
      </c>
    </row>
    <row r="1885" spans="1:7" ht="15.75" x14ac:dyDescent="0.25">
      <c r="A1885" s="15">
        <f>'PEDIDO 24'!$B$2</f>
        <v>0</v>
      </c>
      <c r="B1885" s="12" t="s">
        <v>427</v>
      </c>
      <c r="C1885" s="1">
        <f>IFERROR(VLOOKUP(116,'PEDIDO 24'!$C$2:$E$230,3,0),0)</f>
        <v>0</v>
      </c>
      <c r="D1885" s="1">
        <f>IFERROR(VLOOKUP(117,'PEDIDO 24'!$C$2:$E$230,3,0),0)</f>
        <v>0</v>
      </c>
      <c r="E1885" s="1">
        <f>IFERROR(VLOOKUP(118,'PEDIDO 24'!$C$2:$E$230,3,0),0)</f>
        <v>0</v>
      </c>
      <c r="F1885" s="1">
        <f>IFERROR(VLOOKUP(293,'PEDIDO 24'!$C$2:$E$230,3,0),0)</f>
        <v>0</v>
      </c>
      <c r="G1885" s="18">
        <f t="shared" si="46"/>
        <v>0</v>
      </c>
    </row>
    <row r="1886" spans="1:7" ht="15.75" x14ac:dyDescent="0.25">
      <c r="A1886" s="15">
        <f>'PEDIDO 24'!$B$2</f>
        <v>0</v>
      </c>
      <c r="B1886" s="12" t="s">
        <v>418</v>
      </c>
      <c r="C1886" s="1">
        <f>IFERROR(VLOOKUP(963,'PEDIDO 24'!$C$2:$E$230,3,0),0)</f>
        <v>0</v>
      </c>
      <c r="D1886" s="1">
        <f>IFERROR(VLOOKUP(965,'PEDIDO 24'!$C$2:$E$230,3,0),0)</f>
        <v>0</v>
      </c>
      <c r="E1886" s="1">
        <f>IFERROR(VLOOKUP(966,'PEDIDO 24'!$C$2:$E$230,3,0),0)</f>
        <v>0</v>
      </c>
      <c r="F1886" s="1">
        <f>IFERROR(VLOOKUP(964,'PEDIDO 24'!$C$2:$E$230,3,0),0)</f>
        <v>0</v>
      </c>
      <c r="G1886" s="18">
        <f t="shared" si="46"/>
        <v>0</v>
      </c>
    </row>
    <row r="1887" spans="1:7" ht="15.75" x14ac:dyDescent="0.25">
      <c r="A1887" s="15">
        <f>'PEDIDO 24'!$B$2</f>
        <v>0</v>
      </c>
      <c r="B1887" s="12" t="s">
        <v>419</v>
      </c>
      <c r="C1887" s="1">
        <f>IFERROR(VLOOKUP(2042,'PEDIDO 24'!$C$2:$E$230,3,0),0)</f>
        <v>0</v>
      </c>
      <c r="D1887" s="1">
        <f>IFERROR(VLOOKUP(2041,'PEDIDO 24'!$C$2:$E$230,3,0),0)</f>
        <v>0</v>
      </c>
      <c r="E1887" s="1">
        <f>IFERROR(VLOOKUP(2043,'PEDIDO 24'!$C$2:$E$230,3,0),0)</f>
        <v>0</v>
      </c>
      <c r="F1887" s="1">
        <f>IFERROR(VLOOKUP(2040,'PEDIDO 24'!$C$2:$E$230,3,0),0)</f>
        <v>0</v>
      </c>
      <c r="G1887" s="18">
        <f t="shared" si="46"/>
        <v>0</v>
      </c>
    </row>
    <row r="1888" spans="1:7" ht="15.75" x14ac:dyDescent="0.25">
      <c r="A1888" s="15">
        <f>'PEDIDO 24'!$B$2</f>
        <v>0</v>
      </c>
      <c r="B1888" s="12" t="s">
        <v>420</v>
      </c>
      <c r="C1888" s="1">
        <f>IFERROR(VLOOKUP(2045,'PEDIDO 24'!$C$2:$E$230,3,0),0)</f>
        <v>0</v>
      </c>
      <c r="D1888" s="1">
        <f>IFERROR(VLOOKUP(2046,'PEDIDO 24'!$C$2:$E$230,3,0),0)</f>
        <v>0</v>
      </c>
      <c r="E1888" s="1">
        <f>IFERROR(VLOOKUP(2047,'PEDIDO 24'!$C$2:$E$230,3,0),0)</f>
        <v>0</v>
      </c>
      <c r="F1888" s="1">
        <f>IFERROR(VLOOKUP(2048,'PEDIDO 24'!$C$2:$E$230,3,0),0)</f>
        <v>0</v>
      </c>
      <c r="G1888" s="18">
        <f t="shared" si="46"/>
        <v>0</v>
      </c>
    </row>
    <row r="1889" spans="1:7" ht="15.75" x14ac:dyDescent="0.25">
      <c r="A1889" s="15">
        <f>'PEDIDO 24'!$B$2</f>
        <v>0</v>
      </c>
      <c r="B1889" s="12" t="s">
        <v>421</v>
      </c>
      <c r="C1889" s="1">
        <f>IFERROR(VLOOKUP(2050,'PEDIDO 24'!$C$2:$E$230,3,0),0)</f>
        <v>0</v>
      </c>
      <c r="D1889" s="1">
        <f>IFERROR(VLOOKUP(2051,'PEDIDO 24'!$C$2:$E$230,3,0),0)</f>
        <v>0</v>
      </c>
      <c r="E1889" s="1">
        <f>IFERROR(VLOOKUP(2052,'PEDIDO 24'!$C$2:$E$230,3,0),0)</f>
        <v>0</v>
      </c>
      <c r="F1889" s="1">
        <f>IFERROR(VLOOKUP(2053,'PEDIDO 24'!$C$2:$E$230,3,0),0)</f>
        <v>0</v>
      </c>
      <c r="G1889" s="18">
        <f t="shared" si="46"/>
        <v>0</v>
      </c>
    </row>
    <row r="1890" spans="1:7" ht="15.75" x14ac:dyDescent="0.25">
      <c r="A1890" s="15">
        <f>'PEDIDO 24'!$B$2</f>
        <v>0</v>
      </c>
      <c r="B1890" s="12" t="s">
        <v>422</v>
      </c>
      <c r="C1890" s="1">
        <f>IFERROR(VLOOKUP(216,'PEDIDO 24'!$C$2:$E$230,3,0),0)</f>
        <v>0</v>
      </c>
      <c r="D1890" s="1">
        <f>IFERROR(VLOOKUP(217,'PEDIDO 24'!$C$2:$E$230,3,0),0)</f>
        <v>0</v>
      </c>
      <c r="E1890" s="1">
        <f>IFERROR(VLOOKUP(218,'PEDIDO 24'!$C$2:$E$230,3,0),0)</f>
        <v>0</v>
      </c>
      <c r="F1890" s="1">
        <f>IFERROR(VLOOKUP(305,'PEDIDO 24'!$C$2:$E$230,3,0),0)</f>
        <v>0</v>
      </c>
      <c r="G1890" s="18">
        <f t="shared" si="46"/>
        <v>0</v>
      </c>
    </row>
    <row r="1891" spans="1:7" ht="15.75" x14ac:dyDescent="0.25">
      <c r="A1891" s="15">
        <f>'PEDIDO 24'!$B$2</f>
        <v>0</v>
      </c>
      <c r="B1891" s="12" t="s">
        <v>423</v>
      </c>
      <c r="C1891" s="1">
        <f>IFERROR(VLOOKUP(100,'PEDIDO 24'!$C$2:$E$230,3,0),0)</f>
        <v>0</v>
      </c>
      <c r="D1891" s="1">
        <f>IFERROR(VLOOKUP(101,'PEDIDO 24'!$C$2:$E$230,3,0),0)</f>
        <v>0</v>
      </c>
      <c r="E1891" s="1">
        <f>IFERROR(VLOOKUP(102,'PEDIDO 24'!$C$2:$E$230,3,0),0)</f>
        <v>0</v>
      </c>
      <c r="F1891" s="1">
        <f>IFERROR(VLOOKUP(306,'PEDIDO 24'!$C$2:$E$230,3,0),0)</f>
        <v>0</v>
      </c>
      <c r="G1891" s="18">
        <f t="shared" si="46"/>
        <v>0</v>
      </c>
    </row>
    <row r="1892" spans="1:7" ht="15.75" x14ac:dyDescent="0.25">
      <c r="A1892" s="15">
        <f>'PEDIDO 24'!$B$2</f>
        <v>0</v>
      </c>
      <c r="B1892" s="12" t="s">
        <v>424</v>
      </c>
      <c r="C1892" s="1">
        <f>IFERROR(VLOOKUP(104,'PEDIDO 24'!$C$2:$E$230,3,0),0)</f>
        <v>0</v>
      </c>
      <c r="D1892" s="1">
        <f>IFERROR(VLOOKUP(105,'PEDIDO 24'!$C$2:$E$230,3,0),0)</f>
        <v>0</v>
      </c>
      <c r="E1892" s="1">
        <f>IFERROR(VLOOKUP(106,'PEDIDO 24'!$C$2:$E$230,3,0),0)</f>
        <v>0</v>
      </c>
      <c r="F1892" s="1">
        <f>IFERROR(VLOOKUP(307,'PEDIDO 24'!$C$2:$E$230,3,0),0)</f>
        <v>0</v>
      </c>
      <c r="G1892" s="18">
        <f t="shared" si="46"/>
        <v>0</v>
      </c>
    </row>
    <row r="1893" spans="1:7" ht="15.75" x14ac:dyDescent="0.25">
      <c r="A1893" s="15">
        <f>'PEDIDO 24'!$B$2</f>
        <v>0</v>
      </c>
      <c r="B1893" s="12" t="s">
        <v>425</v>
      </c>
      <c r="C1893" s="1">
        <f>IFERROR(VLOOKUP(400,'PEDIDO 24'!$C$2:$E$230,3,0),0)</f>
        <v>0</v>
      </c>
      <c r="D1893" s="1">
        <f>IFERROR(VLOOKUP(401,'PEDIDO 24'!$C$2:$E$230,3,0),0)</f>
        <v>0</v>
      </c>
      <c r="E1893" s="1">
        <f>IFERROR(VLOOKUP(402,'PEDIDO 24'!$C$2:$E$230,3,0),0)</f>
        <v>0</v>
      </c>
      <c r="F1893" s="1">
        <f>IFERROR(VLOOKUP(403,'PEDIDO 24'!$C$2:$E$230,3,0),0)</f>
        <v>0</v>
      </c>
      <c r="G1893" s="18">
        <f t="shared" si="46"/>
        <v>0</v>
      </c>
    </row>
    <row r="1894" spans="1:7" ht="15.75" x14ac:dyDescent="0.25">
      <c r="A1894" s="15">
        <f>'PEDIDO 24'!$B$2</f>
        <v>0</v>
      </c>
      <c r="B1894" s="12" t="s">
        <v>428</v>
      </c>
      <c r="C1894" s="1">
        <f>IFERROR(VLOOKUP(22,'PEDIDO 24'!$C$2:$E$230,3,0),0)</f>
        <v>0</v>
      </c>
      <c r="D1894" s="1"/>
      <c r="E1894" s="1"/>
      <c r="F1894" s="1"/>
      <c r="G1894" s="18">
        <f t="shared" si="46"/>
        <v>0</v>
      </c>
    </row>
    <row r="1895" spans="1:7" ht="15.75" x14ac:dyDescent="0.25">
      <c r="A1895" s="15">
        <f>'PEDIDO 24'!$B$2</f>
        <v>0</v>
      </c>
      <c r="B1895" s="12" t="s">
        <v>429</v>
      </c>
      <c r="C1895" s="1">
        <f>IFERROR(VLOOKUP(21,'PEDIDO 24'!$C$2:$E$230,3,0),0)</f>
        <v>0</v>
      </c>
      <c r="D1895" s="1"/>
      <c r="E1895" s="1"/>
      <c r="F1895" s="1"/>
      <c r="G1895" s="18">
        <f t="shared" si="46"/>
        <v>0</v>
      </c>
    </row>
    <row r="1896" spans="1:7" ht="15.75" x14ac:dyDescent="0.25">
      <c r="A1896" s="15">
        <f>'PEDIDO 24'!$B$2</f>
        <v>0</v>
      </c>
      <c r="B1896" s="12" t="s">
        <v>430</v>
      </c>
      <c r="C1896" s="1">
        <f>IFERROR(VLOOKUP(1125,'PEDIDO 24'!$C$2:$E$230,3,0),0)</f>
        <v>0</v>
      </c>
      <c r="D1896" s="1">
        <f>IFERROR(VLOOKUP(1126,'PEDIDO 24'!$C$2:$E$230,3,0),0)</f>
        <v>0</v>
      </c>
      <c r="E1896" s="1">
        <f>IFERROR(VLOOKUP(1127,'PEDIDO 24'!$C$2:$E$230,3,0),0)</f>
        <v>0</v>
      </c>
      <c r="F1896" s="1">
        <f>IFERROR(VLOOKUP(1128,'PEDIDO 24'!$C$2:$E$230,3,0),0)</f>
        <v>0</v>
      </c>
      <c r="G1896" s="18">
        <f t="shared" si="46"/>
        <v>0</v>
      </c>
    </row>
    <row r="1897" spans="1:7" ht="15.75" x14ac:dyDescent="0.25">
      <c r="A1897" s="15">
        <f>'PEDIDO 24'!$B$2</f>
        <v>0</v>
      </c>
      <c r="B1897" s="12" t="s">
        <v>431</v>
      </c>
      <c r="C1897" s="1">
        <f>IFERROR(VLOOKUP(1133,'PEDIDO 24'!$C$2:$E$230,3,0),0)</f>
        <v>0</v>
      </c>
      <c r="D1897" s="1">
        <f>IFERROR(VLOOKUP(1134,'PEDIDO 24'!$C$2:$E$230,3,0),0)</f>
        <v>0</v>
      </c>
      <c r="E1897" s="1">
        <f>IFERROR(VLOOKUP(1135,'PEDIDO 24'!$C$2:$E$230,3,0),0)</f>
        <v>0</v>
      </c>
      <c r="F1897" s="1">
        <f>IFERROR(VLOOKUP(1136,'PEDIDO 24'!$C$2:$E$230,3,0),0)</f>
        <v>0</v>
      </c>
      <c r="G1897" s="18">
        <f t="shared" si="46"/>
        <v>0</v>
      </c>
    </row>
    <row r="1898" spans="1:7" ht="15.75" x14ac:dyDescent="0.25">
      <c r="A1898" s="15">
        <f>'PEDIDO 24'!$B$2</f>
        <v>0</v>
      </c>
      <c r="B1898" s="12" t="s">
        <v>432</v>
      </c>
      <c r="C1898" s="1">
        <f>IFERROR(VLOOKUP(1105,'PEDIDO 24'!$C$2:$E$230,3,0),0)</f>
        <v>0</v>
      </c>
      <c r="D1898" s="1">
        <f>IFERROR(VLOOKUP(1106,'PEDIDO 24'!$C$2:$E$230,3,0),0)</f>
        <v>0</v>
      </c>
      <c r="E1898" s="1">
        <f>IFERROR(VLOOKUP(1107,'PEDIDO 24'!$C$2:$E$230,3,0),0)</f>
        <v>0</v>
      </c>
      <c r="F1898" s="1">
        <f>IFERROR(VLOOKUP(1108,'PEDIDO 24'!$C$2:$E$230,3,0),0)</f>
        <v>0</v>
      </c>
      <c r="G1898" s="18">
        <f t="shared" si="46"/>
        <v>0</v>
      </c>
    </row>
    <row r="1899" spans="1:7" ht="15.75" x14ac:dyDescent="0.25">
      <c r="A1899" s="15">
        <f>'PEDIDO 24'!$B$2</f>
        <v>0</v>
      </c>
      <c r="B1899" s="12" t="s">
        <v>433</v>
      </c>
      <c r="C1899" s="1">
        <f>IFERROR(VLOOKUP(1109,'PEDIDO 24'!$C$2:$E$230,3,0),0)</f>
        <v>0</v>
      </c>
      <c r="D1899" s="1">
        <f>IFERROR(VLOOKUP(1110,'PEDIDO 24'!$C$2:$E$230,3,0),0)</f>
        <v>0</v>
      </c>
      <c r="E1899" s="1">
        <f>IFERROR(VLOOKUP(1111,'PEDIDO 24'!$C$2:$E$230,3,0),0)</f>
        <v>0</v>
      </c>
      <c r="F1899" s="1">
        <f>IFERROR(VLOOKUP(1112,'PEDIDO 24'!$C$2:$E$230,3,0),0)</f>
        <v>0</v>
      </c>
      <c r="G1899" s="18">
        <f t="shared" si="46"/>
        <v>0</v>
      </c>
    </row>
    <row r="1900" spans="1:7" ht="15.75" x14ac:dyDescent="0.25">
      <c r="A1900" s="15">
        <f>'PEDIDO 24'!$B$2</f>
        <v>0</v>
      </c>
      <c r="B1900" s="12" t="s">
        <v>434</v>
      </c>
      <c r="C1900" s="1">
        <f>IFERROR(VLOOKUP(1113,'PEDIDO 24'!$C$2:$E$230,3,0),0)</f>
        <v>0</v>
      </c>
      <c r="D1900" s="1">
        <f>IFERROR(VLOOKUP(1114,'PEDIDO 24'!$C$2:$E$230,3,0),0)</f>
        <v>0</v>
      </c>
      <c r="E1900" s="1">
        <f>IFERROR(VLOOKUP(1115,'PEDIDO 24'!$C$2:$E$230,3,0),0)</f>
        <v>0</v>
      </c>
      <c r="F1900" s="1">
        <f>IFERROR(VLOOKUP(1116,'PEDIDO 24'!$C$2:$E$230,3,0),0)</f>
        <v>0</v>
      </c>
      <c r="G1900" s="18">
        <f t="shared" si="46"/>
        <v>0</v>
      </c>
    </row>
    <row r="1901" spans="1:7" ht="15.75" x14ac:dyDescent="0.25">
      <c r="A1901" s="15">
        <f>'PEDIDO 24'!$B$2</f>
        <v>0</v>
      </c>
      <c r="B1901" s="12" t="s">
        <v>435</v>
      </c>
      <c r="C1901" s="1">
        <f>IFERROR(VLOOKUP(1117,'PEDIDO 24'!$C$2:$E$230,3,0),0)</f>
        <v>0</v>
      </c>
      <c r="D1901" s="1">
        <f>IFERROR(VLOOKUP(1118,'PEDIDO 24'!$C$2:$E$230,3,0),0)</f>
        <v>0</v>
      </c>
      <c r="E1901" s="1">
        <f>IFERROR(VLOOKUP(1119,'PEDIDO 24'!$C$2:$E$230,3,0),0)</f>
        <v>0</v>
      </c>
      <c r="F1901" s="1">
        <f>IFERROR(VLOOKUP(1120,'PEDIDO 24'!$C$2:$E$230,3,0),0)</f>
        <v>0</v>
      </c>
      <c r="G1901" s="18">
        <f t="shared" si="46"/>
        <v>0</v>
      </c>
    </row>
    <row r="1902" spans="1:7" ht="15.75" x14ac:dyDescent="0.25">
      <c r="A1902" s="15">
        <f>'PEDIDO 24'!$B$2</f>
        <v>0</v>
      </c>
      <c r="B1902" s="12" t="s">
        <v>436</v>
      </c>
      <c r="C1902" s="1">
        <f>IFERROR(VLOOKUP(1121,'PEDIDO 24'!$C$2:$E$230,3,0),0)</f>
        <v>0</v>
      </c>
      <c r="D1902" s="1">
        <f>IFERROR(VLOOKUP(1122,'PEDIDO 24'!$C$2:$E$230,3,0),0)</f>
        <v>0</v>
      </c>
      <c r="E1902" s="1">
        <f>IFERROR(VLOOKUP(1123,'PEDIDO 24'!$C$2:$E$230,3,0),0)</f>
        <v>0</v>
      </c>
      <c r="F1902" s="1">
        <f>IFERROR(VLOOKUP(1124,'PEDIDO 24'!$C$2:$E$230,3,0),0)</f>
        <v>0</v>
      </c>
      <c r="G1902" s="18">
        <f t="shared" si="46"/>
        <v>0</v>
      </c>
    </row>
    <row r="1903" spans="1:7" ht="15.75" x14ac:dyDescent="0.25">
      <c r="A1903" s="15">
        <f>'PEDIDO 24'!$B$2</f>
        <v>0</v>
      </c>
      <c r="B1903" s="12" t="s">
        <v>437</v>
      </c>
      <c r="C1903" s="1">
        <f>IFERROR(VLOOKUP(1129,'PEDIDO 24'!$C$2:$E$230,3,0),0)</f>
        <v>0</v>
      </c>
      <c r="D1903" s="1">
        <f>IFERROR(VLOOKUP(1130,'PEDIDO 24'!$C$2:$E$230,3,0),0)</f>
        <v>0</v>
      </c>
      <c r="E1903" s="1">
        <f>IFERROR(VLOOKUP(1131,'PEDIDO 24'!$C$2:$E$230,3,0),0)</f>
        <v>0</v>
      </c>
      <c r="F1903" s="1">
        <f>IFERROR(VLOOKUP(1132,'PEDIDO 24'!$C$2:$E$230,3,0),0)</f>
        <v>0</v>
      </c>
      <c r="G1903" s="18">
        <f t="shared" si="46"/>
        <v>0</v>
      </c>
    </row>
    <row r="1904" spans="1:7" ht="15.75" x14ac:dyDescent="0.25">
      <c r="A1904" s="15">
        <f>'PEDIDO 24'!$B$2</f>
        <v>0</v>
      </c>
      <c r="B1904" s="12" t="s">
        <v>438</v>
      </c>
      <c r="C1904" s="1">
        <f>IFERROR(VLOOKUP(1137,'PEDIDO 24'!$C$2:$E$230,3,0),0)</f>
        <v>0</v>
      </c>
      <c r="D1904" s="1">
        <f>IFERROR(VLOOKUP(1138,'PEDIDO 24'!$C$2:$E$230,3,0),0)</f>
        <v>0</v>
      </c>
      <c r="E1904" s="1">
        <f>IFERROR(VLOOKUP(1139,'PEDIDO 24'!$C$2:$E$230,3,0),0)</f>
        <v>0</v>
      </c>
      <c r="F1904" s="1">
        <f>IFERROR(VLOOKUP(1140,'PEDIDO 24'!$C$2:$E$230,3,0),0)</f>
        <v>0</v>
      </c>
      <c r="G1904" s="18">
        <f t="shared" si="46"/>
        <v>0</v>
      </c>
    </row>
    <row r="1905" spans="1:7" ht="15.75" x14ac:dyDescent="0.25">
      <c r="A1905" s="15">
        <f>'PEDIDO 24'!$B$2</f>
        <v>0</v>
      </c>
      <c r="B1905" s="12" t="s">
        <v>439</v>
      </c>
      <c r="C1905" s="1">
        <f>IFERROR(VLOOKUP(1141,'PEDIDO 24'!$C$2:$E$230,3,0),0)</f>
        <v>0</v>
      </c>
      <c r="D1905" s="1">
        <f>IFERROR(VLOOKUP(1142,'PEDIDO 24'!$C$2:$E$230,3,0),0)</f>
        <v>0</v>
      </c>
      <c r="E1905" s="1">
        <f>IFERROR(VLOOKUP(1143,'PEDIDO 24'!$C$2:$E$230,3,0),0)</f>
        <v>0</v>
      </c>
      <c r="F1905" s="1">
        <f>IFERROR(VLOOKUP(1144,'PEDIDO 24'!$C$2:$E$230,3,0),0)</f>
        <v>0</v>
      </c>
      <c r="G1905" s="18">
        <f t="shared" si="46"/>
        <v>0</v>
      </c>
    </row>
    <row r="1906" spans="1:7" ht="15.75" x14ac:dyDescent="0.25">
      <c r="A1906" s="15">
        <f>'PEDIDO 24'!$B$2</f>
        <v>0</v>
      </c>
      <c r="B1906" s="12" t="s">
        <v>440</v>
      </c>
      <c r="C1906" s="1">
        <f>IFERROR(VLOOKUP(1145,'PEDIDO 24'!$C$2:$E$230,3,0),0)</f>
        <v>0</v>
      </c>
      <c r="D1906" s="1">
        <f>IFERROR(VLOOKUP(1146,'PEDIDO 24'!$C$2:$E$230,3,0),0)</f>
        <v>0</v>
      </c>
      <c r="E1906" s="1">
        <f>IFERROR(VLOOKUP(1147,'PEDIDO 24'!$C$2:$E$230,3,0),0)</f>
        <v>0</v>
      </c>
      <c r="F1906" s="1">
        <f>IFERROR(VLOOKUP(1148,'PEDIDO 24'!$C$2:$E$230,3,0),0)</f>
        <v>0</v>
      </c>
      <c r="G1906" s="18">
        <f t="shared" si="46"/>
        <v>0</v>
      </c>
    </row>
    <row r="1907" spans="1:7" ht="15.75" x14ac:dyDescent="0.25">
      <c r="A1907" s="15">
        <f>'PEDIDO 24'!$B$2</f>
        <v>0</v>
      </c>
      <c r="B1907" s="12" t="s">
        <v>441</v>
      </c>
      <c r="C1907" s="1">
        <f>IFERROR(VLOOKUP(1149,'PEDIDO 24'!$C$2:$E$230,3,0),0)</f>
        <v>0</v>
      </c>
      <c r="D1907" s="1">
        <f>IFERROR(VLOOKUP(1150,'PEDIDO 24'!$C$2:$E$230,3,0),0)</f>
        <v>0</v>
      </c>
      <c r="E1907" s="1">
        <f>IFERROR(VLOOKUP(1151,'PEDIDO 24'!$C$2:$E$230,3,0),0)</f>
        <v>0</v>
      </c>
      <c r="F1907" s="1">
        <f>IFERROR(VLOOKUP(1152,'PEDIDO 24'!$C$2:$E$230,3,0),0)</f>
        <v>0</v>
      </c>
      <c r="G1907" s="18">
        <f t="shared" si="46"/>
        <v>0</v>
      </c>
    </row>
    <row r="1908" spans="1:7" ht="15.75" x14ac:dyDescent="0.25">
      <c r="A1908" s="15">
        <f>'PEDIDO 24'!$B$2</f>
        <v>0</v>
      </c>
      <c r="B1908" s="12" t="s">
        <v>442</v>
      </c>
      <c r="C1908" s="1">
        <f>IFERROR(VLOOKUP(1153,'PEDIDO 24'!$C$2:$E$230,3,0),0)</f>
        <v>0</v>
      </c>
      <c r="D1908" s="1">
        <f>IFERROR(VLOOKUP(1154,'PEDIDO 24'!$C$2:$E$230,3,0),0)</f>
        <v>0</v>
      </c>
      <c r="E1908" s="1">
        <f>IFERROR(VLOOKUP(1155,'PEDIDO 24'!$C$2:$E$230,3,0),0)</f>
        <v>0</v>
      </c>
      <c r="F1908" s="1">
        <f>IFERROR(VLOOKUP(1156,'PEDIDO 24'!$C$2:$E$230,3,0),0)</f>
        <v>0</v>
      </c>
      <c r="G1908" s="18">
        <f t="shared" si="46"/>
        <v>0</v>
      </c>
    </row>
    <row r="1909" spans="1:7" ht="15.75" x14ac:dyDescent="0.25">
      <c r="A1909" s="15">
        <f>'PEDIDO 24'!$B$2</f>
        <v>0</v>
      </c>
      <c r="B1909" s="12" t="s">
        <v>443</v>
      </c>
      <c r="C1909" s="1">
        <f>IFERROR(VLOOKUP(1157,'PEDIDO 24'!$C$2:$E$230,3,0),0)</f>
        <v>0</v>
      </c>
      <c r="D1909" s="1">
        <f>IFERROR(VLOOKUP(1158,'PEDIDO 24'!$C$2:$E$230,3,0),0)</f>
        <v>0</v>
      </c>
      <c r="E1909" s="1">
        <f>IFERROR(VLOOKUP(1159,'PEDIDO 24'!$C$2:$E$230,3,0),0)</f>
        <v>0</v>
      </c>
      <c r="F1909" s="1">
        <f>IFERROR(VLOOKUP(1160,'PEDIDO 24'!$C$2:$E$230,3,0),0)</f>
        <v>0</v>
      </c>
      <c r="G1909" s="18">
        <f t="shared" si="46"/>
        <v>0</v>
      </c>
    </row>
    <row r="1910" spans="1:7" ht="15.75" x14ac:dyDescent="0.25">
      <c r="A1910" s="15">
        <f>'PEDIDO 24'!$B$2</f>
        <v>0</v>
      </c>
      <c r="B1910" s="12" t="s">
        <v>444</v>
      </c>
      <c r="C1910" s="1">
        <f>IFERROR(VLOOKUP(1161,'PEDIDO 24'!$C$2:$E$230,3,0),0)</f>
        <v>0</v>
      </c>
      <c r="D1910" s="1">
        <f>IFERROR(VLOOKUP(1162,'PEDIDO 24'!$C$2:$E$230,3,0),0)</f>
        <v>0</v>
      </c>
      <c r="E1910" s="1">
        <f>IFERROR(VLOOKUP(1163,'PEDIDO 24'!$C$2:$E$230,3,0),0)</f>
        <v>0</v>
      </c>
      <c r="F1910" s="1">
        <f>IFERROR(VLOOKUP(1164,'PEDIDO 24'!$C$2:$E$230,3,0),0)</f>
        <v>0</v>
      </c>
      <c r="G1910" s="18">
        <f t="shared" si="46"/>
        <v>0</v>
      </c>
    </row>
    <row r="1911" spans="1:7" ht="15.75" x14ac:dyDescent="0.25">
      <c r="A1911" s="15">
        <f>'PEDIDO 24'!$B$2</f>
        <v>0</v>
      </c>
      <c r="B1911" s="12" t="s">
        <v>445</v>
      </c>
      <c r="C1911" s="1">
        <f>IFERROR(VLOOKUP(1165,'PEDIDO 24'!$C$2:$E$230,3,0),0)</f>
        <v>0</v>
      </c>
      <c r="D1911" s="1">
        <f>IFERROR(VLOOKUP(1166,'PEDIDO 24'!$C$2:$E$230,3,0),0)</f>
        <v>0</v>
      </c>
      <c r="E1911" s="1">
        <f>IFERROR(VLOOKUP(1167,'PEDIDO 24'!$C$2:$E$230,3,0),0)</f>
        <v>0</v>
      </c>
      <c r="F1911" s="1">
        <f>IFERROR(VLOOKUP(1168,'PEDIDO 24'!$C$2:$E$230,3,0),0)</f>
        <v>0</v>
      </c>
      <c r="G1911" s="18">
        <f t="shared" si="46"/>
        <v>0</v>
      </c>
    </row>
    <row r="1912" spans="1:7" ht="15.75" x14ac:dyDescent="0.25">
      <c r="A1912" s="15">
        <f>'PEDIDO 24'!$B$2</f>
        <v>0</v>
      </c>
      <c r="B1912" s="12" t="s">
        <v>446</v>
      </c>
      <c r="C1912" s="1">
        <f>IFERROR(VLOOKUP(1169,'PEDIDO 24'!$C$2:$E$230,3,0),0)</f>
        <v>0</v>
      </c>
      <c r="D1912" s="1">
        <f>IFERROR(VLOOKUP(1170,'PEDIDO 24'!$C$2:$E$230,3,0),0)</f>
        <v>0</v>
      </c>
      <c r="E1912" s="1">
        <f>IFERROR(VLOOKUP(1171,'PEDIDO 24'!$C$2:$E$230,3,0),0)</f>
        <v>0</v>
      </c>
      <c r="F1912" s="1">
        <f>IFERROR(VLOOKUP(1172,'PEDIDO 24'!$C$2:$E$230,3,0),0)</f>
        <v>0</v>
      </c>
      <c r="G1912" s="18">
        <f t="shared" si="46"/>
        <v>0</v>
      </c>
    </row>
    <row r="1913" spans="1:7" ht="15.75" x14ac:dyDescent="0.25">
      <c r="A1913" s="15">
        <f>'PEDIDO 24'!$B$2</f>
        <v>0</v>
      </c>
      <c r="B1913" s="12" t="s">
        <v>447</v>
      </c>
      <c r="C1913" s="1">
        <f>IFERROR(VLOOKUP(1173,'PEDIDO 24'!$C$2:$E$230,3,0),0)</f>
        <v>0</v>
      </c>
      <c r="D1913" s="1">
        <f>IFERROR(VLOOKUP(1174,'PEDIDO 24'!$C$2:$E$230,3,0),0)</f>
        <v>0</v>
      </c>
      <c r="E1913" s="1">
        <f>IFERROR(VLOOKUP(1175,'PEDIDO 24'!$C$2:$E$230,3,0),0)</f>
        <v>0</v>
      </c>
      <c r="F1913" s="1">
        <f>IFERROR(VLOOKUP(1176,'PEDIDO 24'!$C$2:$E$230,3,0),0)</f>
        <v>0</v>
      </c>
      <c r="G1913" s="18">
        <f t="shared" si="46"/>
        <v>0</v>
      </c>
    </row>
    <row r="1914" spans="1:7" ht="15.75" x14ac:dyDescent="0.25">
      <c r="A1914" s="15">
        <f>'PEDIDO 24'!$B$2</f>
        <v>0</v>
      </c>
      <c r="B1914" s="12" t="s">
        <v>448</v>
      </c>
      <c r="C1914" s="1">
        <f>IFERROR(VLOOKUP(1249,'PEDIDO 24'!$C$2:$E$230,3,0),0)</f>
        <v>0</v>
      </c>
      <c r="D1914" s="1">
        <f>IFERROR(VLOOKUP(1250,'PEDIDO 24'!$C$2:$E$230,3,0),0)</f>
        <v>0</v>
      </c>
      <c r="E1914" s="1">
        <f>IFERROR(VLOOKUP(1251,'PEDIDO 24'!$C$2:$E$230,3,0),0)</f>
        <v>0</v>
      </c>
      <c r="F1914" s="1">
        <f>IFERROR(VLOOKUP(1252,'PEDIDO 24'!$C$2:$E$230,3,0),0)</f>
        <v>0</v>
      </c>
      <c r="G1914" s="18">
        <f t="shared" si="46"/>
        <v>0</v>
      </c>
    </row>
    <row r="1915" spans="1:7" ht="15.75" x14ac:dyDescent="0.25">
      <c r="A1915" s="15">
        <f>'PEDIDO 24'!$B$2</f>
        <v>0</v>
      </c>
      <c r="B1915" s="12" t="s">
        <v>449</v>
      </c>
      <c r="C1915" s="1">
        <f>IFERROR(VLOOKUP(1177,'PEDIDO 24'!$C$2:$E$230,3,0),0)</f>
        <v>0</v>
      </c>
      <c r="D1915" s="1">
        <f>IFERROR(VLOOKUP(1178,'PEDIDO 24'!$C$2:$E$230,3,0),0)</f>
        <v>0</v>
      </c>
      <c r="E1915" s="1">
        <f>IFERROR(VLOOKUP(1179,'PEDIDO 24'!$C$2:$E$230,3,0),0)</f>
        <v>0</v>
      </c>
      <c r="F1915" s="1">
        <f>IFERROR(VLOOKUP(1180,'PEDIDO 24'!$C$2:$E$230,3,0),0)</f>
        <v>0</v>
      </c>
      <c r="G1915" s="18">
        <f t="shared" si="46"/>
        <v>0</v>
      </c>
    </row>
    <row r="1916" spans="1:7" ht="15.75" x14ac:dyDescent="0.25">
      <c r="A1916" s="15">
        <f>'PEDIDO 24'!$B$2</f>
        <v>0</v>
      </c>
      <c r="B1916" s="12" t="s">
        <v>450</v>
      </c>
      <c r="C1916" s="1">
        <f>IFERROR(VLOOKUP(1181,'PEDIDO 24'!$C$2:$E$230,3,0),0)</f>
        <v>0</v>
      </c>
      <c r="D1916" s="1">
        <f>IFERROR(VLOOKUP(1182,'PEDIDO 24'!$C$2:$E$230,3,0),0)</f>
        <v>0</v>
      </c>
      <c r="E1916" s="1">
        <f>IFERROR(VLOOKUP(1183,'PEDIDO 24'!$C$2:$E$230,3,0),0)</f>
        <v>0</v>
      </c>
      <c r="F1916" s="1">
        <f>IFERROR(VLOOKUP(1184,'PEDIDO 24'!$C$2:$E$230,3,0),0)</f>
        <v>0</v>
      </c>
      <c r="G1916" s="18">
        <f t="shared" si="46"/>
        <v>0</v>
      </c>
    </row>
    <row r="1917" spans="1:7" ht="15.75" x14ac:dyDescent="0.25">
      <c r="A1917" s="15">
        <f>'PEDIDO 24'!$B$2</f>
        <v>0</v>
      </c>
      <c r="B1917" s="12" t="s">
        <v>451</v>
      </c>
      <c r="C1917" s="1">
        <f>IFERROR(VLOOKUP(1185,'PEDIDO 24'!$C$2:$E$230,3,0),0)</f>
        <v>0</v>
      </c>
      <c r="D1917" s="1">
        <f>IFERROR(VLOOKUP(1186,'PEDIDO 24'!$C$2:$E$230,3,0),0)</f>
        <v>0</v>
      </c>
      <c r="E1917" s="1">
        <f>IFERROR(VLOOKUP(1187,'PEDIDO 24'!$C$2:$E$230,3,0),0)</f>
        <v>0</v>
      </c>
      <c r="F1917" s="1">
        <f>IFERROR(VLOOKUP(1188,'PEDIDO 24'!$C$2:$E$230,3,0),0)</f>
        <v>0</v>
      </c>
      <c r="G1917" s="18">
        <f t="shared" si="46"/>
        <v>0</v>
      </c>
    </row>
    <row r="1918" spans="1:7" ht="15.75" x14ac:dyDescent="0.25">
      <c r="A1918" s="15">
        <f>'PEDIDO 24'!$B$2</f>
        <v>0</v>
      </c>
      <c r="B1918" s="12" t="s">
        <v>452</v>
      </c>
      <c r="C1918" s="1">
        <f>IFERROR(VLOOKUP(1189,'PEDIDO 24'!$C$2:$E$230,3,0),0)</f>
        <v>0</v>
      </c>
      <c r="D1918" s="1">
        <f>IFERROR(VLOOKUP(1190,'PEDIDO 24'!$C$2:$E$230,3,0),0)</f>
        <v>0</v>
      </c>
      <c r="E1918" s="1">
        <f>IFERROR(VLOOKUP(1191,'PEDIDO 24'!$C$2:$E$230,3,0),0)</f>
        <v>0</v>
      </c>
      <c r="F1918" s="1">
        <f>IFERROR(VLOOKUP(1192,'PEDIDO 24'!$C$2:$E$230,3,0),0)</f>
        <v>0</v>
      </c>
      <c r="G1918" s="18">
        <f t="shared" si="46"/>
        <v>0</v>
      </c>
    </row>
    <row r="1919" spans="1:7" ht="15.75" x14ac:dyDescent="0.25">
      <c r="A1919" s="15">
        <f>'PEDIDO 24'!$B$2</f>
        <v>0</v>
      </c>
      <c r="B1919" s="12" t="s">
        <v>453</v>
      </c>
      <c r="C1919" s="1">
        <f>IFERROR(VLOOKUP(1193,'PEDIDO 24'!$C$2:$E$230,3,0),0)</f>
        <v>0</v>
      </c>
      <c r="D1919" s="1">
        <f>IFERROR(VLOOKUP(1194,'PEDIDO 24'!$C$2:$E$230,3,0),0)</f>
        <v>0</v>
      </c>
      <c r="E1919" s="1">
        <f>IFERROR(VLOOKUP(1195,'PEDIDO 24'!$C$2:$E$230,3,0),0)</f>
        <v>0</v>
      </c>
      <c r="F1919" s="1">
        <f>IFERROR(VLOOKUP(1196,'PEDIDO 24'!$C$2:$E$230,3,0),0)</f>
        <v>0</v>
      </c>
      <c r="G1919" s="18">
        <f t="shared" si="46"/>
        <v>0</v>
      </c>
    </row>
    <row r="1920" spans="1:7" ht="15.75" x14ac:dyDescent="0.25">
      <c r="A1920" s="15">
        <f>'PEDIDO 24'!$B$2</f>
        <v>0</v>
      </c>
      <c r="B1920" s="12" t="s">
        <v>454</v>
      </c>
      <c r="C1920" s="1">
        <f>IFERROR(VLOOKUP(1197,'PEDIDO 24'!$C$2:$E$230,3,0),0)</f>
        <v>0</v>
      </c>
      <c r="D1920" s="1">
        <f>IFERROR(VLOOKUP(1198,'PEDIDO 24'!$C$2:$E$230,3,0),0)</f>
        <v>0</v>
      </c>
      <c r="E1920" s="1">
        <f>IFERROR(VLOOKUP(1199,'PEDIDO 24'!$C$2:$E$230,3,0),0)</f>
        <v>0</v>
      </c>
      <c r="F1920" s="1">
        <f>IFERROR(VLOOKUP(1200,'PEDIDO 24'!$C$2:$E$230,3,0),0)</f>
        <v>0</v>
      </c>
      <c r="G1920" s="18">
        <f t="shared" si="46"/>
        <v>0</v>
      </c>
    </row>
    <row r="1921" spans="1:7" ht="15.75" x14ac:dyDescent="0.25">
      <c r="A1921" s="15">
        <f>'PEDIDO 24'!$B$2</f>
        <v>0</v>
      </c>
      <c r="B1921" s="12" t="s">
        <v>455</v>
      </c>
      <c r="C1921" s="1">
        <f>IFERROR(VLOOKUP(1201,'PEDIDO 24'!$C$2:$E$230,3,0),0)</f>
        <v>0</v>
      </c>
      <c r="D1921" s="1">
        <f>IFERROR(VLOOKUP(1202,'PEDIDO 24'!$C$2:$E$230,3,0),0)</f>
        <v>0</v>
      </c>
      <c r="E1921" s="1">
        <f>IFERROR(VLOOKUP(1203,'PEDIDO 24'!$C$2:$E$230,3,0),0)</f>
        <v>0</v>
      </c>
      <c r="F1921" s="1">
        <f>IFERROR(VLOOKUP(1204,'PEDIDO 24'!$C$2:$E$230,3,0),0)</f>
        <v>0</v>
      </c>
      <c r="G1921" s="18">
        <f t="shared" si="46"/>
        <v>0</v>
      </c>
    </row>
    <row r="1922" spans="1:7" ht="15.75" x14ac:dyDescent="0.25">
      <c r="A1922" s="15">
        <f>'PEDIDO 24'!$B$2</f>
        <v>0</v>
      </c>
      <c r="B1922" s="12" t="s">
        <v>456</v>
      </c>
      <c r="C1922" s="1">
        <f>IFERROR(VLOOKUP(1205,'PEDIDO 24'!$C$2:$E$230,3,0),0)</f>
        <v>0</v>
      </c>
      <c r="D1922" s="1">
        <f>IFERROR(VLOOKUP(1206,'PEDIDO 24'!$C$2:$E$230,3,0),0)</f>
        <v>0</v>
      </c>
      <c r="E1922" s="1">
        <f>IFERROR(VLOOKUP(1207,'PEDIDO 24'!$C$2:$E$230,3,0),0)</f>
        <v>0</v>
      </c>
      <c r="F1922" s="1">
        <f>IFERROR(VLOOKUP(1208,'PEDIDO 24'!$C$2:$E$230,3,0),0)</f>
        <v>0</v>
      </c>
      <c r="G1922" s="18">
        <f t="shared" si="46"/>
        <v>0</v>
      </c>
    </row>
    <row r="1923" spans="1:7" ht="15.75" x14ac:dyDescent="0.25">
      <c r="A1923" s="15">
        <f>'PEDIDO 24'!$B$2</f>
        <v>0</v>
      </c>
      <c r="B1923" s="12" t="s">
        <v>457</v>
      </c>
      <c r="C1923" s="1">
        <f>IFERROR(VLOOKUP(1213,'PEDIDO 24'!$C$2:$E$230,3,0),0)</f>
        <v>0</v>
      </c>
      <c r="D1923" s="1">
        <f>IFERROR(VLOOKUP(1214,'PEDIDO 24'!$C$2:$E$230,3,0),0)</f>
        <v>0</v>
      </c>
      <c r="E1923" s="1">
        <f>IFERROR(VLOOKUP(1215,'PEDIDO 24'!$C$2:$E$230,3,0),0)</f>
        <v>0</v>
      </c>
      <c r="F1923" s="10">
        <f>IFERROR(VLOOKUP(1216,'PEDIDO 24'!$C$2:$E$230,3,0),0)</f>
        <v>0</v>
      </c>
      <c r="G1923" s="18">
        <f t="shared" si="46"/>
        <v>0</v>
      </c>
    </row>
    <row r="1924" spans="1:7" ht="15.75" x14ac:dyDescent="0.25">
      <c r="A1924" s="15">
        <f>'PEDIDO 24'!$B$2</f>
        <v>0</v>
      </c>
      <c r="B1924" s="12" t="s">
        <v>458</v>
      </c>
      <c r="C1924" s="1">
        <f>IFERROR(VLOOKUP(1209,'PEDIDO 24'!$C$2:$E$230,3,0),0)</f>
        <v>0</v>
      </c>
      <c r="D1924" s="1">
        <f>IFERROR(VLOOKUP(1210,'PEDIDO 24'!$C$2:$E$230,3,0),0)</f>
        <v>0</v>
      </c>
      <c r="E1924" s="1">
        <f>IFERROR(VLOOKUP(1211,'PEDIDO 24'!$C$2:$E$230,3,0),0)</f>
        <v>0</v>
      </c>
      <c r="F1924" s="1">
        <f>IFERROR(VLOOKUP(1212,'PEDIDO 24'!$C$2:$E$230,3,0),0)</f>
        <v>0</v>
      </c>
      <c r="G1924" s="18">
        <f t="shared" si="46"/>
        <v>0</v>
      </c>
    </row>
    <row r="1925" spans="1:7" ht="15.75" x14ac:dyDescent="0.25">
      <c r="A1925" s="15">
        <f>'PEDIDO 24'!$B$2</f>
        <v>0</v>
      </c>
      <c r="B1925" s="12" t="s">
        <v>459</v>
      </c>
      <c r="C1925" s="1">
        <f>IFERROR(VLOOKUP(1217,'PEDIDO 24'!$C$2:$E$230,3,0),0)</f>
        <v>0</v>
      </c>
      <c r="D1925" s="1">
        <f>IFERROR(VLOOKUP(1218,'PEDIDO 24'!$C$2:$E$230,3,0),0)</f>
        <v>0</v>
      </c>
      <c r="E1925" s="1">
        <f>IFERROR(VLOOKUP(1219,'PEDIDO 24'!$C$2:$E$230,3,0),0)</f>
        <v>0</v>
      </c>
      <c r="F1925" s="1">
        <f>IFERROR(VLOOKUP(1220,'PEDIDO 24'!$C$2:$E$230,3,0),0)</f>
        <v>0</v>
      </c>
      <c r="G1925" s="18">
        <f t="shared" si="46"/>
        <v>0</v>
      </c>
    </row>
    <row r="1926" spans="1:7" ht="15.75" x14ac:dyDescent="0.25">
      <c r="A1926" s="15">
        <f>'PEDIDO 24'!$B$2</f>
        <v>0</v>
      </c>
      <c r="B1926" s="12" t="s">
        <v>461</v>
      </c>
      <c r="C1926" s="1">
        <f>IFERROR(VLOOKUP(1225,'PEDIDO 24'!$C$2:$E$230,3,0),0)</f>
        <v>0</v>
      </c>
      <c r="D1926" s="1">
        <f>IFERROR(VLOOKUP(1226,'PEDIDO 24'!$C$2:$E$230,3,0),0)</f>
        <v>0</v>
      </c>
      <c r="E1926" s="1">
        <f>IFERROR(VLOOKUP(1227,'PEDIDO 24'!$C$2:$E$230,3,0),0)</f>
        <v>0</v>
      </c>
      <c r="F1926" s="1">
        <f>IFERROR(VLOOKUP(1228,'PEDIDO 24'!$C$2:$E$230,3,0),0)</f>
        <v>0</v>
      </c>
      <c r="G1926" s="18">
        <f t="shared" si="46"/>
        <v>0</v>
      </c>
    </row>
    <row r="1927" spans="1:7" ht="15.75" x14ac:dyDescent="0.25">
      <c r="A1927" s="15">
        <f>'PEDIDO 24'!$B$2</f>
        <v>0</v>
      </c>
      <c r="B1927" s="12" t="s">
        <v>462</v>
      </c>
      <c r="C1927" s="1">
        <f>IFERROR(VLOOKUP(1221,'PEDIDO 24'!$C$2:$E$230,3,0),0)</f>
        <v>0</v>
      </c>
      <c r="D1927" s="1">
        <f>IFERROR(VLOOKUP(1222,'PEDIDO 24'!$C$2:$E$230,3,0),0)</f>
        <v>0</v>
      </c>
      <c r="E1927" s="1">
        <f>IFERROR(VLOOKUP(1223,'PEDIDO 24'!$C$2:$E$230,3,0),0)</f>
        <v>0</v>
      </c>
      <c r="F1927" s="1">
        <f>IFERROR(VLOOKUP(1224,'PEDIDO 24'!$C$2:$E$230,3,0),0)</f>
        <v>0</v>
      </c>
      <c r="G1927" s="18">
        <f t="shared" si="46"/>
        <v>0</v>
      </c>
    </row>
    <row r="1928" spans="1:7" ht="15.75" x14ac:dyDescent="0.25">
      <c r="A1928" s="15">
        <f>'PEDIDO 24'!$B$2</f>
        <v>0</v>
      </c>
      <c r="B1928" s="12" t="s">
        <v>460</v>
      </c>
      <c r="C1928" s="1">
        <f>IFERROR(VLOOKUP(1229,'PEDIDO 24'!$C$2:$E$230,3,0),0)</f>
        <v>0</v>
      </c>
      <c r="D1928" s="1">
        <f>IFERROR(VLOOKUP(1230,'PEDIDO 24'!$C$2:$E$230,3,0),0)</f>
        <v>0</v>
      </c>
      <c r="E1928" s="1">
        <f>IFERROR(VLOOKUP(1231,'PEDIDO 24'!$C$2:$E$230,3,0),0)</f>
        <v>0</v>
      </c>
      <c r="F1928" s="1">
        <f>IFERROR(VLOOKUP(1232,'PEDIDO 24'!$C$2:$E$230,3,0),0)</f>
        <v>0</v>
      </c>
      <c r="G1928" s="18">
        <f t="shared" si="46"/>
        <v>0</v>
      </c>
    </row>
    <row r="1929" spans="1:7" ht="15.75" x14ac:dyDescent="0.25">
      <c r="A1929" s="15">
        <f>'PEDIDO 24'!$B$2</f>
        <v>0</v>
      </c>
      <c r="B1929" s="12" t="s">
        <v>463</v>
      </c>
      <c r="C1929" s="1">
        <f>IFERROR(VLOOKUP(1233,'PEDIDO 24'!$C$2:$E$230,3,0),0)</f>
        <v>0</v>
      </c>
      <c r="D1929" s="1">
        <f>IFERROR(VLOOKUP(1234,'PEDIDO 24'!$C$2:$E$230,3,0),0)</f>
        <v>0</v>
      </c>
      <c r="E1929" s="1">
        <f>IFERROR(VLOOKUP(1235,'PEDIDO 24'!$C$2:$E$230,3,0),0)</f>
        <v>0</v>
      </c>
      <c r="F1929" s="1">
        <f>IFERROR(VLOOKUP(1236,'PEDIDO 24'!$C$2:$E$230,3,0),0)</f>
        <v>0</v>
      </c>
      <c r="G1929" s="18">
        <f t="shared" si="46"/>
        <v>0</v>
      </c>
    </row>
    <row r="1930" spans="1:7" ht="15.75" x14ac:dyDescent="0.25">
      <c r="A1930" s="15">
        <f>'PEDIDO 24'!$B$2</f>
        <v>0</v>
      </c>
      <c r="B1930" s="12" t="s">
        <v>464</v>
      </c>
      <c r="C1930" s="1">
        <f>IFERROR(VLOOKUP(1237,'PEDIDO 24'!$C$2:$E$230,3,0),0)</f>
        <v>0</v>
      </c>
      <c r="D1930" s="1">
        <f>IFERROR(VLOOKUP(1238,'PEDIDO 24'!$C$2:$E$230,3,0),0)</f>
        <v>0</v>
      </c>
      <c r="E1930" s="1">
        <f>IFERROR(VLOOKUP(1239,'PEDIDO 24'!$C$2:$E$230,3,0),0)</f>
        <v>0</v>
      </c>
      <c r="F1930" s="1">
        <f>IFERROR(VLOOKUP(1240,'PEDIDO 24'!$C$2:$E$230,3,0),0)</f>
        <v>0</v>
      </c>
      <c r="G1930" s="18">
        <f t="shared" ref="G1930:G1942" si="47">SUM(C1930+D1930+E1930+F1930)</f>
        <v>0</v>
      </c>
    </row>
    <row r="1931" spans="1:7" ht="15.75" x14ac:dyDescent="0.25">
      <c r="A1931" s="15">
        <f>'PEDIDO 24'!$B$2</f>
        <v>0</v>
      </c>
      <c r="B1931" s="12" t="s">
        <v>465</v>
      </c>
      <c r="C1931" s="1">
        <f>IFERROR(VLOOKUP(1241,'PEDIDO 24'!$C$2:$E$230,3,0),0)</f>
        <v>0</v>
      </c>
      <c r="D1931" s="1">
        <f>IFERROR(VLOOKUP(1242,'PEDIDO 24'!$C$2:$E$230,3,0),0)</f>
        <v>0</v>
      </c>
      <c r="E1931" s="1">
        <f>IFERROR(VLOOKUP(1243,'PEDIDO 24'!$C$2:$E$230,3,0),0)</f>
        <v>0</v>
      </c>
      <c r="F1931" s="1">
        <f>IFERROR(VLOOKUP(1244,'PEDIDO 24'!$C$2:$E$230,3,0),0)</f>
        <v>0</v>
      </c>
      <c r="G1931" s="18">
        <f t="shared" si="47"/>
        <v>0</v>
      </c>
    </row>
    <row r="1932" spans="1:7" ht="15.75" x14ac:dyDescent="0.25">
      <c r="A1932" s="15">
        <f>'PEDIDO 24'!$B$2</f>
        <v>0</v>
      </c>
      <c r="B1932" s="12" t="s">
        <v>466</v>
      </c>
      <c r="C1932" s="1">
        <f>IFERROR(VLOOKUP(1245,'PEDIDO 24'!$C$2:$E$230,3,0),0)</f>
        <v>0</v>
      </c>
      <c r="D1932" s="1">
        <f>IFERROR(VLOOKUP(1246,'PEDIDO 24'!$C$2:$E$230,3,0),0)</f>
        <v>0</v>
      </c>
      <c r="E1932" s="1">
        <f>IFERROR(VLOOKUP(1247,'PEDIDO 24'!$C$2:$E$230,3,0),0)</f>
        <v>0</v>
      </c>
      <c r="F1932" s="1">
        <f>IFERROR(VLOOKUP(1248,'PEDIDO 24'!$C$2:$E$230,3,0),0)</f>
        <v>0</v>
      </c>
      <c r="G1932" s="18">
        <f t="shared" si="47"/>
        <v>0</v>
      </c>
    </row>
    <row r="1933" spans="1:7" ht="15.75" x14ac:dyDescent="0.25">
      <c r="A1933" s="15">
        <f>'PEDIDO 24'!$B$2</f>
        <v>0</v>
      </c>
      <c r="B1933" s="12" t="s">
        <v>467</v>
      </c>
      <c r="C1933" s="1">
        <f>IFERROR(VLOOKUP(25714,'PEDIDO 24'!$C$2:$E$230,3,0),0)</f>
        <v>0</v>
      </c>
      <c r="D1933" s="1"/>
      <c r="E1933" s="1"/>
      <c r="F1933" s="1"/>
      <c r="G1933" s="18">
        <f t="shared" si="47"/>
        <v>0</v>
      </c>
    </row>
    <row r="1934" spans="1:7" ht="15.75" x14ac:dyDescent="0.25">
      <c r="A1934" s="15">
        <f>'PEDIDO 24'!$B$2</f>
        <v>0</v>
      </c>
      <c r="B1934" s="12" t="s">
        <v>468</v>
      </c>
      <c r="C1934" s="1">
        <f>IFERROR(VLOOKUP(25712,'PEDIDO 24'!$C$2:$E$230,3,0),0)</f>
        <v>0</v>
      </c>
      <c r="D1934" s="1"/>
      <c r="E1934" s="1"/>
      <c r="F1934" s="1"/>
      <c r="G1934" s="18">
        <f t="shared" si="47"/>
        <v>0</v>
      </c>
    </row>
    <row r="1935" spans="1:7" ht="15.75" x14ac:dyDescent="0.25">
      <c r="A1935" s="15">
        <f>'PEDIDO 24'!$B$2</f>
        <v>0</v>
      </c>
      <c r="B1935" s="12" t="s">
        <v>469</v>
      </c>
      <c r="C1935" s="1">
        <f>IFERROR(VLOOKUP(25713,'PEDIDO 24'!$C$2:$E$230,3,0),0)</f>
        <v>0</v>
      </c>
      <c r="D1935" s="1"/>
      <c r="E1935" s="1"/>
      <c r="F1935" s="1"/>
      <c r="G1935" s="18">
        <f t="shared" si="47"/>
        <v>0</v>
      </c>
    </row>
    <row r="1936" spans="1:7" ht="15.75" x14ac:dyDescent="0.25">
      <c r="A1936" s="15">
        <f>'PEDIDO 24'!$B$2</f>
        <v>0</v>
      </c>
      <c r="B1936" s="12" t="s">
        <v>470</v>
      </c>
      <c r="C1936" s="1">
        <f>IFERROR(VLOOKUP(1260,'PEDIDO 24'!$C$2:$E$230,3,0),0)</f>
        <v>0</v>
      </c>
      <c r="D1936" s="1"/>
      <c r="E1936" s="1"/>
      <c r="F1936" s="1"/>
      <c r="G1936" s="18">
        <f t="shared" si="47"/>
        <v>0</v>
      </c>
    </row>
    <row r="1937" spans="1:7" ht="15.75" x14ac:dyDescent="0.25">
      <c r="A1937" s="15">
        <f>'PEDIDO 24'!$B$2</f>
        <v>0</v>
      </c>
      <c r="B1937" s="12" t="s">
        <v>471</v>
      </c>
      <c r="C1937" s="1">
        <f>IFERROR(VLOOKUP(1261,'PEDIDO 24'!$C$2:$E$230,3,0),0)</f>
        <v>0</v>
      </c>
      <c r="D1937" s="1"/>
      <c r="E1937" s="1"/>
      <c r="F1937" s="1"/>
      <c r="G1937" s="18">
        <f t="shared" si="47"/>
        <v>0</v>
      </c>
    </row>
    <row r="1938" spans="1:7" ht="15.75" x14ac:dyDescent="0.25">
      <c r="A1938" s="15">
        <f>'PEDIDO 24'!$B$2</f>
        <v>0</v>
      </c>
      <c r="B1938" s="12" t="s">
        <v>472</v>
      </c>
      <c r="C1938" s="1">
        <f>IFERROR(VLOOKUP(1262,'PEDIDO 24'!$C$2:$E$230,3,0),0)</f>
        <v>0</v>
      </c>
      <c r="D1938" s="1"/>
      <c r="E1938" s="1"/>
      <c r="F1938" s="1"/>
      <c r="G1938" s="18">
        <f t="shared" si="47"/>
        <v>0</v>
      </c>
    </row>
    <row r="1939" spans="1:7" ht="15.75" x14ac:dyDescent="0.25">
      <c r="A1939" s="15">
        <f>'PEDIDO 24'!$B$2</f>
        <v>0</v>
      </c>
      <c r="B1939" s="12" t="s">
        <v>473</v>
      </c>
      <c r="C1939" s="1">
        <f>IFERROR(VLOOKUP(1263,'PEDIDO 24'!$C$2:$E$230,3,0),0)</f>
        <v>0</v>
      </c>
      <c r="D1939" s="1"/>
      <c r="E1939" s="1"/>
      <c r="F1939" s="1"/>
      <c r="G1939" s="18">
        <f t="shared" si="47"/>
        <v>0</v>
      </c>
    </row>
    <row r="1940" spans="1:7" ht="15.75" x14ac:dyDescent="0.25">
      <c r="A1940" s="15">
        <f>'PEDIDO 24'!$B$2</f>
        <v>0</v>
      </c>
      <c r="B1940" s="12" t="s">
        <v>474</v>
      </c>
      <c r="C1940" s="1">
        <f>IFERROR(VLOOKUP(1264,'PEDIDO 24'!$C$2:$E$230,3,0),0)</f>
        <v>0</v>
      </c>
      <c r="D1940" s="1"/>
      <c r="E1940" s="1"/>
      <c r="F1940" s="1"/>
      <c r="G1940" s="18">
        <f t="shared" si="47"/>
        <v>0</v>
      </c>
    </row>
    <row r="1941" spans="1:7" ht="15.75" x14ac:dyDescent="0.25">
      <c r="A1941" s="15">
        <f>'PEDIDO 24'!$B$2</f>
        <v>0</v>
      </c>
      <c r="B1941" s="12" t="s">
        <v>475</v>
      </c>
      <c r="C1941" s="1">
        <f>IFERROR(VLOOKUP(1265,'PEDIDO 24'!$C$2:$E$230,3,0),0)</f>
        <v>0</v>
      </c>
      <c r="D1941" s="1"/>
      <c r="E1941" s="1"/>
      <c r="F1941" s="1"/>
      <c r="G1941" s="18">
        <f t="shared" si="47"/>
        <v>0</v>
      </c>
    </row>
    <row r="1942" spans="1:7" ht="15.75" x14ac:dyDescent="0.25">
      <c r="A1942" s="15">
        <f>'PEDIDO 24'!$B$2</f>
        <v>0</v>
      </c>
      <c r="B1942" s="12" t="s">
        <v>476</v>
      </c>
      <c r="C1942" s="1">
        <f>IFERROR(VLOOKUP(1266,'PEDIDO 24'!$C$2:$E$230,3,0),0)</f>
        <v>0</v>
      </c>
      <c r="D1942" s="1"/>
      <c r="E1942" s="1"/>
      <c r="F1942" s="1"/>
      <c r="G1942" s="18">
        <f t="shared" si="47"/>
        <v>0</v>
      </c>
    </row>
    <row r="1943" spans="1:7" ht="15.75" x14ac:dyDescent="0.25">
      <c r="A1943" s="15">
        <f>'PEDIDO 24'!$B$2</f>
        <v>0</v>
      </c>
      <c r="B1943" s="12" t="s">
        <v>477</v>
      </c>
      <c r="C1943" s="1">
        <f>IFERROR(VLOOKUP(1268,'PEDIDO 24'!$C$2:$E$230,3,0),0)</f>
        <v>0</v>
      </c>
      <c r="D1943" s="1">
        <f>IFERROR(VLOOKUP(1269,'PEDIDO 24'!$C$2:$E$230,3,0),0)</f>
        <v>0</v>
      </c>
      <c r="E1943" s="1">
        <f>IFERROR(VLOOKUP(1270,'PEDIDO 24'!$C$2:$E$230,3,0),0)</f>
        <v>0</v>
      </c>
      <c r="F1943" s="1">
        <f>IFERROR(VLOOKUP(1271,'PEDIDO 24'!$C$2:$E$230,3,0),0)</f>
        <v>0</v>
      </c>
      <c r="G1943" s="18">
        <f t="shared" ref="G1943" si="48">SUM(C1943+D1943+E1943+F1943)</f>
        <v>0</v>
      </c>
    </row>
    <row r="1946" spans="1:7" ht="15.75" x14ac:dyDescent="0.25">
      <c r="A1946" s="15">
        <f>'PEDIDO 25'!$B$2</f>
        <v>0</v>
      </c>
      <c r="B1946" s="12" t="s">
        <v>399</v>
      </c>
      <c r="C1946" s="1">
        <f>IFERROR(VLOOKUP(1,'PEDIDO 25'!$C$2:$E$230,3,0),0)</f>
        <v>0</v>
      </c>
      <c r="D1946" s="1">
        <f>IFERROR(VLOOKUP(2,'PEDIDO 25'!$C$2:$E$230,3,0),0)</f>
        <v>0</v>
      </c>
      <c r="E1946" s="1">
        <f>IFERROR(VLOOKUP(3,'PEDIDO 25'!$C$2:$E$230,3,0),0)</f>
        <v>0</v>
      </c>
      <c r="F1946" s="1">
        <f>IFERROR(VLOOKUP(282,'PEDIDO 25'!$C$2:$E$230,3,0),0)</f>
        <v>0</v>
      </c>
      <c r="G1946" s="18">
        <f>SUM(C1946+D1946+E1946+F1946)</f>
        <v>0</v>
      </c>
    </row>
    <row r="1947" spans="1:7" ht="15.75" x14ac:dyDescent="0.25">
      <c r="A1947" s="15">
        <f>'PEDIDO 25'!$B$2</f>
        <v>0</v>
      </c>
      <c r="B1947" s="12" t="s">
        <v>400</v>
      </c>
      <c r="C1947" s="1">
        <f>IFERROR(VLOOKUP(5,'PEDIDO 25'!$C$2:$E$230,3,0),0)</f>
        <v>0</v>
      </c>
      <c r="D1947" s="1">
        <f>IFERROR(VLOOKUP(6,'PEDIDO 25'!$C$2:$E$230,3,0),0)</f>
        <v>0</v>
      </c>
      <c r="E1947" s="1">
        <f>IFERROR(VLOOKUP(7,'PEDIDO 25'!$C$2:$E$230,3,0),0)</f>
        <v>0</v>
      </c>
      <c r="F1947" s="1">
        <f>IFERROR(VLOOKUP(258,'PEDIDO 25'!$C$2:$E$230,3,0),0)</f>
        <v>0</v>
      </c>
      <c r="G1947" s="18">
        <f t="shared" ref="G1947:G2010" si="49">SUM(C1947+D1947+E1947+F1947)</f>
        <v>0</v>
      </c>
    </row>
    <row r="1948" spans="1:7" ht="15.75" x14ac:dyDescent="0.25">
      <c r="A1948" s="15">
        <f>'PEDIDO 25'!$B$2</f>
        <v>0</v>
      </c>
      <c r="B1948" s="12" t="s">
        <v>401</v>
      </c>
      <c r="C1948" s="1">
        <f>IFERROR(VLOOKUP(13,'PEDIDO 25'!$C$2:$E$230,3,0),0)</f>
        <v>0</v>
      </c>
      <c r="D1948" s="1">
        <f>IFERROR(VLOOKUP(14,'PEDIDO 25'!$C$2:$E$230,3,0),0)</f>
        <v>0</v>
      </c>
      <c r="E1948" s="1">
        <f>IFERROR(VLOOKUP(15,'PEDIDO 25'!$C$2:$E$230,3,0),0)</f>
        <v>0</v>
      </c>
      <c r="F1948" s="1">
        <f>IFERROR(VLOOKUP(289,'PEDIDO 25'!$C$2:$E$230,3,0),0)</f>
        <v>0</v>
      </c>
      <c r="G1948" s="18">
        <f t="shared" si="49"/>
        <v>0</v>
      </c>
    </row>
    <row r="1949" spans="1:7" ht="15.75" x14ac:dyDescent="0.25">
      <c r="A1949" s="15">
        <f>'PEDIDO 25'!$B$2</f>
        <v>0</v>
      </c>
      <c r="B1949" s="12" t="s">
        <v>402</v>
      </c>
      <c r="C1949" s="1">
        <f>IFERROR(VLOOKUP(267,'PEDIDO 25'!$C$2:$E$230,3,0),0)</f>
        <v>0</v>
      </c>
      <c r="D1949" s="1">
        <f>IFERROR(VLOOKUP(268,'PEDIDO 25'!$C$2:$E$230,3,0),0)</f>
        <v>0</v>
      </c>
      <c r="E1949" s="1">
        <f>IFERROR(VLOOKUP(270,'PEDIDO 25'!$C$2:$E$230,3,0),0)</f>
        <v>0</v>
      </c>
      <c r="F1949" s="1">
        <f>IFERROR(VLOOKUP(269,'PEDIDO 25'!$C$2:$E$230,3,0),0)</f>
        <v>0</v>
      </c>
      <c r="G1949" s="18">
        <f t="shared" si="49"/>
        <v>0</v>
      </c>
    </row>
    <row r="1950" spans="1:7" ht="15.75" x14ac:dyDescent="0.25">
      <c r="A1950" s="15">
        <f>'PEDIDO 25'!$B$2</f>
        <v>0</v>
      </c>
      <c r="B1950" s="12" t="s">
        <v>403</v>
      </c>
      <c r="C1950" s="1">
        <f>IFERROR(VLOOKUP(17,'PEDIDO 25'!$C$2:$E$230,3,0),0)</f>
        <v>0</v>
      </c>
      <c r="D1950" s="1">
        <f>IFERROR(VLOOKUP(18,'PEDIDO 25'!$C$2:$E$230,3,0),0)</f>
        <v>0</v>
      </c>
      <c r="E1950" s="1">
        <f>IFERROR(VLOOKUP(19,'PEDIDO 25'!$C$2:$E$230,3,0),0)</f>
        <v>0</v>
      </c>
      <c r="F1950" s="1">
        <f>IFERROR(VLOOKUP(290,'PEDIDO 25'!$C$2:$E$230,3,0),0)</f>
        <v>0</v>
      </c>
      <c r="G1950" s="18">
        <f t="shared" si="49"/>
        <v>0</v>
      </c>
    </row>
    <row r="1951" spans="1:7" ht="15.75" x14ac:dyDescent="0.25">
      <c r="A1951" s="15">
        <f>'PEDIDO 25'!$B$2</f>
        <v>0</v>
      </c>
      <c r="B1951" s="12" t="s">
        <v>404</v>
      </c>
      <c r="C1951" s="1">
        <f>IFERROR(VLOOKUP(23,'PEDIDO 25'!$C$2:$E$230,3,0),0)</f>
        <v>0</v>
      </c>
      <c r="D1951" s="1">
        <f>IFERROR(VLOOKUP(24,'PEDIDO 25'!$C$2:$E$230,3,0),0)</f>
        <v>0</v>
      </c>
      <c r="E1951" s="1">
        <f>IFERROR(VLOOKUP(25,'PEDIDO 25'!$C$2:$E$230,3,0),0)</f>
        <v>0</v>
      </c>
      <c r="F1951" s="1">
        <f>IFERROR(VLOOKUP(291,'PEDIDO 25'!$C$2:$E$230,3,0),0)</f>
        <v>0</v>
      </c>
      <c r="G1951" s="18">
        <f t="shared" si="49"/>
        <v>0</v>
      </c>
    </row>
    <row r="1952" spans="1:7" ht="15.75" x14ac:dyDescent="0.25">
      <c r="A1952" s="15">
        <f>'PEDIDO 25'!$B$2</f>
        <v>0</v>
      </c>
      <c r="B1952" s="12" t="s">
        <v>405</v>
      </c>
      <c r="C1952" s="1">
        <f>IFERROR(VLOOKUP(27,'PEDIDO 25'!$C$2:$E$230,3,0),0)</f>
        <v>0</v>
      </c>
      <c r="D1952" s="1">
        <f>IFERROR(VLOOKUP(28,'PEDIDO 25'!$C$2:$E$230,3,0),0)</f>
        <v>0</v>
      </c>
      <c r="E1952" s="1">
        <f>IFERROR(VLOOKUP(29,'PEDIDO 25'!$C$2:$E$230,3,0),0)</f>
        <v>0</v>
      </c>
      <c r="F1952" s="1">
        <f>IFERROR(VLOOKUP(292,'PEDIDO 25'!$C$2:$E$230,3,0),0)</f>
        <v>0</v>
      </c>
      <c r="G1952" s="18">
        <f t="shared" si="49"/>
        <v>0</v>
      </c>
    </row>
    <row r="1953" spans="1:7" ht="15.75" x14ac:dyDescent="0.25">
      <c r="A1953" s="15">
        <f>'PEDIDO 25'!$B$2</f>
        <v>0</v>
      </c>
      <c r="B1953" s="12" t="s">
        <v>406</v>
      </c>
      <c r="C1953" s="1">
        <f>IFERROR(VLOOKUP(227,'PEDIDO 25'!$C$2:$E$230,3,0),0)</f>
        <v>0</v>
      </c>
      <c r="D1953" s="1">
        <f>IFERROR(VLOOKUP(228,'PEDIDO 25'!$C$2:$E$230,3,0),0)</f>
        <v>0</v>
      </c>
      <c r="E1953" s="1">
        <f>IFERROR(VLOOKUP(229,'PEDIDO 25'!$C$2:$E$230,3,0),0)</f>
        <v>0</v>
      </c>
      <c r="F1953" s="1">
        <f>IFERROR(VLOOKUP(230,'PEDIDO 25'!$C$2:$E$230,3,0),0)</f>
        <v>0</v>
      </c>
      <c r="G1953" s="18">
        <f t="shared" si="49"/>
        <v>0</v>
      </c>
    </row>
    <row r="1954" spans="1:7" ht="15.75" x14ac:dyDescent="0.25">
      <c r="A1954" s="15">
        <f>'PEDIDO 25'!$B$2</f>
        <v>0</v>
      </c>
      <c r="B1954" s="12" t="s">
        <v>407</v>
      </c>
      <c r="C1954" s="1">
        <f>IFERROR(VLOOKUP(231,'PEDIDO 25'!$C$2:$E$230,3,0),0)</f>
        <v>0</v>
      </c>
      <c r="D1954" s="1">
        <f>IFERROR(VLOOKUP(232,'PEDIDO 25'!$C$2:$E$230,3,0),0)</f>
        <v>0</v>
      </c>
      <c r="E1954" s="1">
        <f>IFERROR(VLOOKUP(234,'PEDIDO 25'!$C$2:$E$230,3,0),0)</f>
        <v>0</v>
      </c>
      <c r="F1954" s="1">
        <f>IFERROR(VLOOKUP(233,'PEDIDO 25'!$C$2:$E$230,3,0),0)</f>
        <v>0</v>
      </c>
      <c r="G1954" s="18">
        <f t="shared" si="49"/>
        <v>0</v>
      </c>
    </row>
    <row r="1955" spans="1:7" ht="15.75" x14ac:dyDescent="0.25">
      <c r="A1955" s="15">
        <f>'PEDIDO 25'!$B$2</f>
        <v>0</v>
      </c>
      <c r="B1955" s="12" t="s">
        <v>408</v>
      </c>
      <c r="C1955" s="1">
        <f>IFERROR(VLOOKUP(237,'PEDIDO 25'!$C$2:$E$230,3,0),0)</f>
        <v>0</v>
      </c>
      <c r="D1955" s="1">
        <f>IFERROR(VLOOKUP(238,'PEDIDO 25'!$C$2:$E$230,3,0),0)</f>
        <v>0</v>
      </c>
      <c r="E1955" s="1">
        <f>IFERROR(VLOOKUP(240,'PEDIDO 25'!$C$2:$E$230,3,0),0)</f>
        <v>0</v>
      </c>
      <c r="F1955" s="1">
        <f>IFERROR(VLOOKUP(239,'PEDIDO 25'!$C$2:$E$230,3,0),0)</f>
        <v>0</v>
      </c>
      <c r="G1955" s="18">
        <f t="shared" si="49"/>
        <v>0</v>
      </c>
    </row>
    <row r="1956" spans="1:7" ht="15.75" x14ac:dyDescent="0.25">
      <c r="A1956" s="15">
        <f>'PEDIDO 25'!$B$2</f>
        <v>0</v>
      </c>
      <c r="B1956" s="12" t="s">
        <v>409</v>
      </c>
      <c r="C1956" s="1">
        <f>IFERROR(VLOOKUP(25707,'PEDIDO 25'!$C$2:$E$230,3,0),0)</f>
        <v>0</v>
      </c>
      <c r="D1956" s="1">
        <f>IFERROR(VLOOKUP(25708,'PEDIDO 25'!$C$2:$E$230,3,0),0)</f>
        <v>0</v>
      </c>
      <c r="E1956" s="1">
        <f>IFERROR(VLOOKUP(25710,'PEDIDO 25'!$C$2:$E$230,3,0),0)</f>
        <v>0</v>
      </c>
      <c r="F1956" s="1">
        <f>IFERROR(VLOOKUP(25709,'PEDIDO 25'!$C$2:$E$230,3,0),0)</f>
        <v>0</v>
      </c>
      <c r="G1956" s="18">
        <f t="shared" si="49"/>
        <v>0</v>
      </c>
    </row>
    <row r="1957" spans="1:7" ht="15.75" x14ac:dyDescent="0.25">
      <c r="A1957" s="15">
        <f>'PEDIDO 25'!$B$2</f>
        <v>0</v>
      </c>
      <c r="B1957" s="12" t="s">
        <v>410</v>
      </c>
      <c r="C1957" s="1">
        <f>IFERROR(VLOOKUP(25711,'PEDIDO 25'!$C$2:$E$230,3,0),0)</f>
        <v>0</v>
      </c>
      <c r="D1957" s="1"/>
      <c r="E1957" s="1"/>
      <c r="F1957" s="1"/>
      <c r="G1957" s="18">
        <f t="shared" si="49"/>
        <v>0</v>
      </c>
    </row>
    <row r="1958" spans="1:7" ht="15.75" x14ac:dyDescent="0.25">
      <c r="A1958" s="15">
        <f>'PEDIDO 25'!$B$2</f>
        <v>0</v>
      </c>
      <c r="B1958" s="12" t="s">
        <v>411</v>
      </c>
      <c r="C1958" s="1">
        <f>IFERROR(VLOOKUP(35,'PEDIDO 25'!$C$2:$E$230,3,0),0)</f>
        <v>0</v>
      </c>
      <c r="D1958" s="1">
        <f>IFERROR(VLOOKUP(36,'PEDIDO 25'!$C$2:$E$230,3,0),0)</f>
        <v>0</v>
      </c>
      <c r="E1958" s="1">
        <f>IFERROR(VLOOKUP(37,'PEDIDO 25'!$C$2:$E$230,3,0),0)</f>
        <v>0</v>
      </c>
      <c r="F1958" s="1">
        <f>IFERROR(VLOOKUP(294,'PEDIDO 25'!$C$2:$E$230,3,0),0)</f>
        <v>0</v>
      </c>
      <c r="G1958" s="18">
        <f t="shared" si="49"/>
        <v>0</v>
      </c>
    </row>
    <row r="1959" spans="1:7" ht="15.75" x14ac:dyDescent="0.25">
      <c r="A1959" s="15">
        <f>'PEDIDO 25'!$B$2</f>
        <v>0</v>
      </c>
      <c r="B1959" s="12" t="s">
        <v>412</v>
      </c>
      <c r="C1959" s="1">
        <f>IFERROR(VLOOKUP(39,'PEDIDO 25'!$C$2:$E$230,3,0),0)</f>
        <v>0</v>
      </c>
      <c r="D1959" s="1">
        <f>IFERROR(VLOOKUP(40,'PEDIDO 25'!$C$2:$E$230,3,0),0)</f>
        <v>0</v>
      </c>
      <c r="E1959" s="1">
        <f>IFERROR(VLOOKUP(42,'PEDIDO 25'!$C$2:$E$230,3,0),0)</f>
        <v>0</v>
      </c>
      <c r="F1959" s="1">
        <f>IFERROR(VLOOKUP(295,'PEDIDO 25'!$C$2:$E$230,3,0),0)</f>
        <v>0</v>
      </c>
      <c r="G1959" s="18">
        <f t="shared" si="49"/>
        <v>0</v>
      </c>
    </row>
    <row r="1960" spans="1:7" ht="15.75" x14ac:dyDescent="0.25">
      <c r="A1960" s="15">
        <f>'PEDIDO 25'!$B$2</f>
        <v>0</v>
      </c>
      <c r="B1960" s="12" t="s">
        <v>413</v>
      </c>
      <c r="C1960" s="1">
        <f>IFERROR(VLOOKUP(44,'PEDIDO 25'!$C$2:$E$230,3,0),0)</f>
        <v>0</v>
      </c>
      <c r="D1960" s="1">
        <f>IFERROR(VLOOKUP(45,'PEDIDO 25'!$C$2:$E$230,3,0),0)</f>
        <v>0</v>
      </c>
      <c r="E1960" s="1">
        <f>IFERROR(VLOOKUP(46,'PEDIDO 25'!$C$2:$E$230,3,0),0)</f>
        <v>0</v>
      </c>
      <c r="F1960" s="1">
        <f>IFERROR(VLOOKUP(283,'PEDIDO 25'!$C$2:$E$230,3,0),0)</f>
        <v>0</v>
      </c>
      <c r="G1960" s="18">
        <f t="shared" si="49"/>
        <v>0</v>
      </c>
    </row>
    <row r="1961" spans="1:7" ht="15.75" x14ac:dyDescent="0.25">
      <c r="A1961" s="15">
        <f>'PEDIDO 25'!$B$2</f>
        <v>0</v>
      </c>
      <c r="B1961" s="12" t="s">
        <v>414</v>
      </c>
      <c r="C1961" s="1">
        <f>IFERROR(VLOOKUP(48,'PEDIDO 25'!$C$2:$E$230,3,0),0)</f>
        <v>0</v>
      </c>
      <c r="D1961" s="1">
        <f>IFERROR(VLOOKUP(49,'PEDIDO 25'!$C$2:$E$230,3,0),0)</f>
        <v>0</v>
      </c>
      <c r="E1961" s="1">
        <f>IFERROR(VLOOKUP(50,'PEDIDO 25'!$C$2:$E$230,3,0),0)</f>
        <v>0</v>
      </c>
      <c r="F1961" s="1">
        <f>IFERROR(VLOOKUP(298,'PEDIDO 25'!$C$2:$E$230,3,0),0)</f>
        <v>0</v>
      </c>
      <c r="G1961" s="18">
        <f t="shared" si="49"/>
        <v>0</v>
      </c>
    </row>
    <row r="1962" spans="1:7" ht="15.75" x14ac:dyDescent="0.25">
      <c r="A1962" s="15">
        <f>'PEDIDO 25'!$B$2</f>
        <v>0</v>
      </c>
      <c r="B1962" s="12" t="s">
        <v>415</v>
      </c>
      <c r="C1962" s="1">
        <f>IFERROR(VLOOKUP(52,'PEDIDO 25'!$C$2:$E$230,3,0),0)</f>
        <v>0</v>
      </c>
      <c r="D1962" s="1">
        <f>IFERROR(VLOOKUP(53,'PEDIDO 25'!$C$2:$E$230,3,0),0)</f>
        <v>0</v>
      </c>
      <c r="E1962" s="1">
        <f>IFERROR(VLOOKUP(54,'PEDIDO 25'!$C$2:$E$230,3,0),0)</f>
        <v>0</v>
      </c>
      <c r="F1962" s="1">
        <f>IFERROR(VLOOKUP(299,'PEDIDO 25'!$C$2:$E$230,3,0),0)</f>
        <v>0</v>
      </c>
      <c r="G1962" s="18">
        <f t="shared" si="49"/>
        <v>0</v>
      </c>
    </row>
    <row r="1963" spans="1:7" ht="15.75" x14ac:dyDescent="0.25">
      <c r="A1963" s="15">
        <f>'PEDIDO 25'!$B$2</f>
        <v>0</v>
      </c>
      <c r="B1963" s="12" t="s">
        <v>416</v>
      </c>
      <c r="C1963" s="1">
        <f>IFERROR(VLOOKUP(56,'PEDIDO 25'!$C$2:$E$230,3,0),0)</f>
        <v>0</v>
      </c>
      <c r="D1963" s="1">
        <f>IFERROR(VLOOKUP(61,'PEDIDO 25'!$C$2:$E$230,3,0),0)</f>
        <v>0</v>
      </c>
      <c r="E1963" s="1">
        <f>IFERROR(VLOOKUP(58,'PEDIDO 25'!$C$2:$E$230,3,0),0)</f>
        <v>0</v>
      </c>
      <c r="F1963" s="1">
        <f>IFERROR(VLOOKUP(300,'PEDIDO 25'!$C$2:$E$230,3,0),0)</f>
        <v>0</v>
      </c>
      <c r="G1963" s="18">
        <f t="shared" si="49"/>
        <v>0</v>
      </c>
    </row>
    <row r="1964" spans="1:7" ht="15.75" x14ac:dyDescent="0.25">
      <c r="A1964" s="15">
        <f>'PEDIDO 25'!$B$2</f>
        <v>0</v>
      </c>
      <c r="B1964" s="12" t="s">
        <v>417</v>
      </c>
      <c r="C1964" s="1">
        <f>IFERROR(VLOOKUP(60,'PEDIDO 25'!$C$2:$E$230,3,0),0)</f>
        <v>0</v>
      </c>
      <c r="D1964" s="1">
        <f>IFERROR(VLOOKUP(120,'PEDIDO 25'!$C$2:$E$230,3,0),0)</f>
        <v>0</v>
      </c>
      <c r="E1964" s="1">
        <f>IFERROR(VLOOKUP(62,'PEDIDO 25'!$C$2:$E$230,3,0),0)</f>
        <v>0</v>
      </c>
      <c r="F1964" s="1">
        <f>IFERROR(VLOOKUP(301,'PEDIDO 25'!$C$2:$E$230,3,0),0)</f>
        <v>0</v>
      </c>
      <c r="G1964" s="18">
        <f t="shared" si="49"/>
        <v>0</v>
      </c>
    </row>
    <row r="1965" spans="1:7" ht="15.75" x14ac:dyDescent="0.25">
      <c r="A1965" s="15">
        <f>'PEDIDO 25'!$B$2</f>
        <v>0</v>
      </c>
      <c r="B1965" s="12" t="s">
        <v>426</v>
      </c>
      <c r="C1965" s="1">
        <f>IFERROR(VLOOKUP(112,'PEDIDO 25'!$C$2:$E$230,3,0),0)</f>
        <v>0</v>
      </c>
      <c r="D1965" s="1">
        <f>IFERROR(VLOOKUP(113,'PEDIDO 25'!$C$2:$E$230,3,0),0)</f>
        <v>0</v>
      </c>
      <c r="E1965" s="1">
        <f>IFERROR(VLOOKUP(114,'PEDIDO 25'!$C$2:$E$230,3,0),0)</f>
        <v>0</v>
      </c>
      <c r="F1965" s="1">
        <f>IFERROR(VLOOKUP(296,'PEDIDO 25'!$C$2:$E$230,3,0),0)</f>
        <v>0</v>
      </c>
      <c r="G1965" s="18">
        <f t="shared" si="49"/>
        <v>0</v>
      </c>
    </row>
    <row r="1966" spans="1:7" ht="15.75" x14ac:dyDescent="0.25">
      <c r="A1966" s="15">
        <f>'PEDIDO 25'!$B$2</f>
        <v>0</v>
      </c>
      <c r="B1966" s="12" t="s">
        <v>427</v>
      </c>
      <c r="C1966" s="1">
        <f>IFERROR(VLOOKUP(116,'PEDIDO 25'!$C$2:$E$230,3,0),0)</f>
        <v>0</v>
      </c>
      <c r="D1966" s="1">
        <f>IFERROR(VLOOKUP(117,'PEDIDO 25'!$C$2:$E$230,3,0),0)</f>
        <v>0</v>
      </c>
      <c r="E1966" s="1">
        <f>IFERROR(VLOOKUP(118,'PEDIDO 25'!$C$2:$E$230,3,0),0)</f>
        <v>0</v>
      </c>
      <c r="F1966" s="1">
        <f>IFERROR(VLOOKUP(293,'PEDIDO 25'!$C$2:$E$230,3,0),0)</f>
        <v>0</v>
      </c>
      <c r="G1966" s="18">
        <f t="shared" si="49"/>
        <v>0</v>
      </c>
    </row>
    <row r="1967" spans="1:7" ht="15.75" x14ac:dyDescent="0.25">
      <c r="A1967" s="15">
        <f>'PEDIDO 25'!$B$2</f>
        <v>0</v>
      </c>
      <c r="B1967" s="12" t="s">
        <v>418</v>
      </c>
      <c r="C1967" s="1">
        <f>IFERROR(VLOOKUP(963,'PEDIDO 25'!$C$2:$E$230,3,0),0)</f>
        <v>0</v>
      </c>
      <c r="D1967" s="1">
        <f>IFERROR(VLOOKUP(965,'PEDIDO 25'!$C$2:$E$230,3,0),0)</f>
        <v>0</v>
      </c>
      <c r="E1967" s="1">
        <f>IFERROR(VLOOKUP(966,'PEDIDO 25'!$C$2:$E$230,3,0),0)</f>
        <v>0</v>
      </c>
      <c r="F1967" s="1">
        <f>IFERROR(VLOOKUP(964,'PEDIDO 25'!$C$2:$E$230,3,0),0)</f>
        <v>0</v>
      </c>
      <c r="G1967" s="18">
        <f t="shared" si="49"/>
        <v>0</v>
      </c>
    </row>
    <row r="1968" spans="1:7" ht="15.75" x14ac:dyDescent="0.25">
      <c r="A1968" s="15">
        <f>'PEDIDO 25'!$B$2</f>
        <v>0</v>
      </c>
      <c r="B1968" s="12" t="s">
        <v>419</v>
      </c>
      <c r="C1968" s="1">
        <f>IFERROR(VLOOKUP(2042,'PEDIDO 25'!$C$2:$E$230,3,0),0)</f>
        <v>0</v>
      </c>
      <c r="D1968" s="1">
        <f>IFERROR(VLOOKUP(2041,'PEDIDO 25'!$C$2:$E$230,3,0),0)</f>
        <v>0</v>
      </c>
      <c r="E1968" s="1">
        <f>IFERROR(VLOOKUP(2043,'PEDIDO 25'!$C$2:$E$230,3,0),0)</f>
        <v>0</v>
      </c>
      <c r="F1968" s="1">
        <f>IFERROR(VLOOKUP(2040,'PEDIDO 25'!$C$2:$E$230,3,0),0)</f>
        <v>0</v>
      </c>
      <c r="G1968" s="18">
        <f t="shared" si="49"/>
        <v>0</v>
      </c>
    </row>
    <row r="1969" spans="1:7" ht="15.75" x14ac:dyDescent="0.25">
      <c r="A1969" s="15">
        <f>'PEDIDO 25'!$B$2</f>
        <v>0</v>
      </c>
      <c r="B1969" s="12" t="s">
        <v>420</v>
      </c>
      <c r="C1969" s="1">
        <f>IFERROR(VLOOKUP(2045,'PEDIDO 25'!$C$2:$E$230,3,0),0)</f>
        <v>0</v>
      </c>
      <c r="D1969" s="1">
        <f>IFERROR(VLOOKUP(2046,'PEDIDO 25'!$C$2:$E$230,3,0),0)</f>
        <v>0</v>
      </c>
      <c r="E1969" s="1">
        <f>IFERROR(VLOOKUP(2047,'PEDIDO 25'!$C$2:$E$230,3,0),0)</f>
        <v>0</v>
      </c>
      <c r="F1969" s="1">
        <f>IFERROR(VLOOKUP(2048,'PEDIDO 25'!$C$2:$E$230,3,0),0)</f>
        <v>0</v>
      </c>
      <c r="G1969" s="18">
        <f t="shared" si="49"/>
        <v>0</v>
      </c>
    </row>
    <row r="1970" spans="1:7" ht="15.75" x14ac:dyDescent="0.25">
      <c r="A1970" s="15">
        <f>'PEDIDO 25'!$B$2</f>
        <v>0</v>
      </c>
      <c r="B1970" s="12" t="s">
        <v>421</v>
      </c>
      <c r="C1970" s="1">
        <f>IFERROR(VLOOKUP(2050,'PEDIDO 25'!$C$2:$E$230,3,0),0)</f>
        <v>0</v>
      </c>
      <c r="D1970" s="1">
        <f>IFERROR(VLOOKUP(2051,'PEDIDO 25'!$C$2:$E$230,3,0),0)</f>
        <v>0</v>
      </c>
      <c r="E1970" s="1">
        <f>IFERROR(VLOOKUP(2052,'PEDIDO 25'!$C$2:$E$230,3,0),0)</f>
        <v>0</v>
      </c>
      <c r="F1970" s="1">
        <f>IFERROR(VLOOKUP(2053,'PEDIDO 25'!$C$2:$E$230,3,0),0)</f>
        <v>0</v>
      </c>
      <c r="G1970" s="18">
        <f t="shared" si="49"/>
        <v>0</v>
      </c>
    </row>
    <row r="1971" spans="1:7" ht="15.75" x14ac:dyDescent="0.25">
      <c r="A1971" s="15">
        <f>'PEDIDO 25'!$B$2</f>
        <v>0</v>
      </c>
      <c r="B1971" s="12" t="s">
        <v>422</v>
      </c>
      <c r="C1971" s="1">
        <f>IFERROR(VLOOKUP(216,'PEDIDO 25'!$C$2:$E$230,3,0),0)</f>
        <v>0</v>
      </c>
      <c r="D1971" s="1">
        <f>IFERROR(VLOOKUP(217,'PEDIDO 25'!$C$2:$E$230,3,0),0)</f>
        <v>0</v>
      </c>
      <c r="E1971" s="1">
        <f>IFERROR(VLOOKUP(218,'PEDIDO 25'!$C$2:$E$230,3,0),0)</f>
        <v>0</v>
      </c>
      <c r="F1971" s="1">
        <f>IFERROR(VLOOKUP(305,'PEDIDO 25'!$C$2:$E$230,3,0),0)</f>
        <v>0</v>
      </c>
      <c r="G1971" s="18">
        <f t="shared" si="49"/>
        <v>0</v>
      </c>
    </row>
    <row r="1972" spans="1:7" ht="15.75" x14ac:dyDescent="0.25">
      <c r="A1972" s="15">
        <f>'PEDIDO 25'!$B$2</f>
        <v>0</v>
      </c>
      <c r="B1972" s="12" t="s">
        <v>423</v>
      </c>
      <c r="C1972" s="1">
        <f>IFERROR(VLOOKUP(100,'PEDIDO 25'!$C$2:$E$230,3,0),0)</f>
        <v>0</v>
      </c>
      <c r="D1972" s="1">
        <f>IFERROR(VLOOKUP(101,'PEDIDO 25'!$C$2:$E$230,3,0),0)</f>
        <v>0</v>
      </c>
      <c r="E1972" s="1">
        <f>IFERROR(VLOOKUP(102,'PEDIDO 25'!$C$2:$E$230,3,0),0)</f>
        <v>0</v>
      </c>
      <c r="F1972" s="1">
        <f>IFERROR(VLOOKUP(306,'PEDIDO 25'!$C$2:$E$230,3,0),0)</f>
        <v>0</v>
      </c>
      <c r="G1972" s="18">
        <f t="shared" si="49"/>
        <v>0</v>
      </c>
    </row>
    <row r="1973" spans="1:7" ht="15.75" x14ac:dyDescent="0.25">
      <c r="A1973" s="15">
        <f>'PEDIDO 25'!$B$2</f>
        <v>0</v>
      </c>
      <c r="B1973" s="12" t="s">
        <v>424</v>
      </c>
      <c r="C1973" s="1">
        <f>IFERROR(VLOOKUP(104,'PEDIDO 25'!$C$2:$E$230,3,0),0)</f>
        <v>0</v>
      </c>
      <c r="D1973" s="1">
        <f>IFERROR(VLOOKUP(105,'PEDIDO 25'!$C$2:$E$230,3,0),0)</f>
        <v>0</v>
      </c>
      <c r="E1973" s="1">
        <f>IFERROR(VLOOKUP(106,'PEDIDO 25'!$C$2:$E$230,3,0),0)</f>
        <v>0</v>
      </c>
      <c r="F1973" s="1">
        <f>IFERROR(VLOOKUP(307,'PEDIDO 25'!$C$2:$E$230,3,0),0)</f>
        <v>0</v>
      </c>
      <c r="G1973" s="18">
        <f t="shared" si="49"/>
        <v>0</v>
      </c>
    </row>
    <row r="1974" spans="1:7" ht="15.75" x14ac:dyDescent="0.25">
      <c r="A1974" s="15">
        <f>'PEDIDO 25'!$B$2</f>
        <v>0</v>
      </c>
      <c r="B1974" s="12" t="s">
        <v>425</v>
      </c>
      <c r="C1974" s="1">
        <f>IFERROR(VLOOKUP(400,'PEDIDO 25'!$C$2:$E$230,3,0),0)</f>
        <v>0</v>
      </c>
      <c r="D1974" s="1">
        <f>IFERROR(VLOOKUP(401,'PEDIDO 25'!$C$2:$E$230,3,0),0)</f>
        <v>0</v>
      </c>
      <c r="E1974" s="1">
        <f>IFERROR(VLOOKUP(402,'PEDIDO 25'!$C$2:$E$230,3,0),0)</f>
        <v>0</v>
      </c>
      <c r="F1974" s="1">
        <f>IFERROR(VLOOKUP(403,'PEDIDO 25'!$C$2:$E$230,3,0),0)</f>
        <v>0</v>
      </c>
      <c r="G1974" s="18">
        <f t="shared" si="49"/>
        <v>0</v>
      </c>
    </row>
    <row r="1975" spans="1:7" ht="15.75" x14ac:dyDescent="0.25">
      <c r="A1975" s="15">
        <f>'PEDIDO 25'!$B$2</f>
        <v>0</v>
      </c>
      <c r="B1975" s="12" t="s">
        <v>428</v>
      </c>
      <c r="C1975" s="1">
        <f>IFERROR(VLOOKUP(22,'PEDIDO 25'!$C$2:$E$230,3,0),0)</f>
        <v>0</v>
      </c>
      <c r="D1975" s="1"/>
      <c r="E1975" s="1"/>
      <c r="F1975" s="1"/>
      <c r="G1975" s="18">
        <f t="shared" si="49"/>
        <v>0</v>
      </c>
    </row>
    <row r="1976" spans="1:7" ht="15.75" x14ac:dyDescent="0.25">
      <c r="A1976" s="15">
        <f>'PEDIDO 25'!$B$2</f>
        <v>0</v>
      </c>
      <c r="B1976" s="12" t="s">
        <v>429</v>
      </c>
      <c r="C1976" s="1">
        <f>IFERROR(VLOOKUP(21,'PEDIDO 25'!$C$2:$E$230,3,0),0)</f>
        <v>0</v>
      </c>
      <c r="D1976" s="1"/>
      <c r="E1976" s="1"/>
      <c r="F1976" s="1"/>
      <c r="G1976" s="18">
        <f t="shared" si="49"/>
        <v>0</v>
      </c>
    </row>
    <row r="1977" spans="1:7" ht="15.75" x14ac:dyDescent="0.25">
      <c r="A1977" s="15">
        <f>'PEDIDO 25'!$B$2</f>
        <v>0</v>
      </c>
      <c r="B1977" s="12" t="s">
        <v>430</v>
      </c>
      <c r="C1977" s="1">
        <f>IFERROR(VLOOKUP(1125,'PEDIDO 25'!$C$2:$E$230,3,0),0)</f>
        <v>0</v>
      </c>
      <c r="D1977" s="1">
        <f>IFERROR(VLOOKUP(1126,'PEDIDO 25'!$C$2:$E$230,3,0),0)</f>
        <v>0</v>
      </c>
      <c r="E1977" s="1">
        <f>IFERROR(VLOOKUP(1127,'PEDIDO 25'!$C$2:$E$230,3,0),0)</f>
        <v>0</v>
      </c>
      <c r="F1977" s="1">
        <f>IFERROR(VLOOKUP(1128,'PEDIDO 25'!$C$2:$E$230,3,0),0)</f>
        <v>0</v>
      </c>
      <c r="G1977" s="18">
        <f t="shared" si="49"/>
        <v>0</v>
      </c>
    </row>
    <row r="1978" spans="1:7" ht="15.75" x14ac:dyDescent="0.25">
      <c r="A1978" s="15">
        <f>'PEDIDO 25'!$B$2</f>
        <v>0</v>
      </c>
      <c r="B1978" s="12" t="s">
        <v>431</v>
      </c>
      <c r="C1978" s="1">
        <f>IFERROR(VLOOKUP(1133,'PEDIDO 25'!$C$2:$E$230,3,0),0)</f>
        <v>0</v>
      </c>
      <c r="D1978" s="1">
        <f>IFERROR(VLOOKUP(1134,'PEDIDO 25'!$C$2:$E$230,3,0),0)</f>
        <v>0</v>
      </c>
      <c r="E1978" s="1">
        <f>IFERROR(VLOOKUP(1135,'PEDIDO 25'!$C$2:$E$230,3,0),0)</f>
        <v>0</v>
      </c>
      <c r="F1978" s="1">
        <f>IFERROR(VLOOKUP(1136,'PEDIDO 25'!$C$2:$E$230,3,0),0)</f>
        <v>0</v>
      </c>
      <c r="G1978" s="18">
        <f t="shared" si="49"/>
        <v>0</v>
      </c>
    </row>
    <row r="1979" spans="1:7" ht="15.75" x14ac:dyDescent="0.25">
      <c r="A1979" s="15">
        <f>'PEDIDO 25'!$B$2</f>
        <v>0</v>
      </c>
      <c r="B1979" s="12" t="s">
        <v>432</v>
      </c>
      <c r="C1979" s="1">
        <f>IFERROR(VLOOKUP(1105,'PEDIDO 25'!$C$2:$E$230,3,0),0)</f>
        <v>0</v>
      </c>
      <c r="D1979" s="1">
        <f>IFERROR(VLOOKUP(1106,'PEDIDO 25'!$C$2:$E$230,3,0),0)</f>
        <v>0</v>
      </c>
      <c r="E1979" s="1">
        <f>IFERROR(VLOOKUP(1107,'PEDIDO 25'!$C$2:$E$230,3,0),0)</f>
        <v>0</v>
      </c>
      <c r="F1979" s="1">
        <f>IFERROR(VLOOKUP(1108,'PEDIDO 25'!$C$2:$E$230,3,0),0)</f>
        <v>0</v>
      </c>
      <c r="G1979" s="18">
        <f t="shared" si="49"/>
        <v>0</v>
      </c>
    </row>
    <row r="1980" spans="1:7" ht="15.75" x14ac:dyDescent="0.25">
      <c r="A1980" s="15">
        <f>'PEDIDO 25'!$B$2</f>
        <v>0</v>
      </c>
      <c r="B1980" s="12" t="s">
        <v>433</v>
      </c>
      <c r="C1980" s="1">
        <f>IFERROR(VLOOKUP(1109,'PEDIDO 25'!$C$2:$E$230,3,0),0)</f>
        <v>0</v>
      </c>
      <c r="D1980" s="1">
        <f>IFERROR(VLOOKUP(1110,'PEDIDO 25'!$C$2:$E$230,3,0),0)</f>
        <v>0</v>
      </c>
      <c r="E1980" s="1">
        <f>IFERROR(VLOOKUP(1111,'PEDIDO 25'!$C$2:$E$230,3,0),0)</f>
        <v>0</v>
      </c>
      <c r="F1980" s="1">
        <f>IFERROR(VLOOKUP(1112,'PEDIDO 25'!$C$2:$E$230,3,0),0)</f>
        <v>0</v>
      </c>
      <c r="G1980" s="18">
        <f t="shared" si="49"/>
        <v>0</v>
      </c>
    </row>
    <row r="1981" spans="1:7" ht="15.75" x14ac:dyDescent="0.25">
      <c r="A1981" s="15">
        <f>'PEDIDO 25'!$B$2</f>
        <v>0</v>
      </c>
      <c r="B1981" s="12" t="s">
        <v>434</v>
      </c>
      <c r="C1981" s="1">
        <f>IFERROR(VLOOKUP(1113,'PEDIDO 25'!$C$2:$E$230,3,0),0)</f>
        <v>0</v>
      </c>
      <c r="D1981" s="1">
        <f>IFERROR(VLOOKUP(1114,'PEDIDO 25'!$C$2:$E$230,3,0),0)</f>
        <v>0</v>
      </c>
      <c r="E1981" s="1">
        <f>IFERROR(VLOOKUP(1115,'PEDIDO 25'!$C$2:$E$230,3,0),0)</f>
        <v>0</v>
      </c>
      <c r="F1981" s="1">
        <f>IFERROR(VLOOKUP(1116,'PEDIDO 25'!$C$2:$E$230,3,0),0)</f>
        <v>0</v>
      </c>
      <c r="G1981" s="18">
        <f t="shared" si="49"/>
        <v>0</v>
      </c>
    </row>
    <row r="1982" spans="1:7" ht="15.75" x14ac:dyDescent="0.25">
      <c r="A1982" s="15">
        <f>'PEDIDO 25'!$B$2</f>
        <v>0</v>
      </c>
      <c r="B1982" s="12" t="s">
        <v>435</v>
      </c>
      <c r="C1982" s="1">
        <f>IFERROR(VLOOKUP(1117,'PEDIDO 25'!$C$2:$E$230,3,0),0)</f>
        <v>0</v>
      </c>
      <c r="D1982" s="1">
        <f>IFERROR(VLOOKUP(1118,'PEDIDO 25'!$C$2:$E$230,3,0),0)</f>
        <v>0</v>
      </c>
      <c r="E1982" s="1">
        <f>IFERROR(VLOOKUP(1119,'PEDIDO 25'!$C$2:$E$230,3,0),0)</f>
        <v>0</v>
      </c>
      <c r="F1982" s="1">
        <f>IFERROR(VLOOKUP(1120,'PEDIDO 25'!$C$2:$E$230,3,0),0)</f>
        <v>0</v>
      </c>
      <c r="G1982" s="18">
        <f t="shared" si="49"/>
        <v>0</v>
      </c>
    </row>
    <row r="1983" spans="1:7" ht="15.75" x14ac:dyDescent="0.25">
      <c r="A1983" s="15">
        <f>'PEDIDO 25'!$B$2</f>
        <v>0</v>
      </c>
      <c r="B1983" s="12" t="s">
        <v>436</v>
      </c>
      <c r="C1983" s="1">
        <f>IFERROR(VLOOKUP(1121,'PEDIDO 25'!$C$2:$E$230,3,0),0)</f>
        <v>0</v>
      </c>
      <c r="D1983" s="1">
        <f>IFERROR(VLOOKUP(1122,'PEDIDO 25'!$C$2:$E$230,3,0),0)</f>
        <v>0</v>
      </c>
      <c r="E1983" s="1">
        <f>IFERROR(VLOOKUP(1123,'PEDIDO 25'!$C$2:$E$230,3,0),0)</f>
        <v>0</v>
      </c>
      <c r="F1983" s="1">
        <f>IFERROR(VLOOKUP(1124,'PEDIDO 25'!$C$2:$E$230,3,0),0)</f>
        <v>0</v>
      </c>
      <c r="G1983" s="18">
        <f t="shared" si="49"/>
        <v>0</v>
      </c>
    </row>
    <row r="1984" spans="1:7" ht="15.75" x14ac:dyDescent="0.25">
      <c r="A1984" s="15">
        <f>'PEDIDO 25'!$B$2</f>
        <v>0</v>
      </c>
      <c r="B1984" s="12" t="s">
        <v>437</v>
      </c>
      <c r="C1984" s="1">
        <f>IFERROR(VLOOKUP(1129,'PEDIDO 25'!$C$2:$E$230,3,0),0)</f>
        <v>0</v>
      </c>
      <c r="D1984" s="1">
        <f>IFERROR(VLOOKUP(1130,'PEDIDO 25'!$C$2:$E$230,3,0),0)</f>
        <v>0</v>
      </c>
      <c r="E1984" s="1">
        <f>IFERROR(VLOOKUP(1131,'PEDIDO 25'!$C$2:$E$230,3,0),0)</f>
        <v>0</v>
      </c>
      <c r="F1984" s="1">
        <f>IFERROR(VLOOKUP(1132,'PEDIDO 25'!$C$2:$E$230,3,0),0)</f>
        <v>0</v>
      </c>
      <c r="G1984" s="18">
        <f t="shared" si="49"/>
        <v>0</v>
      </c>
    </row>
    <row r="1985" spans="1:7" ht="15.75" x14ac:dyDescent="0.25">
      <c r="A1985" s="15">
        <f>'PEDIDO 25'!$B$2</f>
        <v>0</v>
      </c>
      <c r="B1985" s="12" t="s">
        <v>438</v>
      </c>
      <c r="C1985" s="1">
        <f>IFERROR(VLOOKUP(1137,'PEDIDO 25'!$C$2:$E$230,3,0),0)</f>
        <v>0</v>
      </c>
      <c r="D1985" s="1">
        <f>IFERROR(VLOOKUP(1138,'PEDIDO 25'!$C$2:$E$230,3,0),0)</f>
        <v>0</v>
      </c>
      <c r="E1985" s="1">
        <f>IFERROR(VLOOKUP(1139,'PEDIDO 25'!$C$2:$E$230,3,0),0)</f>
        <v>0</v>
      </c>
      <c r="F1985" s="1">
        <f>IFERROR(VLOOKUP(1140,'PEDIDO 25'!$C$2:$E$230,3,0),0)</f>
        <v>0</v>
      </c>
      <c r="G1985" s="18">
        <f t="shared" si="49"/>
        <v>0</v>
      </c>
    </row>
    <row r="1986" spans="1:7" ht="15.75" x14ac:dyDescent="0.25">
      <c r="A1986" s="15">
        <f>'PEDIDO 25'!$B$2</f>
        <v>0</v>
      </c>
      <c r="B1986" s="12" t="s">
        <v>439</v>
      </c>
      <c r="C1986" s="1">
        <f>IFERROR(VLOOKUP(1141,'PEDIDO 25'!$C$2:$E$230,3,0),0)</f>
        <v>0</v>
      </c>
      <c r="D1986" s="1">
        <f>IFERROR(VLOOKUP(1142,'PEDIDO 25'!$C$2:$E$230,3,0),0)</f>
        <v>0</v>
      </c>
      <c r="E1986" s="1">
        <f>IFERROR(VLOOKUP(1143,'PEDIDO 25'!$C$2:$E$230,3,0),0)</f>
        <v>0</v>
      </c>
      <c r="F1986" s="1">
        <f>IFERROR(VLOOKUP(1144,'PEDIDO 25'!$C$2:$E$230,3,0),0)</f>
        <v>0</v>
      </c>
      <c r="G1986" s="18">
        <f t="shared" si="49"/>
        <v>0</v>
      </c>
    </row>
    <row r="1987" spans="1:7" ht="15.75" x14ac:dyDescent="0.25">
      <c r="A1987" s="15">
        <f>'PEDIDO 25'!$B$2</f>
        <v>0</v>
      </c>
      <c r="B1987" s="12" t="s">
        <v>440</v>
      </c>
      <c r="C1987" s="1">
        <f>IFERROR(VLOOKUP(1145,'PEDIDO 25'!$C$2:$E$230,3,0),0)</f>
        <v>0</v>
      </c>
      <c r="D1987" s="1">
        <f>IFERROR(VLOOKUP(1146,'PEDIDO 25'!$C$2:$E$230,3,0),0)</f>
        <v>0</v>
      </c>
      <c r="E1987" s="1">
        <f>IFERROR(VLOOKUP(1147,'PEDIDO 25'!$C$2:$E$230,3,0),0)</f>
        <v>0</v>
      </c>
      <c r="F1987" s="1">
        <f>IFERROR(VLOOKUP(1148,'PEDIDO 25'!$C$2:$E$230,3,0),0)</f>
        <v>0</v>
      </c>
      <c r="G1987" s="18">
        <f t="shared" si="49"/>
        <v>0</v>
      </c>
    </row>
    <row r="1988" spans="1:7" ht="15.75" x14ac:dyDescent="0.25">
      <c r="A1988" s="15">
        <f>'PEDIDO 25'!$B$2</f>
        <v>0</v>
      </c>
      <c r="B1988" s="12" t="s">
        <v>441</v>
      </c>
      <c r="C1988" s="1">
        <f>IFERROR(VLOOKUP(1149,'PEDIDO 25'!$C$2:$E$230,3,0),0)</f>
        <v>0</v>
      </c>
      <c r="D1988" s="1">
        <f>IFERROR(VLOOKUP(1150,'PEDIDO 25'!$C$2:$E$230,3,0),0)</f>
        <v>0</v>
      </c>
      <c r="E1988" s="1">
        <f>IFERROR(VLOOKUP(1151,'PEDIDO 25'!$C$2:$E$230,3,0),0)</f>
        <v>0</v>
      </c>
      <c r="F1988" s="1">
        <f>IFERROR(VLOOKUP(1152,'PEDIDO 25'!$C$2:$E$230,3,0),0)</f>
        <v>0</v>
      </c>
      <c r="G1988" s="18">
        <f t="shared" si="49"/>
        <v>0</v>
      </c>
    </row>
    <row r="1989" spans="1:7" ht="15.75" x14ac:dyDescent="0.25">
      <c r="A1989" s="15">
        <f>'PEDIDO 25'!$B$2</f>
        <v>0</v>
      </c>
      <c r="B1989" s="12" t="s">
        <v>442</v>
      </c>
      <c r="C1989" s="1">
        <f>IFERROR(VLOOKUP(1153,'PEDIDO 25'!$C$2:$E$230,3,0),0)</f>
        <v>0</v>
      </c>
      <c r="D1989" s="1">
        <f>IFERROR(VLOOKUP(1154,'PEDIDO 25'!$C$2:$E$230,3,0),0)</f>
        <v>0</v>
      </c>
      <c r="E1989" s="1">
        <f>IFERROR(VLOOKUP(1155,'PEDIDO 25'!$C$2:$E$230,3,0),0)</f>
        <v>0</v>
      </c>
      <c r="F1989" s="1">
        <f>IFERROR(VLOOKUP(1156,'PEDIDO 25'!$C$2:$E$230,3,0),0)</f>
        <v>0</v>
      </c>
      <c r="G1989" s="18">
        <f t="shared" si="49"/>
        <v>0</v>
      </c>
    </row>
    <row r="1990" spans="1:7" ht="15.75" x14ac:dyDescent="0.25">
      <c r="A1990" s="15">
        <f>'PEDIDO 25'!$B$2</f>
        <v>0</v>
      </c>
      <c r="B1990" s="12" t="s">
        <v>443</v>
      </c>
      <c r="C1990" s="1">
        <f>IFERROR(VLOOKUP(1157,'PEDIDO 25'!$C$2:$E$230,3,0),0)</f>
        <v>0</v>
      </c>
      <c r="D1990" s="1">
        <f>IFERROR(VLOOKUP(1158,'PEDIDO 25'!$C$2:$E$230,3,0),0)</f>
        <v>0</v>
      </c>
      <c r="E1990" s="1">
        <f>IFERROR(VLOOKUP(1159,'PEDIDO 25'!$C$2:$E$230,3,0),0)</f>
        <v>0</v>
      </c>
      <c r="F1990" s="1">
        <f>IFERROR(VLOOKUP(1160,'PEDIDO 25'!$C$2:$E$230,3,0),0)</f>
        <v>0</v>
      </c>
      <c r="G1990" s="18">
        <f t="shared" si="49"/>
        <v>0</v>
      </c>
    </row>
    <row r="1991" spans="1:7" ht="15.75" x14ac:dyDescent="0.25">
      <c r="A1991" s="15">
        <f>'PEDIDO 25'!$B$2</f>
        <v>0</v>
      </c>
      <c r="B1991" s="12" t="s">
        <v>444</v>
      </c>
      <c r="C1991" s="1">
        <f>IFERROR(VLOOKUP(1161,'PEDIDO 25'!$C$2:$E$230,3,0),0)</f>
        <v>0</v>
      </c>
      <c r="D1991" s="1">
        <f>IFERROR(VLOOKUP(1162,'PEDIDO 25'!$C$2:$E$230,3,0),0)</f>
        <v>0</v>
      </c>
      <c r="E1991" s="1">
        <f>IFERROR(VLOOKUP(1163,'PEDIDO 25'!$C$2:$E$230,3,0),0)</f>
        <v>0</v>
      </c>
      <c r="F1991" s="1">
        <f>IFERROR(VLOOKUP(1164,'PEDIDO 25'!$C$2:$E$230,3,0),0)</f>
        <v>0</v>
      </c>
      <c r="G1991" s="18">
        <f t="shared" si="49"/>
        <v>0</v>
      </c>
    </row>
    <row r="1992" spans="1:7" ht="15.75" x14ac:dyDescent="0.25">
      <c r="A1992" s="15">
        <f>'PEDIDO 25'!$B$2</f>
        <v>0</v>
      </c>
      <c r="B1992" s="12" t="s">
        <v>445</v>
      </c>
      <c r="C1992" s="1">
        <f>IFERROR(VLOOKUP(1165,'PEDIDO 25'!$C$2:$E$230,3,0),0)</f>
        <v>0</v>
      </c>
      <c r="D1992" s="1">
        <f>IFERROR(VLOOKUP(1166,'PEDIDO 25'!$C$2:$E$230,3,0),0)</f>
        <v>0</v>
      </c>
      <c r="E1992" s="1">
        <f>IFERROR(VLOOKUP(1167,'PEDIDO 25'!$C$2:$E$230,3,0),0)</f>
        <v>0</v>
      </c>
      <c r="F1992" s="1">
        <f>IFERROR(VLOOKUP(1168,'PEDIDO 25'!$C$2:$E$230,3,0),0)</f>
        <v>0</v>
      </c>
      <c r="G1992" s="18">
        <f t="shared" si="49"/>
        <v>0</v>
      </c>
    </row>
    <row r="1993" spans="1:7" ht="15.75" x14ac:dyDescent="0.25">
      <c r="A1993" s="15">
        <f>'PEDIDO 25'!$B$2</f>
        <v>0</v>
      </c>
      <c r="B1993" s="12" t="s">
        <v>446</v>
      </c>
      <c r="C1993" s="1">
        <f>IFERROR(VLOOKUP(1169,'PEDIDO 25'!$C$2:$E$230,3,0),0)</f>
        <v>0</v>
      </c>
      <c r="D1993" s="1">
        <f>IFERROR(VLOOKUP(1170,'PEDIDO 25'!$C$2:$E$230,3,0),0)</f>
        <v>0</v>
      </c>
      <c r="E1993" s="1">
        <f>IFERROR(VLOOKUP(1171,'PEDIDO 25'!$C$2:$E$230,3,0),0)</f>
        <v>0</v>
      </c>
      <c r="F1993" s="1">
        <f>IFERROR(VLOOKUP(1172,'PEDIDO 25'!$C$2:$E$230,3,0),0)</f>
        <v>0</v>
      </c>
      <c r="G1993" s="18">
        <f t="shared" si="49"/>
        <v>0</v>
      </c>
    </row>
    <row r="1994" spans="1:7" ht="15.75" x14ac:dyDescent="0.25">
      <c r="A1994" s="15">
        <f>'PEDIDO 25'!$B$2</f>
        <v>0</v>
      </c>
      <c r="B1994" s="12" t="s">
        <v>447</v>
      </c>
      <c r="C1994" s="1">
        <f>IFERROR(VLOOKUP(1173,'PEDIDO 25'!$C$2:$E$230,3,0),0)</f>
        <v>0</v>
      </c>
      <c r="D1994" s="1">
        <f>IFERROR(VLOOKUP(1174,'PEDIDO 25'!$C$2:$E$230,3,0),0)</f>
        <v>0</v>
      </c>
      <c r="E1994" s="1">
        <f>IFERROR(VLOOKUP(1175,'PEDIDO 25'!$C$2:$E$230,3,0),0)</f>
        <v>0</v>
      </c>
      <c r="F1994" s="1">
        <f>IFERROR(VLOOKUP(1176,'PEDIDO 25'!$C$2:$E$230,3,0),0)</f>
        <v>0</v>
      </c>
      <c r="G1994" s="18">
        <f t="shared" si="49"/>
        <v>0</v>
      </c>
    </row>
    <row r="1995" spans="1:7" ht="15.75" x14ac:dyDescent="0.25">
      <c r="A1995" s="15">
        <f>'PEDIDO 25'!$B$2</f>
        <v>0</v>
      </c>
      <c r="B1995" s="12" t="s">
        <v>448</v>
      </c>
      <c r="C1995" s="1">
        <f>IFERROR(VLOOKUP(1249,'PEDIDO 25'!$C$2:$E$230,3,0),0)</f>
        <v>0</v>
      </c>
      <c r="D1995" s="1">
        <f>IFERROR(VLOOKUP(1250,'PEDIDO 25'!$C$2:$E$230,3,0),0)</f>
        <v>0</v>
      </c>
      <c r="E1995" s="1">
        <f>IFERROR(VLOOKUP(1251,'PEDIDO 25'!$C$2:$E$230,3,0),0)</f>
        <v>0</v>
      </c>
      <c r="F1995" s="1">
        <f>IFERROR(VLOOKUP(1252,'PEDIDO 25'!$C$2:$E$230,3,0),0)</f>
        <v>0</v>
      </c>
      <c r="G1995" s="18">
        <f t="shared" si="49"/>
        <v>0</v>
      </c>
    </row>
    <row r="1996" spans="1:7" ht="15.75" x14ac:dyDescent="0.25">
      <c r="A1996" s="15">
        <f>'PEDIDO 25'!$B$2</f>
        <v>0</v>
      </c>
      <c r="B1996" s="12" t="s">
        <v>449</v>
      </c>
      <c r="C1996" s="1">
        <f>IFERROR(VLOOKUP(1177,'PEDIDO 25'!$C$2:$E$230,3,0),0)</f>
        <v>0</v>
      </c>
      <c r="D1996" s="1">
        <f>IFERROR(VLOOKUP(1178,'PEDIDO 25'!$C$2:$E$230,3,0),0)</f>
        <v>0</v>
      </c>
      <c r="E1996" s="1">
        <f>IFERROR(VLOOKUP(1179,'PEDIDO 25'!$C$2:$E$230,3,0),0)</f>
        <v>0</v>
      </c>
      <c r="F1996" s="1">
        <f>IFERROR(VLOOKUP(1180,'PEDIDO 25'!$C$2:$E$230,3,0),0)</f>
        <v>0</v>
      </c>
      <c r="G1996" s="18">
        <f t="shared" si="49"/>
        <v>0</v>
      </c>
    </row>
    <row r="1997" spans="1:7" ht="15.75" x14ac:dyDescent="0.25">
      <c r="A1997" s="15">
        <f>'PEDIDO 25'!$B$2</f>
        <v>0</v>
      </c>
      <c r="B1997" s="12" t="s">
        <v>450</v>
      </c>
      <c r="C1997" s="1">
        <f>IFERROR(VLOOKUP(1181,'PEDIDO 25'!$C$2:$E$230,3,0),0)</f>
        <v>0</v>
      </c>
      <c r="D1997" s="1">
        <f>IFERROR(VLOOKUP(1182,'PEDIDO 25'!$C$2:$E$230,3,0),0)</f>
        <v>0</v>
      </c>
      <c r="E1997" s="1">
        <f>IFERROR(VLOOKUP(1183,'PEDIDO 25'!$C$2:$E$230,3,0),0)</f>
        <v>0</v>
      </c>
      <c r="F1997" s="1">
        <f>IFERROR(VLOOKUP(1184,'PEDIDO 25'!$C$2:$E$230,3,0),0)</f>
        <v>0</v>
      </c>
      <c r="G1997" s="18">
        <f t="shared" si="49"/>
        <v>0</v>
      </c>
    </row>
    <row r="1998" spans="1:7" ht="15.75" x14ac:dyDescent="0.25">
      <c r="A1998" s="15">
        <f>'PEDIDO 25'!$B$2</f>
        <v>0</v>
      </c>
      <c r="B1998" s="12" t="s">
        <v>451</v>
      </c>
      <c r="C1998" s="1">
        <f>IFERROR(VLOOKUP(1185,'PEDIDO 25'!$C$2:$E$230,3,0),0)</f>
        <v>0</v>
      </c>
      <c r="D1998" s="1">
        <f>IFERROR(VLOOKUP(1186,'PEDIDO 25'!$C$2:$E$230,3,0),0)</f>
        <v>0</v>
      </c>
      <c r="E1998" s="1">
        <f>IFERROR(VLOOKUP(1187,'PEDIDO 25'!$C$2:$E$230,3,0),0)</f>
        <v>0</v>
      </c>
      <c r="F1998" s="1">
        <f>IFERROR(VLOOKUP(1188,'PEDIDO 25'!$C$2:$E$230,3,0),0)</f>
        <v>0</v>
      </c>
      <c r="G1998" s="18">
        <f t="shared" si="49"/>
        <v>0</v>
      </c>
    </row>
    <row r="1999" spans="1:7" ht="15.75" x14ac:dyDescent="0.25">
      <c r="A1999" s="15">
        <f>'PEDIDO 25'!$B$2</f>
        <v>0</v>
      </c>
      <c r="B1999" s="12" t="s">
        <v>452</v>
      </c>
      <c r="C1999" s="1">
        <f>IFERROR(VLOOKUP(1189,'PEDIDO 25'!$C$2:$E$230,3,0),0)</f>
        <v>0</v>
      </c>
      <c r="D1999" s="1">
        <f>IFERROR(VLOOKUP(1190,'PEDIDO 25'!$C$2:$E$230,3,0),0)</f>
        <v>0</v>
      </c>
      <c r="E1999" s="1">
        <f>IFERROR(VLOOKUP(1191,'PEDIDO 25'!$C$2:$E$230,3,0),0)</f>
        <v>0</v>
      </c>
      <c r="F1999" s="1">
        <f>IFERROR(VLOOKUP(1192,'PEDIDO 25'!$C$2:$E$230,3,0),0)</f>
        <v>0</v>
      </c>
      <c r="G1999" s="18">
        <f t="shared" si="49"/>
        <v>0</v>
      </c>
    </row>
    <row r="2000" spans="1:7" ht="15.75" x14ac:dyDescent="0.25">
      <c r="A2000" s="15">
        <f>'PEDIDO 25'!$B$2</f>
        <v>0</v>
      </c>
      <c r="B2000" s="12" t="s">
        <v>453</v>
      </c>
      <c r="C2000" s="1">
        <f>IFERROR(VLOOKUP(1193,'PEDIDO 25'!$C$2:$E$230,3,0),0)</f>
        <v>0</v>
      </c>
      <c r="D2000" s="1">
        <f>IFERROR(VLOOKUP(1194,'PEDIDO 25'!$C$2:$E$230,3,0),0)</f>
        <v>0</v>
      </c>
      <c r="E2000" s="1">
        <f>IFERROR(VLOOKUP(1195,'PEDIDO 25'!$C$2:$E$230,3,0),0)</f>
        <v>0</v>
      </c>
      <c r="F2000" s="1">
        <f>IFERROR(VLOOKUP(1196,'PEDIDO 25'!$C$2:$E$230,3,0),0)</f>
        <v>0</v>
      </c>
      <c r="G2000" s="18">
        <f t="shared" si="49"/>
        <v>0</v>
      </c>
    </row>
    <row r="2001" spans="1:7" ht="15.75" x14ac:dyDescent="0.25">
      <c r="A2001" s="15">
        <f>'PEDIDO 25'!$B$2</f>
        <v>0</v>
      </c>
      <c r="B2001" s="12" t="s">
        <v>454</v>
      </c>
      <c r="C2001" s="1">
        <f>IFERROR(VLOOKUP(1197,'PEDIDO 25'!$C$2:$E$230,3,0),0)</f>
        <v>0</v>
      </c>
      <c r="D2001" s="1">
        <f>IFERROR(VLOOKUP(1198,'PEDIDO 25'!$C$2:$E$230,3,0),0)</f>
        <v>0</v>
      </c>
      <c r="E2001" s="1">
        <f>IFERROR(VLOOKUP(1199,'PEDIDO 25'!$C$2:$E$230,3,0),0)</f>
        <v>0</v>
      </c>
      <c r="F2001" s="1">
        <f>IFERROR(VLOOKUP(1200,'PEDIDO 25'!$C$2:$E$230,3,0),0)</f>
        <v>0</v>
      </c>
      <c r="G2001" s="18">
        <f t="shared" si="49"/>
        <v>0</v>
      </c>
    </row>
    <row r="2002" spans="1:7" ht="15.75" x14ac:dyDescent="0.25">
      <c r="A2002" s="15">
        <f>'PEDIDO 25'!$B$2</f>
        <v>0</v>
      </c>
      <c r="B2002" s="12" t="s">
        <v>455</v>
      </c>
      <c r="C2002" s="1">
        <f>IFERROR(VLOOKUP(1201,'PEDIDO 25'!$C$2:$E$230,3,0),0)</f>
        <v>0</v>
      </c>
      <c r="D2002" s="1">
        <f>IFERROR(VLOOKUP(1202,'PEDIDO 25'!$C$2:$E$230,3,0),0)</f>
        <v>0</v>
      </c>
      <c r="E2002" s="1">
        <f>IFERROR(VLOOKUP(1203,'PEDIDO 25'!$C$2:$E$230,3,0),0)</f>
        <v>0</v>
      </c>
      <c r="F2002" s="1">
        <f>IFERROR(VLOOKUP(1204,'PEDIDO 25'!$C$2:$E$230,3,0),0)</f>
        <v>0</v>
      </c>
      <c r="G2002" s="18">
        <f t="shared" si="49"/>
        <v>0</v>
      </c>
    </row>
    <row r="2003" spans="1:7" ht="15.75" x14ac:dyDescent="0.25">
      <c r="A2003" s="15">
        <f>'PEDIDO 25'!$B$2</f>
        <v>0</v>
      </c>
      <c r="B2003" s="12" t="s">
        <v>456</v>
      </c>
      <c r="C2003" s="1">
        <f>IFERROR(VLOOKUP(1205,'PEDIDO 25'!$C$2:$E$230,3,0),0)</f>
        <v>0</v>
      </c>
      <c r="D2003" s="1">
        <f>IFERROR(VLOOKUP(1206,'PEDIDO 25'!$C$2:$E$230,3,0),0)</f>
        <v>0</v>
      </c>
      <c r="E2003" s="1">
        <f>IFERROR(VLOOKUP(1207,'PEDIDO 25'!$C$2:$E$230,3,0),0)</f>
        <v>0</v>
      </c>
      <c r="F2003" s="1">
        <f>IFERROR(VLOOKUP(1208,'PEDIDO 25'!$C$2:$E$230,3,0),0)</f>
        <v>0</v>
      </c>
      <c r="G2003" s="18">
        <f t="shared" si="49"/>
        <v>0</v>
      </c>
    </row>
    <row r="2004" spans="1:7" ht="15.75" x14ac:dyDescent="0.25">
      <c r="A2004" s="15">
        <f>'PEDIDO 25'!$B$2</f>
        <v>0</v>
      </c>
      <c r="B2004" s="12" t="s">
        <v>457</v>
      </c>
      <c r="C2004" s="1">
        <f>IFERROR(VLOOKUP(1213,'PEDIDO 25'!$C$2:$E$230,3,0),0)</f>
        <v>0</v>
      </c>
      <c r="D2004" s="1">
        <f>IFERROR(VLOOKUP(1214,'PEDIDO 25'!$C$2:$E$230,3,0),0)</f>
        <v>0</v>
      </c>
      <c r="E2004" s="1">
        <f>IFERROR(VLOOKUP(1215,'PEDIDO 25'!$C$2:$E$230,3,0),0)</f>
        <v>0</v>
      </c>
      <c r="F2004" s="10">
        <f>IFERROR(VLOOKUP(1216,'PEDIDO 25'!$C$2:$E$230,3,0),0)</f>
        <v>0</v>
      </c>
      <c r="G2004" s="18">
        <f t="shared" si="49"/>
        <v>0</v>
      </c>
    </row>
    <row r="2005" spans="1:7" ht="15.75" x14ac:dyDescent="0.25">
      <c r="A2005" s="15">
        <f>'PEDIDO 25'!$B$2</f>
        <v>0</v>
      </c>
      <c r="B2005" s="12" t="s">
        <v>458</v>
      </c>
      <c r="C2005" s="1">
        <f>IFERROR(VLOOKUP(1209,'PEDIDO 25'!$C$2:$E$230,3,0),0)</f>
        <v>0</v>
      </c>
      <c r="D2005" s="1">
        <f>IFERROR(VLOOKUP(1210,'PEDIDO 25'!$C$2:$E$230,3,0),0)</f>
        <v>0</v>
      </c>
      <c r="E2005" s="1">
        <f>IFERROR(VLOOKUP(1211,'PEDIDO 25'!$C$2:$E$230,3,0),0)</f>
        <v>0</v>
      </c>
      <c r="F2005" s="1">
        <f>IFERROR(VLOOKUP(1212,'PEDIDO 25'!$C$2:$E$230,3,0),0)</f>
        <v>0</v>
      </c>
      <c r="G2005" s="18">
        <f t="shared" si="49"/>
        <v>0</v>
      </c>
    </row>
    <row r="2006" spans="1:7" ht="15.75" x14ac:dyDescent="0.25">
      <c r="A2006" s="15">
        <f>'PEDIDO 25'!$B$2</f>
        <v>0</v>
      </c>
      <c r="B2006" s="12" t="s">
        <v>459</v>
      </c>
      <c r="C2006" s="1">
        <f>IFERROR(VLOOKUP(1217,'PEDIDO 25'!$C$2:$E$230,3,0),0)</f>
        <v>0</v>
      </c>
      <c r="D2006" s="1">
        <f>IFERROR(VLOOKUP(1218,'PEDIDO 25'!$C$2:$E$230,3,0),0)</f>
        <v>0</v>
      </c>
      <c r="E2006" s="1">
        <f>IFERROR(VLOOKUP(1219,'PEDIDO 25'!$C$2:$E$230,3,0),0)</f>
        <v>0</v>
      </c>
      <c r="F2006" s="1">
        <f>IFERROR(VLOOKUP(1220,'PEDIDO 25'!$C$2:$E$230,3,0),0)</f>
        <v>0</v>
      </c>
      <c r="G2006" s="18">
        <f t="shared" si="49"/>
        <v>0</v>
      </c>
    </row>
    <row r="2007" spans="1:7" ht="15.75" x14ac:dyDescent="0.25">
      <c r="A2007" s="15">
        <f>'PEDIDO 25'!$B$2</f>
        <v>0</v>
      </c>
      <c r="B2007" s="12" t="s">
        <v>461</v>
      </c>
      <c r="C2007" s="1">
        <f>IFERROR(VLOOKUP(1225,'PEDIDO 25'!$C$2:$E$230,3,0),0)</f>
        <v>0</v>
      </c>
      <c r="D2007" s="1">
        <f>IFERROR(VLOOKUP(1226,'PEDIDO 25'!$C$2:$E$230,3,0),0)</f>
        <v>0</v>
      </c>
      <c r="E2007" s="1">
        <f>IFERROR(VLOOKUP(1227,'PEDIDO 25'!$C$2:$E$230,3,0),0)</f>
        <v>0</v>
      </c>
      <c r="F2007" s="1">
        <f>IFERROR(VLOOKUP(1228,'PEDIDO 25'!$C$2:$E$230,3,0),0)</f>
        <v>0</v>
      </c>
      <c r="G2007" s="18">
        <f t="shared" si="49"/>
        <v>0</v>
      </c>
    </row>
    <row r="2008" spans="1:7" ht="15.75" x14ac:dyDescent="0.25">
      <c r="A2008" s="15">
        <f>'PEDIDO 25'!$B$2</f>
        <v>0</v>
      </c>
      <c r="B2008" s="12" t="s">
        <v>462</v>
      </c>
      <c r="C2008" s="1">
        <f>IFERROR(VLOOKUP(1221,'PEDIDO 25'!$C$2:$E$230,3,0),0)</f>
        <v>0</v>
      </c>
      <c r="D2008" s="1">
        <f>IFERROR(VLOOKUP(1222,'PEDIDO 25'!$C$2:$E$230,3,0),0)</f>
        <v>0</v>
      </c>
      <c r="E2008" s="1">
        <f>IFERROR(VLOOKUP(1223,'PEDIDO 25'!$C$2:$E$230,3,0),0)</f>
        <v>0</v>
      </c>
      <c r="F2008" s="1">
        <f>IFERROR(VLOOKUP(1224,'PEDIDO 25'!$C$2:$E$230,3,0),0)</f>
        <v>0</v>
      </c>
      <c r="G2008" s="18">
        <f t="shared" si="49"/>
        <v>0</v>
      </c>
    </row>
    <row r="2009" spans="1:7" ht="15.75" x14ac:dyDescent="0.25">
      <c r="A2009" s="15">
        <f>'PEDIDO 25'!$B$2</f>
        <v>0</v>
      </c>
      <c r="B2009" s="12" t="s">
        <v>460</v>
      </c>
      <c r="C2009" s="1">
        <f>IFERROR(VLOOKUP(1229,'PEDIDO 25'!$C$2:$E$230,3,0),0)</f>
        <v>0</v>
      </c>
      <c r="D2009" s="1">
        <f>IFERROR(VLOOKUP(1230,'PEDIDO 25'!$C$2:$E$230,3,0),0)</f>
        <v>0</v>
      </c>
      <c r="E2009" s="1">
        <f>IFERROR(VLOOKUP(1231,'PEDIDO 25'!$C$2:$E$230,3,0),0)</f>
        <v>0</v>
      </c>
      <c r="F2009" s="1">
        <f>IFERROR(VLOOKUP(1232,'PEDIDO 25'!$C$2:$E$230,3,0),0)</f>
        <v>0</v>
      </c>
      <c r="G2009" s="18">
        <f t="shared" si="49"/>
        <v>0</v>
      </c>
    </row>
    <row r="2010" spans="1:7" ht="15.75" x14ac:dyDescent="0.25">
      <c r="A2010" s="15">
        <f>'PEDIDO 25'!$B$2</f>
        <v>0</v>
      </c>
      <c r="B2010" s="12" t="s">
        <v>463</v>
      </c>
      <c r="C2010" s="1">
        <f>IFERROR(VLOOKUP(1233,'PEDIDO 25'!$C$2:$E$230,3,0),0)</f>
        <v>0</v>
      </c>
      <c r="D2010" s="1">
        <f>IFERROR(VLOOKUP(1234,'PEDIDO 25'!$C$2:$E$230,3,0),0)</f>
        <v>0</v>
      </c>
      <c r="E2010" s="1">
        <f>IFERROR(VLOOKUP(1235,'PEDIDO 25'!$C$2:$E$230,3,0),0)</f>
        <v>0</v>
      </c>
      <c r="F2010" s="1">
        <f>IFERROR(VLOOKUP(1236,'PEDIDO 25'!$C$2:$E$230,3,0),0)</f>
        <v>0</v>
      </c>
      <c r="G2010" s="18">
        <f t="shared" si="49"/>
        <v>0</v>
      </c>
    </row>
    <row r="2011" spans="1:7" ht="15.75" x14ac:dyDescent="0.25">
      <c r="A2011" s="15">
        <f>'PEDIDO 25'!$B$2</f>
        <v>0</v>
      </c>
      <c r="B2011" s="12" t="s">
        <v>464</v>
      </c>
      <c r="C2011" s="1">
        <f>IFERROR(VLOOKUP(1237,'PEDIDO 25'!$C$2:$E$230,3,0),0)</f>
        <v>0</v>
      </c>
      <c r="D2011" s="1">
        <f>IFERROR(VLOOKUP(1238,'PEDIDO 25'!$C$2:$E$230,3,0),0)</f>
        <v>0</v>
      </c>
      <c r="E2011" s="1">
        <f>IFERROR(VLOOKUP(1239,'PEDIDO 25'!$C$2:$E$230,3,0),0)</f>
        <v>0</v>
      </c>
      <c r="F2011" s="1">
        <f>IFERROR(VLOOKUP(1240,'PEDIDO 25'!$C$2:$E$230,3,0),0)</f>
        <v>0</v>
      </c>
      <c r="G2011" s="18">
        <f t="shared" ref="G2011:G2023" si="50">SUM(C2011+D2011+E2011+F2011)</f>
        <v>0</v>
      </c>
    </row>
    <row r="2012" spans="1:7" ht="15.75" x14ac:dyDescent="0.25">
      <c r="A2012" s="15">
        <f>'PEDIDO 25'!$B$2</f>
        <v>0</v>
      </c>
      <c r="B2012" s="12" t="s">
        <v>465</v>
      </c>
      <c r="C2012" s="1">
        <f>IFERROR(VLOOKUP(1241,'PEDIDO 25'!$C$2:$E$230,3,0),0)</f>
        <v>0</v>
      </c>
      <c r="D2012" s="1">
        <f>IFERROR(VLOOKUP(1242,'PEDIDO 25'!$C$2:$E$230,3,0),0)</f>
        <v>0</v>
      </c>
      <c r="E2012" s="1">
        <f>IFERROR(VLOOKUP(1243,'PEDIDO 25'!$C$2:$E$230,3,0),0)</f>
        <v>0</v>
      </c>
      <c r="F2012" s="1">
        <f>IFERROR(VLOOKUP(1244,'PEDIDO 25'!$C$2:$E$230,3,0),0)</f>
        <v>0</v>
      </c>
      <c r="G2012" s="18">
        <f t="shared" si="50"/>
        <v>0</v>
      </c>
    </row>
    <row r="2013" spans="1:7" ht="15.75" x14ac:dyDescent="0.25">
      <c r="A2013" s="15">
        <f>'PEDIDO 25'!$B$2</f>
        <v>0</v>
      </c>
      <c r="B2013" s="12" t="s">
        <v>466</v>
      </c>
      <c r="C2013" s="1">
        <f>IFERROR(VLOOKUP(1245,'PEDIDO 25'!$C$2:$E$230,3,0),0)</f>
        <v>0</v>
      </c>
      <c r="D2013" s="1">
        <f>IFERROR(VLOOKUP(1246,'PEDIDO 25'!$C$2:$E$230,3,0),0)</f>
        <v>0</v>
      </c>
      <c r="E2013" s="1">
        <f>IFERROR(VLOOKUP(1247,'PEDIDO 25'!$C$2:$E$230,3,0),0)</f>
        <v>0</v>
      </c>
      <c r="F2013" s="1">
        <f>IFERROR(VLOOKUP(1248,'PEDIDO 25'!$C$2:$E$230,3,0),0)</f>
        <v>0</v>
      </c>
      <c r="G2013" s="18">
        <f t="shared" si="50"/>
        <v>0</v>
      </c>
    </row>
    <row r="2014" spans="1:7" ht="15.75" x14ac:dyDescent="0.25">
      <c r="A2014" s="15">
        <f>'PEDIDO 25'!$B$2</f>
        <v>0</v>
      </c>
      <c r="B2014" s="12" t="s">
        <v>467</v>
      </c>
      <c r="C2014" s="1">
        <f>IFERROR(VLOOKUP(25714,'PEDIDO 25'!$C$2:$E$230,3,0),0)</f>
        <v>0</v>
      </c>
      <c r="D2014" s="1"/>
      <c r="E2014" s="1"/>
      <c r="F2014" s="1"/>
      <c r="G2014" s="18">
        <f t="shared" si="50"/>
        <v>0</v>
      </c>
    </row>
    <row r="2015" spans="1:7" ht="15.75" x14ac:dyDescent="0.25">
      <c r="A2015" s="15">
        <f>'PEDIDO 25'!$B$2</f>
        <v>0</v>
      </c>
      <c r="B2015" s="12" t="s">
        <v>468</v>
      </c>
      <c r="C2015" s="1">
        <f>IFERROR(VLOOKUP(25712,'PEDIDO 25'!$C$2:$E$230,3,0),0)</f>
        <v>0</v>
      </c>
      <c r="D2015" s="1"/>
      <c r="E2015" s="1"/>
      <c r="F2015" s="1"/>
      <c r="G2015" s="18">
        <f t="shared" si="50"/>
        <v>0</v>
      </c>
    </row>
    <row r="2016" spans="1:7" ht="15.75" x14ac:dyDescent="0.25">
      <c r="A2016" s="15">
        <f>'PEDIDO 25'!$B$2</f>
        <v>0</v>
      </c>
      <c r="B2016" s="12" t="s">
        <v>469</v>
      </c>
      <c r="C2016" s="1">
        <f>IFERROR(VLOOKUP(25713,'PEDIDO 25'!$C$2:$E$230,3,0),0)</f>
        <v>0</v>
      </c>
      <c r="D2016" s="1"/>
      <c r="E2016" s="1"/>
      <c r="F2016" s="1"/>
      <c r="G2016" s="18">
        <f t="shared" si="50"/>
        <v>0</v>
      </c>
    </row>
    <row r="2017" spans="1:7" ht="15.75" x14ac:dyDescent="0.25">
      <c r="A2017" s="15">
        <f>'PEDIDO 25'!$B$2</f>
        <v>0</v>
      </c>
      <c r="B2017" s="12" t="s">
        <v>470</v>
      </c>
      <c r="C2017" s="1">
        <f>IFERROR(VLOOKUP(1260,'PEDIDO 25'!$C$2:$E$230,3,0),0)</f>
        <v>0</v>
      </c>
      <c r="D2017" s="1"/>
      <c r="E2017" s="1"/>
      <c r="F2017" s="1"/>
      <c r="G2017" s="18">
        <f t="shared" si="50"/>
        <v>0</v>
      </c>
    </row>
    <row r="2018" spans="1:7" ht="15.75" x14ac:dyDescent="0.25">
      <c r="A2018" s="15">
        <f>'PEDIDO 25'!$B$2</f>
        <v>0</v>
      </c>
      <c r="B2018" s="12" t="s">
        <v>471</v>
      </c>
      <c r="C2018" s="1">
        <f>IFERROR(VLOOKUP(1261,'PEDIDO 25'!$C$2:$E$230,3,0),0)</f>
        <v>0</v>
      </c>
      <c r="D2018" s="1"/>
      <c r="E2018" s="1"/>
      <c r="F2018" s="1"/>
      <c r="G2018" s="18">
        <f t="shared" si="50"/>
        <v>0</v>
      </c>
    </row>
    <row r="2019" spans="1:7" ht="15.75" x14ac:dyDescent="0.25">
      <c r="A2019" s="15">
        <f>'PEDIDO 25'!$B$2</f>
        <v>0</v>
      </c>
      <c r="B2019" s="12" t="s">
        <v>472</v>
      </c>
      <c r="C2019" s="1">
        <f>IFERROR(VLOOKUP(1262,'PEDIDO 25'!$C$2:$E$230,3,0),0)</f>
        <v>0</v>
      </c>
      <c r="D2019" s="1"/>
      <c r="E2019" s="1"/>
      <c r="F2019" s="1"/>
      <c r="G2019" s="18">
        <f t="shared" si="50"/>
        <v>0</v>
      </c>
    </row>
    <row r="2020" spans="1:7" ht="15.75" x14ac:dyDescent="0.25">
      <c r="A2020" s="15">
        <f>'PEDIDO 25'!$B$2</f>
        <v>0</v>
      </c>
      <c r="B2020" s="12" t="s">
        <v>473</v>
      </c>
      <c r="C2020" s="1">
        <f>IFERROR(VLOOKUP(1263,'PEDIDO 25'!$C$2:$E$230,3,0),0)</f>
        <v>0</v>
      </c>
      <c r="D2020" s="1"/>
      <c r="E2020" s="1"/>
      <c r="F2020" s="1"/>
      <c r="G2020" s="18">
        <f t="shared" si="50"/>
        <v>0</v>
      </c>
    </row>
    <row r="2021" spans="1:7" ht="15.75" x14ac:dyDescent="0.25">
      <c r="A2021" s="15">
        <f>'PEDIDO 25'!$B$2</f>
        <v>0</v>
      </c>
      <c r="B2021" s="12" t="s">
        <v>474</v>
      </c>
      <c r="C2021" s="1">
        <f>IFERROR(VLOOKUP(1264,'PEDIDO 25'!$C$2:$E$230,3,0),0)</f>
        <v>0</v>
      </c>
      <c r="D2021" s="1"/>
      <c r="E2021" s="1"/>
      <c r="F2021" s="1"/>
      <c r="G2021" s="18">
        <f t="shared" si="50"/>
        <v>0</v>
      </c>
    </row>
    <row r="2022" spans="1:7" ht="15.75" x14ac:dyDescent="0.25">
      <c r="A2022" s="15">
        <f>'PEDIDO 25'!$B$2</f>
        <v>0</v>
      </c>
      <c r="B2022" s="12" t="s">
        <v>475</v>
      </c>
      <c r="C2022" s="1">
        <f>IFERROR(VLOOKUP(1265,'PEDIDO 25'!$C$2:$E$230,3,0),0)</f>
        <v>0</v>
      </c>
      <c r="D2022" s="1"/>
      <c r="E2022" s="1"/>
      <c r="F2022" s="1"/>
      <c r="G2022" s="18">
        <f t="shared" si="50"/>
        <v>0</v>
      </c>
    </row>
    <row r="2023" spans="1:7" ht="15.75" x14ac:dyDescent="0.25">
      <c r="A2023" s="15">
        <f>'PEDIDO 25'!$B$2</f>
        <v>0</v>
      </c>
      <c r="B2023" s="12" t="s">
        <v>476</v>
      </c>
      <c r="C2023" s="1">
        <f>IFERROR(VLOOKUP(1266,'PEDIDO 25'!$C$2:$E$230,3,0),0)</f>
        <v>0</v>
      </c>
      <c r="D2023" s="1"/>
      <c r="E2023" s="1"/>
      <c r="F2023" s="1"/>
      <c r="G2023" s="18">
        <f t="shared" si="50"/>
        <v>0</v>
      </c>
    </row>
    <row r="2024" spans="1:7" ht="15.75" x14ac:dyDescent="0.25">
      <c r="A2024" s="15">
        <f>'PEDIDO 25'!$B$2</f>
        <v>0</v>
      </c>
      <c r="B2024" s="12" t="s">
        <v>477</v>
      </c>
      <c r="C2024" s="1">
        <f>IFERROR(VLOOKUP(1268,'PEDIDO 25'!$C$2:$E$230,3,0),0)</f>
        <v>0</v>
      </c>
      <c r="D2024" s="1">
        <f>IFERROR(VLOOKUP(1269,'PEDIDO 25'!$C$2:$E$230,3,0),0)</f>
        <v>0</v>
      </c>
      <c r="E2024" s="1">
        <f>IFERROR(VLOOKUP(1270,'PEDIDO 25'!$C$2:$E$230,3,0),0)</f>
        <v>0</v>
      </c>
      <c r="F2024" s="1">
        <f>IFERROR(VLOOKUP(1271,'PEDIDO 25'!$C$2:$E$230,3,0),0)</f>
        <v>0</v>
      </c>
      <c r="G2024" s="18">
        <f t="shared" ref="G2024" si="51">SUM(C2024+D2024+E2024+F2024)</f>
        <v>0</v>
      </c>
    </row>
    <row r="2027" spans="1:7" ht="15.75" x14ac:dyDescent="0.25">
      <c r="A2027" s="15">
        <f>'PEDIDO 26'!$B$2</f>
        <v>0</v>
      </c>
      <c r="B2027" s="12" t="s">
        <v>399</v>
      </c>
      <c r="C2027" s="1">
        <f>IFERROR(VLOOKUP(1,'PEDIDO 26'!$C$2:$E$230,3,0),0)</f>
        <v>0</v>
      </c>
      <c r="D2027" s="1">
        <f>IFERROR(VLOOKUP(2,'PEDIDO 26'!$C$2:$E$230,3,0),0)</f>
        <v>0</v>
      </c>
      <c r="E2027" s="1">
        <f>IFERROR(VLOOKUP(3,'PEDIDO 26'!$C$2:$E$230,3,0),0)</f>
        <v>0</v>
      </c>
      <c r="F2027" s="1">
        <f>IFERROR(VLOOKUP(282,'PEDIDO 26'!$C$2:$E$230,3,0),0)</f>
        <v>0</v>
      </c>
      <c r="G2027" s="18">
        <f>SUM(C2027+D2027+E2027+F2027)</f>
        <v>0</v>
      </c>
    </row>
    <row r="2028" spans="1:7" ht="15.75" x14ac:dyDescent="0.25">
      <c r="A2028" s="15">
        <f>'PEDIDO 26'!$B$2</f>
        <v>0</v>
      </c>
      <c r="B2028" s="12" t="s">
        <v>400</v>
      </c>
      <c r="C2028" s="1">
        <f>IFERROR(VLOOKUP(5,'PEDIDO 26'!$C$2:$E$230,3,0),0)</f>
        <v>0</v>
      </c>
      <c r="D2028" s="1">
        <f>IFERROR(VLOOKUP(6,'PEDIDO 26'!$C$2:$E$230,3,0),0)</f>
        <v>0</v>
      </c>
      <c r="E2028" s="1">
        <f>IFERROR(VLOOKUP(7,'PEDIDO 26'!$C$2:$E$230,3,0),0)</f>
        <v>0</v>
      </c>
      <c r="F2028" s="1">
        <f>IFERROR(VLOOKUP(258,'PEDIDO 26'!$C$2:$E$230,3,0),0)</f>
        <v>0</v>
      </c>
      <c r="G2028" s="18">
        <f t="shared" ref="G2028:G2091" si="52">SUM(C2028+D2028+E2028+F2028)</f>
        <v>0</v>
      </c>
    </row>
    <row r="2029" spans="1:7" ht="15.75" x14ac:dyDescent="0.25">
      <c r="A2029" s="15">
        <f>'PEDIDO 26'!$B$2</f>
        <v>0</v>
      </c>
      <c r="B2029" s="12" t="s">
        <v>401</v>
      </c>
      <c r="C2029" s="1">
        <f>IFERROR(VLOOKUP(13,'PEDIDO 26'!$C$2:$E$230,3,0),0)</f>
        <v>0</v>
      </c>
      <c r="D2029" s="1">
        <f>IFERROR(VLOOKUP(14,'PEDIDO 26'!$C$2:$E$230,3,0),0)</f>
        <v>0</v>
      </c>
      <c r="E2029" s="1">
        <f>IFERROR(VLOOKUP(15,'PEDIDO 26'!$C$2:$E$230,3,0),0)</f>
        <v>0</v>
      </c>
      <c r="F2029" s="1">
        <f>IFERROR(VLOOKUP(289,'PEDIDO 26'!$C$2:$E$230,3,0),0)</f>
        <v>0</v>
      </c>
      <c r="G2029" s="18">
        <f t="shared" si="52"/>
        <v>0</v>
      </c>
    </row>
    <row r="2030" spans="1:7" ht="15.75" x14ac:dyDescent="0.25">
      <c r="A2030" s="15">
        <f>'PEDIDO 26'!$B$2</f>
        <v>0</v>
      </c>
      <c r="B2030" s="12" t="s">
        <v>402</v>
      </c>
      <c r="C2030" s="1">
        <f>IFERROR(VLOOKUP(267,'PEDIDO 26'!$C$2:$E$230,3,0),0)</f>
        <v>0</v>
      </c>
      <c r="D2030" s="1">
        <f>IFERROR(VLOOKUP(268,'PEDIDO 26'!$C$2:$E$230,3,0),0)</f>
        <v>0</v>
      </c>
      <c r="E2030" s="1">
        <f>IFERROR(VLOOKUP(270,'PEDIDO 26'!$C$2:$E$230,3,0),0)</f>
        <v>0</v>
      </c>
      <c r="F2030" s="1">
        <f>IFERROR(VLOOKUP(269,'PEDIDO 26'!$C$2:$E$230,3,0),0)</f>
        <v>0</v>
      </c>
      <c r="G2030" s="18">
        <f t="shared" si="52"/>
        <v>0</v>
      </c>
    </row>
    <row r="2031" spans="1:7" ht="15.75" x14ac:dyDescent="0.25">
      <c r="A2031" s="15">
        <f>'PEDIDO 26'!$B$2</f>
        <v>0</v>
      </c>
      <c r="B2031" s="12" t="s">
        <v>403</v>
      </c>
      <c r="C2031" s="1">
        <f>IFERROR(VLOOKUP(17,'PEDIDO 26'!$C$2:$E$230,3,0),0)</f>
        <v>0</v>
      </c>
      <c r="D2031" s="1">
        <f>IFERROR(VLOOKUP(18,'PEDIDO 26'!$C$2:$E$230,3,0),0)</f>
        <v>0</v>
      </c>
      <c r="E2031" s="1">
        <f>IFERROR(VLOOKUP(19,'PEDIDO 26'!$C$2:$E$230,3,0),0)</f>
        <v>0</v>
      </c>
      <c r="F2031" s="1">
        <f>IFERROR(VLOOKUP(290,'PEDIDO 26'!$C$2:$E$230,3,0),0)</f>
        <v>0</v>
      </c>
      <c r="G2031" s="18">
        <f t="shared" si="52"/>
        <v>0</v>
      </c>
    </row>
    <row r="2032" spans="1:7" ht="15.75" x14ac:dyDescent="0.25">
      <c r="A2032" s="15">
        <f>'PEDIDO 26'!$B$2</f>
        <v>0</v>
      </c>
      <c r="B2032" s="12" t="s">
        <v>404</v>
      </c>
      <c r="C2032" s="1">
        <f>IFERROR(VLOOKUP(23,'PEDIDO 26'!$C$2:$E$230,3,0),0)</f>
        <v>0</v>
      </c>
      <c r="D2032" s="1">
        <f>IFERROR(VLOOKUP(24,'PEDIDO 26'!$C$2:$E$230,3,0),0)</f>
        <v>0</v>
      </c>
      <c r="E2032" s="1">
        <f>IFERROR(VLOOKUP(25,'PEDIDO 26'!$C$2:$E$230,3,0),0)</f>
        <v>0</v>
      </c>
      <c r="F2032" s="1">
        <f>IFERROR(VLOOKUP(291,'PEDIDO 26'!$C$2:$E$230,3,0),0)</f>
        <v>0</v>
      </c>
      <c r="G2032" s="18">
        <f t="shared" si="52"/>
        <v>0</v>
      </c>
    </row>
    <row r="2033" spans="1:7" ht="15.75" x14ac:dyDescent="0.25">
      <c r="A2033" s="15">
        <f>'PEDIDO 26'!$B$2</f>
        <v>0</v>
      </c>
      <c r="B2033" s="12" t="s">
        <v>405</v>
      </c>
      <c r="C2033" s="1">
        <f>IFERROR(VLOOKUP(27,'PEDIDO 26'!$C$2:$E$230,3,0),0)</f>
        <v>0</v>
      </c>
      <c r="D2033" s="1">
        <f>IFERROR(VLOOKUP(28,'PEDIDO 26'!$C$2:$E$230,3,0),0)</f>
        <v>0</v>
      </c>
      <c r="E2033" s="1">
        <f>IFERROR(VLOOKUP(29,'PEDIDO 26'!$C$2:$E$230,3,0),0)</f>
        <v>0</v>
      </c>
      <c r="F2033" s="1">
        <f>IFERROR(VLOOKUP(292,'PEDIDO 26'!$C$2:$E$230,3,0),0)</f>
        <v>0</v>
      </c>
      <c r="G2033" s="18">
        <f t="shared" si="52"/>
        <v>0</v>
      </c>
    </row>
    <row r="2034" spans="1:7" ht="15.75" x14ac:dyDescent="0.25">
      <c r="A2034" s="15">
        <f>'PEDIDO 26'!$B$2</f>
        <v>0</v>
      </c>
      <c r="B2034" s="12" t="s">
        <v>406</v>
      </c>
      <c r="C2034" s="1">
        <f>IFERROR(VLOOKUP(227,'PEDIDO 26'!$C$2:$E$230,3,0),0)</f>
        <v>0</v>
      </c>
      <c r="D2034" s="1">
        <f>IFERROR(VLOOKUP(228,'PEDIDO 26'!$C$2:$E$230,3,0),0)</f>
        <v>0</v>
      </c>
      <c r="E2034" s="1">
        <f>IFERROR(VLOOKUP(229,'PEDIDO 26'!$C$2:$E$230,3,0),0)</f>
        <v>0</v>
      </c>
      <c r="F2034" s="1">
        <f>IFERROR(VLOOKUP(230,'PEDIDO 26'!$C$2:$E$230,3,0),0)</f>
        <v>0</v>
      </c>
      <c r="G2034" s="18">
        <f t="shared" si="52"/>
        <v>0</v>
      </c>
    </row>
    <row r="2035" spans="1:7" ht="15.75" x14ac:dyDescent="0.25">
      <c r="A2035" s="15">
        <f>'PEDIDO 26'!$B$2</f>
        <v>0</v>
      </c>
      <c r="B2035" s="12" t="s">
        <v>407</v>
      </c>
      <c r="C2035" s="1">
        <f>IFERROR(VLOOKUP(231,'PEDIDO 26'!$C$2:$E$230,3,0),0)</f>
        <v>0</v>
      </c>
      <c r="D2035" s="1">
        <f>IFERROR(VLOOKUP(232,'PEDIDO 26'!$C$2:$E$230,3,0),0)</f>
        <v>0</v>
      </c>
      <c r="E2035" s="1">
        <f>IFERROR(VLOOKUP(234,'PEDIDO 26'!$C$2:$E$230,3,0),0)</f>
        <v>0</v>
      </c>
      <c r="F2035" s="1">
        <f>IFERROR(VLOOKUP(233,'PEDIDO 26'!$C$2:$E$230,3,0),0)</f>
        <v>0</v>
      </c>
      <c r="G2035" s="18">
        <f t="shared" si="52"/>
        <v>0</v>
      </c>
    </row>
    <row r="2036" spans="1:7" ht="15.75" x14ac:dyDescent="0.25">
      <c r="A2036" s="15">
        <f>'PEDIDO 26'!$B$2</f>
        <v>0</v>
      </c>
      <c r="B2036" s="12" t="s">
        <v>408</v>
      </c>
      <c r="C2036" s="1">
        <f>IFERROR(VLOOKUP(237,'PEDIDO 26'!$C$2:$E$230,3,0),0)</f>
        <v>0</v>
      </c>
      <c r="D2036" s="1">
        <f>IFERROR(VLOOKUP(238,'PEDIDO 26'!$C$2:$E$230,3,0),0)</f>
        <v>0</v>
      </c>
      <c r="E2036" s="1">
        <f>IFERROR(VLOOKUP(240,'PEDIDO 26'!$C$2:$E$230,3,0),0)</f>
        <v>0</v>
      </c>
      <c r="F2036" s="1">
        <f>IFERROR(VLOOKUP(239,'PEDIDO 26'!$C$2:$E$230,3,0),0)</f>
        <v>0</v>
      </c>
      <c r="G2036" s="18">
        <f t="shared" si="52"/>
        <v>0</v>
      </c>
    </row>
    <row r="2037" spans="1:7" ht="15.75" x14ac:dyDescent="0.25">
      <c r="A2037" s="15">
        <f>'PEDIDO 26'!$B$2</f>
        <v>0</v>
      </c>
      <c r="B2037" s="12" t="s">
        <v>409</v>
      </c>
      <c r="C2037" s="1">
        <f>IFERROR(VLOOKUP(25707,'PEDIDO 26'!$C$2:$E$230,3,0),0)</f>
        <v>0</v>
      </c>
      <c r="D2037" s="1">
        <f>IFERROR(VLOOKUP(25708,'PEDIDO 26'!$C$2:$E$230,3,0),0)</f>
        <v>0</v>
      </c>
      <c r="E2037" s="1">
        <f>IFERROR(VLOOKUP(25710,'PEDIDO 26'!$C$2:$E$230,3,0),0)</f>
        <v>0</v>
      </c>
      <c r="F2037" s="1">
        <f>IFERROR(VLOOKUP(25709,'PEDIDO 26'!$C$2:$E$230,3,0),0)</f>
        <v>0</v>
      </c>
      <c r="G2037" s="18">
        <f t="shared" si="52"/>
        <v>0</v>
      </c>
    </row>
    <row r="2038" spans="1:7" ht="15.75" x14ac:dyDescent="0.25">
      <c r="A2038" s="15">
        <f>'PEDIDO 26'!$B$2</f>
        <v>0</v>
      </c>
      <c r="B2038" s="12" t="s">
        <v>410</v>
      </c>
      <c r="C2038" s="1">
        <f>IFERROR(VLOOKUP(25711,'PEDIDO 26'!$C$2:$E$230,3,0),0)</f>
        <v>0</v>
      </c>
      <c r="D2038" s="1"/>
      <c r="E2038" s="1"/>
      <c r="F2038" s="1"/>
      <c r="G2038" s="18">
        <f t="shared" si="52"/>
        <v>0</v>
      </c>
    </row>
    <row r="2039" spans="1:7" ht="15.75" x14ac:dyDescent="0.25">
      <c r="A2039" s="15">
        <f>'PEDIDO 26'!$B$2</f>
        <v>0</v>
      </c>
      <c r="B2039" s="12" t="s">
        <v>411</v>
      </c>
      <c r="C2039" s="1">
        <f>IFERROR(VLOOKUP(35,'PEDIDO 26'!$C$2:$E$230,3,0),0)</f>
        <v>0</v>
      </c>
      <c r="D2039" s="1">
        <f>IFERROR(VLOOKUP(36,'PEDIDO 26'!$C$2:$E$230,3,0),0)</f>
        <v>0</v>
      </c>
      <c r="E2039" s="1">
        <f>IFERROR(VLOOKUP(37,'PEDIDO 26'!$C$2:$E$230,3,0),0)</f>
        <v>0</v>
      </c>
      <c r="F2039" s="1">
        <f>IFERROR(VLOOKUP(294,'PEDIDO 26'!$C$2:$E$230,3,0),0)</f>
        <v>0</v>
      </c>
      <c r="G2039" s="18">
        <f t="shared" si="52"/>
        <v>0</v>
      </c>
    </row>
    <row r="2040" spans="1:7" ht="15.75" x14ac:dyDescent="0.25">
      <c r="A2040" s="15">
        <f>'PEDIDO 26'!$B$2</f>
        <v>0</v>
      </c>
      <c r="B2040" s="12" t="s">
        <v>412</v>
      </c>
      <c r="C2040" s="1">
        <f>IFERROR(VLOOKUP(39,'PEDIDO 26'!$C$2:$E$230,3,0),0)</f>
        <v>0</v>
      </c>
      <c r="D2040" s="1">
        <f>IFERROR(VLOOKUP(40,'PEDIDO 26'!$C$2:$E$230,3,0),0)</f>
        <v>0</v>
      </c>
      <c r="E2040" s="1">
        <f>IFERROR(VLOOKUP(42,'PEDIDO 26'!$C$2:$E$230,3,0),0)</f>
        <v>0</v>
      </c>
      <c r="F2040" s="1">
        <f>IFERROR(VLOOKUP(295,'PEDIDO 26'!$C$2:$E$230,3,0),0)</f>
        <v>0</v>
      </c>
      <c r="G2040" s="18">
        <f t="shared" si="52"/>
        <v>0</v>
      </c>
    </row>
    <row r="2041" spans="1:7" ht="15.75" x14ac:dyDescent="0.25">
      <c r="A2041" s="15">
        <f>'PEDIDO 26'!$B$2</f>
        <v>0</v>
      </c>
      <c r="B2041" s="12" t="s">
        <v>413</v>
      </c>
      <c r="C2041" s="1">
        <f>IFERROR(VLOOKUP(44,'PEDIDO 26'!$C$2:$E$230,3,0),0)</f>
        <v>0</v>
      </c>
      <c r="D2041" s="1">
        <f>IFERROR(VLOOKUP(45,'PEDIDO 26'!$C$2:$E$230,3,0),0)</f>
        <v>0</v>
      </c>
      <c r="E2041" s="1">
        <f>IFERROR(VLOOKUP(46,'PEDIDO 26'!$C$2:$E$230,3,0),0)</f>
        <v>0</v>
      </c>
      <c r="F2041" s="1">
        <f>IFERROR(VLOOKUP(283,'PEDIDO 26'!$C$2:$E$230,3,0),0)</f>
        <v>0</v>
      </c>
      <c r="G2041" s="18">
        <f t="shared" si="52"/>
        <v>0</v>
      </c>
    </row>
    <row r="2042" spans="1:7" ht="15.75" x14ac:dyDescent="0.25">
      <c r="A2042" s="15">
        <f>'PEDIDO 26'!$B$2</f>
        <v>0</v>
      </c>
      <c r="B2042" s="12" t="s">
        <v>414</v>
      </c>
      <c r="C2042" s="1">
        <f>IFERROR(VLOOKUP(48,'PEDIDO 26'!$C$2:$E$230,3,0),0)</f>
        <v>0</v>
      </c>
      <c r="D2042" s="1">
        <f>IFERROR(VLOOKUP(49,'PEDIDO 26'!$C$2:$E$230,3,0),0)</f>
        <v>0</v>
      </c>
      <c r="E2042" s="1">
        <f>IFERROR(VLOOKUP(50,'PEDIDO 26'!$C$2:$E$230,3,0),0)</f>
        <v>0</v>
      </c>
      <c r="F2042" s="1">
        <f>IFERROR(VLOOKUP(298,'PEDIDO 26'!$C$2:$E$230,3,0),0)</f>
        <v>0</v>
      </c>
      <c r="G2042" s="18">
        <f t="shared" si="52"/>
        <v>0</v>
      </c>
    </row>
    <row r="2043" spans="1:7" ht="15.75" x14ac:dyDescent="0.25">
      <c r="A2043" s="15">
        <f>'PEDIDO 26'!$B$2</f>
        <v>0</v>
      </c>
      <c r="B2043" s="12" t="s">
        <v>415</v>
      </c>
      <c r="C2043" s="1">
        <f>IFERROR(VLOOKUP(52,'PEDIDO 26'!$C$2:$E$230,3,0),0)</f>
        <v>0</v>
      </c>
      <c r="D2043" s="1">
        <f>IFERROR(VLOOKUP(53,'PEDIDO 26'!$C$2:$E$230,3,0),0)</f>
        <v>0</v>
      </c>
      <c r="E2043" s="1">
        <f>IFERROR(VLOOKUP(54,'PEDIDO 26'!$C$2:$E$230,3,0),0)</f>
        <v>0</v>
      </c>
      <c r="F2043" s="1">
        <f>IFERROR(VLOOKUP(299,'PEDIDO 26'!$C$2:$E$230,3,0),0)</f>
        <v>0</v>
      </c>
      <c r="G2043" s="18">
        <f t="shared" si="52"/>
        <v>0</v>
      </c>
    </row>
    <row r="2044" spans="1:7" ht="15.75" x14ac:dyDescent="0.25">
      <c r="A2044" s="15">
        <f>'PEDIDO 26'!$B$2</f>
        <v>0</v>
      </c>
      <c r="B2044" s="12" t="s">
        <v>416</v>
      </c>
      <c r="C2044" s="1">
        <f>IFERROR(VLOOKUP(56,'PEDIDO 26'!$C$2:$E$230,3,0),0)</f>
        <v>0</v>
      </c>
      <c r="D2044" s="1">
        <f>IFERROR(VLOOKUP(61,'PEDIDO 26'!$C$2:$E$230,3,0),0)</f>
        <v>0</v>
      </c>
      <c r="E2044" s="1">
        <f>IFERROR(VLOOKUP(58,'PEDIDO 26'!$C$2:$E$230,3,0),0)</f>
        <v>0</v>
      </c>
      <c r="F2044" s="1">
        <f>IFERROR(VLOOKUP(300,'PEDIDO 26'!$C$2:$E$230,3,0),0)</f>
        <v>0</v>
      </c>
      <c r="G2044" s="18">
        <f t="shared" si="52"/>
        <v>0</v>
      </c>
    </row>
    <row r="2045" spans="1:7" ht="15.75" x14ac:dyDescent="0.25">
      <c r="A2045" s="15">
        <f>'PEDIDO 26'!$B$2</f>
        <v>0</v>
      </c>
      <c r="B2045" s="12" t="s">
        <v>417</v>
      </c>
      <c r="C2045" s="1">
        <f>IFERROR(VLOOKUP(60,'PEDIDO 26'!$C$2:$E$230,3,0),0)</f>
        <v>0</v>
      </c>
      <c r="D2045" s="1">
        <f>IFERROR(VLOOKUP(120,'PEDIDO 26'!$C$2:$E$230,3,0),0)</f>
        <v>0</v>
      </c>
      <c r="E2045" s="1">
        <f>IFERROR(VLOOKUP(62,'PEDIDO 26'!$C$2:$E$230,3,0),0)</f>
        <v>0</v>
      </c>
      <c r="F2045" s="1">
        <f>IFERROR(VLOOKUP(301,'PEDIDO 26'!$C$2:$E$230,3,0),0)</f>
        <v>0</v>
      </c>
      <c r="G2045" s="18">
        <f t="shared" si="52"/>
        <v>0</v>
      </c>
    </row>
    <row r="2046" spans="1:7" ht="15.75" x14ac:dyDescent="0.25">
      <c r="A2046" s="15">
        <f>'PEDIDO 26'!$B$2</f>
        <v>0</v>
      </c>
      <c r="B2046" s="12" t="s">
        <v>426</v>
      </c>
      <c r="C2046" s="1">
        <f>IFERROR(VLOOKUP(112,'PEDIDO 26'!$C$2:$E$230,3,0),0)</f>
        <v>0</v>
      </c>
      <c r="D2046" s="1">
        <f>IFERROR(VLOOKUP(113,'PEDIDO 26'!$C$2:$E$230,3,0),0)</f>
        <v>0</v>
      </c>
      <c r="E2046" s="1">
        <f>IFERROR(VLOOKUP(114,'PEDIDO 26'!$C$2:$E$230,3,0),0)</f>
        <v>0</v>
      </c>
      <c r="F2046" s="1">
        <f>IFERROR(VLOOKUP(296,'PEDIDO 26'!$C$2:$E$230,3,0),0)</f>
        <v>0</v>
      </c>
      <c r="G2046" s="18">
        <f t="shared" si="52"/>
        <v>0</v>
      </c>
    </row>
    <row r="2047" spans="1:7" ht="15.75" x14ac:dyDescent="0.25">
      <c r="A2047" s="15">
        <f>'PEDIDO 26'!$B$2</f>
        <v>0</v>
      </c>
      <c r="B2047" s="12" t="s">
        <v>427</v>
      </c>
      <c r="C2047" s="1">
        <f>IFERROR(VLOOKUP(116,'PEDIDO 26'!$C$2:$E$230,3,0),0)</f>
        <v>0</v>
      </c>
      <c r="D2047" s="1">
        <f>IFERROR(VLOOKUP(117,'PEDIDO 26'!$C$2:$E$230,3,0),0)</f>
        <v>0</v>
      </c>
      <c r="E2047" s="1">
        <f>IFERROR(VLOOKUP(118,'PEDIDO 26'!$C$2:$E$230,3,0),0)</f>
        <v>0</v>
      </c>
      <c r="F2047" s="1">
        <f>IFERROR(VLOOKUP(293,'PEDIDO 26'!$C$2:$E$230,3,0),0)</f>
        <v>0</v>
      </c>
      <c r="G2047" s="18">
        <f t="shared" si="52"/>
        <v>0</v>
      </c>
    </row>
    <row r="2048" spans="1:7" ht="15.75" x14ac:dyDescent="0.25">
      <c r="A2048" s="15">
        <f>'PEDIDO 26'!$B$2</f>
        <v>0</v>
      </c>
      <c r="B2048" s="12" t="s">
        <v>418</v>
      </c>
      <c r="C2048" s="1">
        <f>IFERROR(VLOOKUP(963,'PEDIDO 26'!$C$2:$E$230,3,0),0)</f>
        <v>0</v>
      </c>
      <c r="D2048" s="1">
        <f>IFERROR(VLOOKUP(965,'PEDIDO 26'!$C$2:$E$230,3,0),0)</f>
        <v>0</v>
      </c>
      <c r="E2048" s="1">
        <f>IFERROR(VLOOKUP(966,'PEDIDO 26'!$C$2:$E$230,3,0),0)</f>
        <v>0</v>
      </c>
      <c r="F2048" s="1">
        <f>IFERROR(VLOOKUP(964,'PEDIDO 26'!$C$2:$E$230,3,0),0)</f>
        <v>0</v>
      </c>
      <c r="G2048" s="18">
        <f t="shared" si="52"/>
        <v>0</v>
      </c>
    </row>
    <row r="2049" spans="1:7" ht="15.75" x14ac:dyDescent="0.25">
      <c r="A2049" s="15">
        <f>'PEDIDO 26'!$B$2</f>
        <v>0</v>
      </c>
      <c r="B2049" s="12" t="s">
        <v>419</v>
      </c>
      <c r="C2049" s="1">
        <f>IFERROR(VLOOKUP(2042,'PEDIDO 26'!$C$2:$E$230,3,0),0)</f>
        <v>0</v>
      </c>
      <c r="D2049" s="1">
        <f>IFERROR(VLOOKUP(2041,'PEDIDO 26'!$C$2:$E$230,3,0),0)</f>
        <v>0</v>
      </c>
      <c r="E2049" s="1">
        <f>IFERROR(VLOOKUP(2043,'PEDIDO 26'!$C$2:$E$230,3,0),0)</f>
        <v>0</v>
      </c>
      <c r="F2049" s="1">
        <f>IFERROR(VLOOKUP(2040,'PEDIDO 26'!$C$2:$E$230,3,0),0)</f>
        <v>0</v>
      </c>
      <c r="G2049" s="18">
        <f t="shared" si="52"/>
        <v>0</v>
      </c>
    </row>
    <row r="2050" spans="1:7" ht="15.75" x14ac:dyDescent="0.25">
      <c r="A2050" s="15">
        <f>'PEDIDO 26'!$B$2</f>
        <v>0</v>
      </c>
      <c r="B2050" s="12" t="s">
        <v>420</v>
      </c>
      <c r="C2050" s="1">
        <f>IFERROR(VLOOKUP(2045,'PEDIDO 26'!$C$2:$E$230,3,0),0)</f>
        <v>0</v>
      </c>
      <c r="D2050" s="1">
        <f>IFERROR(VLOOKUP(2046,'PEDIDO 26'!$C$2:$E$230,3,0),0)</f>
        <v>0</v>
      </c>
      <c r="E2050" s="1">
        <f>IFERROR(VLOOKUP(2047,'PEDIDO 26'!$C$2:$E$230,3,0),0)</f>
        <v>0</v>
      </c>
      <c r="F2050" s="1">
        <f>IFERROR(VLOOKUP(2048,'PEDIDO 26'!$C$2:$E$230,3,0),0)</f>
        <v>0</v>
      </c>
      <c r="G2050" s="18">
        <f t="shared" si="52"/>
        <v>0</v>
      </c>
    </row>
    <row r="2051" spans="1:7" ht="15.75" x14ac:dyDescent="0.25">
      <c r="A2051" s="15">
        <f>'PEDIDO 26'!$B$2</f>
        <v>0</v>
      </c>
      <c r="B2051" s="12" t="s">
        <v>421</v>
      </c>
      <c r="C2051" s="1">
        <f>IFERROR(VLOOKUP(2050,'PEDIDO 26'!$C$2:$E$230,3,0),0)</f>
        <v>0</v>
      </c>
      <c r="D2051" s="1">
        <f>IFERROR(VLOOKUP(2051,'PEDIDO 26'!$C$2:$E$230,3,0),0)</f>
        <v>0</v>
      </c>
      <c r="E2051" s="1">
        <f>IFERROR(VLOOKUP(2052,'PEDIDO 26'!$C$2:$E$230,3,0),0)</f>
        <v>0</v>
      </c>
      <c r="F2051" s="1">
        <f>IFERROR(VLOOKUP(2053,'PEDIDO 26'!$C$2:$E$230,3,0),0)</f>
        <v>0</v>
      </c>
      <c r="G2051" s="18">
        <f t="shared" si="52"/>
        <v>0</v>
      </c>
    </row>
    <row r="2052" spans="1:7" ht="15.75" x14ac:dyDescent="0.25">
      <c r="A2052" s="15">
        <f>'PEDIDO 26'!$B$2</f>
        <v>0</v>
      </c>
      <c r="B2052" s="12" t="s">
        <v>422</v>
      </c>
      <c r="C2052" s="1">
        <f>IFERROR(VLOOKUP(216,'PEDIDO 26'!$C$2:$E$230,3,0),0)</f>
        <v>0</v>
      </c>
      <c r="D2052" s="1">
        <f>IFERROR(VLOOKUP(217,'PEDIDO 26'!$C$2:$E$230,3,0),0)</f>
        <v>0</v>
      </c>
      <c r="E2052" s="1">
        <f>IFERROR(VLOOKUP(218,'PEDIDO 26'!$C$2:$E$230,3,0),0)</f>
        <v>0</v>
      </c>
      <c r="F2052" s="1">
        <f>IFERROR(VLOOKUP(305,'PEDIDO 26'!$C$2:$E$230,3,0),0)</f>
        <v>0</v>
      </c>
      <c r="G2052" s="18">
        <f t="shared" si="52"/>
        <v>0</v>
      </c>
    </row>
    <row r="2053" spans="1:7" ht="15.75" x14ac:dyDescent="0.25">
      <c r="A2053" s="15">
        <f>'PEDIDO 26'!$B$2</f>
        <v>0</v>
      </c>
      <c r="B2053" s="12" t="s">
        <v>423</v>
      </c>
      <c r="C2053" s="1">
        <f>IFERROR(VLOOKUP(100,'PEDIDO 26'!$C$2:$E$230,3,0),0)</f>
        <v>0</v>
      </c>
      <c r="D2053" s="1">
        <f>IFERROR(VLOOKUP(101,'PEDIDO 26'!$C$2:$E$230,3,0),0)</f>
        <v>0</v>
      </c>
      <c r="E2053" s="1">
        <f>IFERROR(VLOOKUP(102,'PEDIDO 26'!$C$2:$E$230,3,0),0)</f>
        <v>0</v>
      </c>
      <c r="F2053" s="1">
        <f>IFERROR(VLOOKUP(306,'PEDIDO 26'!$C$2:$E$230,3,0),0)</f>
        <v>0</v>
      </c>
      <c r="G2053" s="18">
        <f t="shared" si="52"/>
        <v>0</v>
      </c>
    </row>
    <row r="2054" spans="1:7" ht="15.75" x14ac:dyDescent="0.25">
      <c r="A2054" s="15">
        <f>'PEDIDO 26'!$B$2</f>
        <v>0</v>
      </c>
      <c r="B2054" s="12" t="s">
        <v>424</v>
      </c>
      <c r="C2054" s="1">
        <f>IFERROR(VLOOKUP(104,'PEDIDO 26'!$C$2:$E$230,3,0),0)</f>
        <v>0</v>
      </c>
      <c r="D2054" s="1">
        <f>IFERROR(VLOOKUP(105,'PEDIDO 26'!$C$2:$E$230,3,0),0)</f>
        <v>0</v>
      </c>
      <c r="E2054" s="1">
        <f>IFERROR(VLOOKUP(106,'PEDIDO 26'!$C$2:$E$230,3,0),0)</f>
        <v>0</v>
      </c>
      <c r="F2054" s="1">
        <f>IFERROR(VLOOKUP(307,'PEDIDO 26'!$C$2:$E$230,3,0),0)</f>
        <v>0</v>
      </c>
      <c r="G2054" s="18">
        <f t="shared" si="52"/>
        <v>0</v>
      </c>
    </row>
    <row r="2055" spans="1:7" ht="15.75" x14ac:dyDescent="0.25">
      <c r="A2055" s="15">
        <f>'PEDIDO 26'!$B$2</f>
        <v>0</v>
      </c>
      <c r="B2055" s="12" t="s">
        <v>425</v>
      </c>
      <c r="C2055" s="1">
        <f>IFERROR(VLOOKUP(400,'PEDIDO 26'!$C$2:$E$230,3,0),0)</f>
        <v>0</v>
      </c>
      <c r="D2055" s="1">
        <f>IFERROR(VLOOKUP(401,'PEDIDO 26'!$C$2:$E$230,3,0),0)</f>
        <v>0</v>
      </c>
      <c r="E2055" s="1">
        <f>IFERROR(VLOOKUP(402,'PEDIDO 26'!$C$2:$E$230,3,0),0)</f>
        <v>0</v>
      </c>
      <c r="F2055" s="1">
        <f>IFERROR(VLOOKUP(403,'PEDIDO 26'!$C$2:$E$230,3,0),0)</f>
        <v>0</v>
      </c>
      <c r="G2055" s="18">
        <f t="shared" si="52"/>
        <v>0</v>
      </c>
    </row>
    <row r="2056" spans="1:7" ht="15.75" x14ac:dyDescent="0.25">
      <c r="A2056" s="15">
        <f>'PEDIDO 26'!$B$2</f>
        <v>0</v>
      </c>
      <c r="B2056" s="12" t="s">
        <v>428</v>
      </c>
      <c r="C2056" s="1">
        <f>IFERROR(VLOOKUP(22,'PEDIDO 26'!$C$2:$E$230,3,0),0)</f>
        <v>0</v>
      </c>
      <c r="D2056" s="1"/>
      <c r="E2056" s="1"/>
      <c r="F2056" s="1"/>
      <c r="G2056" s="18">
        <f t="shared" si="52"/>
        <v>0</v>
      </c>
    </row>
    <row r="2057" spans="1:7" ht="15.75" x14ac:dyDescent="0.25">
      <c r="A2057" s="15">
        <f>'PEDIDO 26'!$B$2</f>
        <v>0</v>
      </c>
      <c r="B2057" s="12" t="s">
        <v>429</v>
      </c>
      <c r="C2057" s="1">
        <f>IFERROR(VLOOKUP(21,'PEDIDO 26'!$C$2:$E$230,3,0),0)</f>
        <v>0</v>
      </c>
      <c r="D2057" s="1"/>
      <c r="E2057" s="1"/>
      <c r="F2057" s="1"/>
      <c r="G2057" s="18">
        <f t="shared" si="52"/>
        <v>0</v>
      </c>
    </row>
    <row r="2058" spans="1:7" ht="15.75" x14ac:dyDescent="0.25">
      <c r="A2058" s="15">
        <f>'PEDIDO 26'!$B$2</f>
        <v>0</v>
      </c>
      <c r="B2058" s="12" t="s">
        <v>430</v>
      </c>
      <c r="C2058" s="1">
        <f>IFERROR(VLOOKUP(1125,'PEDIDO 26'!$C$2:$E$230,3,0),0)</f>
        <v>0</v>
      </c>
      <c r="D2058" s="1">
        <f>IFERROR(VLOOKUP(1126,'PEDIDO 26'!$C$2:$E$230,3,0),0)</f>
        <v>0</v>
      </c>
      <c r="E2058" s="1">
        <f>IFERROR(VLOOKUP(1127,'PEDIDO 26'!$C$2:$E$230,3,0),0)</f>
        <v>0</v>
      </c>
      <c r="F2058" s="1">
        <f>IFERROR(VLOOKUP(1128,'PEDIDO 26'!$C$2:$E$230,3,0),0)</f>
        <v>0</v>
      </c>
      <c r="G2058" s="18">
        <f t="shared" si="52"/>
        <v>0</v>
      </c>
    </row>
    <row r="2059" spans="1:7" ht="15.75" x14ac:dyDescent="0.25">
      <c r="A2059" s="15">
        <f>'PEDIDO 26'!$B$2</f>
        <v>0</v>
      </c>
      <c r="B2059" s="12" t="s">
        <v>431</v>
      </c>
      <c r="C2059" s="1">
        <f>IFERROR(VLOOKUP(1133,'PEDIDO 26'!$C$2:$E$230,3,0),0)</f>
        <v>0</v>
      </c>
      <c r="D2059" s="1">
        <f>IFERROR(VLOOKUP(1134,'PEDIDO 26'!$C$2:$E$230,3,0),0)</f>
        <v>0</v>
      </c>
      <c r="E2059" s="1">
        <f>IFERROR(VLOOKUP(1135,'PEDIDO 26'!$C$2:$E$230,3,0),0)</f>
        <v>0</v>
      </c>
      <c r="F2059" s="1">
        <f>IFERROR(VLOOKUP(1136,'PEDIDO 26'!$C$2:$E$230,3,0),0)</f>
        <v>0</v>
      </c>
      <c r="G2059" s="18">
        <f t="shared" si="52"/>
        <v>0</v>
      </c>
    </row>
    <row r="2060" spans="1:7" ht="15.75" x14ac:dyDescent="0.25">
      <c r="A2060" s="15">
        <f>'PEDIDO 26'!$B$2</f>
        <v>0</v>
      </c>
      <c r="B2060" s="12" t="s">
        <v>432</v>
      </c>
      <c r="C2060" s="1">
        <f>IFERROR(VLOOKUP(1105,'PEDIDO 26'!$C$2:$E$230,3,0),0)</f>
        <v>0</v>
      </c>
      <c r="D2060" s="1">
        <f>IFERROR(VLOOKUP(1106,'PEDIDO 26'!$C$2:$E$230,3,0),0)</f>
        <v>0</v>
      </c>
      <c r="E2060" s="1">
        <f>IFERROR(VLOOKUP(1107,'PEDIDO 26'!$C$2:$E$230,3,0),0)</f>
        <v>0</v>
      </c>
      <c r="F2060" s="1">
        <f>IFERROR(VLOOKUP(1108,'PEDIDO 26'!$C$2:$E$230,3,0),0)</f>
        <v>0</v>
      </c>
      <c r="G2060" s="18">
        <f t="shared" si="52"/>
        <v>0</v>
      </c>
    </row>
    <row r="2061" spans="1:7" ht="15.75" x14ac:dyDescent="0.25">
      <c r="A2061" s="15">
        <f>'PEDIDO 26'!$B$2</f>
        <v>0</v>
      </c>
      <c r="B2061" s="12" t="s">
        <v>433</v>
      </c>
      <c r="C2061" s="1">
        <f>IFERROR(VLOOKUP(1109,'PEDIDO 26'!$C$2:$E$230,3,0),0)</f>
        <v>0</v>
      </c>
      <c r="D2061" s="1">
        <f>IFERROR(VLOOKUP(1110,'PEDIDO 26'!$C$2:$E$230,3,0),0)</f>
        <v>0</v>
      </c>
      <c r="E2061" s="1">
        <f>IFERROR(VLOOKUP(1111,'PEDIDO 26'!$C$2:$E$230,3,0),0)</f>
        <v>0</v>
      </c>
      <c r="F2061" s="1">
        <f>IFERROR(VLOOKUP(1112,'PEDIDO 26'!$C$2:$E$230,3,0),0)</f>
        <v>0</v>
      </c>
      <c r="G2061" s="18">
        <f t="shared" si="52"/>
        <v>0</v>
      </c>
    </row>
    <row r="2062" spans="1:7" ht="15.75" x14ac:dyDescent="0.25">
      <c r="A2062" s="15">
        <f>'PEDIDO 26'!$B$2</f>
        <v>0</v>
      </c>
      <c r="B2062" s="12" t="s">
        <v>434</v>
      </c>
      <c r="C2062" s="1">
        <f>IFERROR(VLOOKUP(1113,'PEDIDO 26'!$C$2:$E$230,3,0),0)</f>
        <v>0</v>
      </c>
      <c r="D2062" s="1">
        <f>IFERROR(VLOOKUP(1114,'PEDIDO 26'!$C$2:$E$230,3,0),0)</f>
        <v>0</v>
      </c>
      <c r="E2062" s="1">
        <f>IFERROR(VLOOKUP(1115,'PEDIDO 26'!$C$2:$E$230,3,0),0)</f>
        <v>0</v>
      </c>
      <c r="F2062" s="1">
        <f>IFERROR(VLOOKUP(1116,'PEDIDO 26'!$C$2:$E$230,3,0),0)</f>
        <v>0</v>
      </c>
      <c r="G2062" s="18">
        <f t="shared" si="52"/>
        <v>0</v>
      </c>
    </row>
    <row r="2063" spans="1:7" ht="15.75" x14ac:dyDescent="0.25">
      <c r="A2063" s="15">
        <f>'PEDIDO 26'!$B$2</f>
        <v>0</v>
      </c>
      <c r="B2063" s="12" t="s">
        <v>435</v>
      </c>
      <c r="C2063" s="1">
        <f>IFERROR(VLOOKUP(1117,'PEDIDO 26'!$C$2:$E$230,3,0),0)</f>
        <v>0</v>
      </c>
      <c r="D2063" s="1">
        <f>IFERROR(VLOOKUP(1118,'PEDIDO 26'!$C$2:$E$230,3,0),0)</f>
        <v>0</v>
      </c>
      <c r="E2063" s="1">
        <f>IFERROR(VLOOKUP(1119,'PEDIDO 26'!$C$2:$E$230,3,0),0)</f>
        <v>0</v>
      </c>
      <c r="F2063" s="1">
        <f>IFERROR(VLOOKUP(1120,'PEDIDO 26'!$C$2:$E$230,3,0),0)</f>
        <v>0</v>
      </c>
      <c r="G2063" s="18">
        <f t="shared" si="52"/>
        <v>0</v>
      </c>
    </row>
    <row r="2064" spans="1:7" ht="15.75" x14ac:dyDescent="0.25">
      <c r="A2064" s="15">
        <f>'PEDIDO 26'!$B$2</f>
        <v>0</v>
      </c>
      <c r="B2064" s="12" t="s">
        <v>436</v>
      </c>
      <c r="C2064" s="1">
        <f>IFERROR(VLOOKUP(1121,'PEDIDO 26'!$C$2:$E$230,3,0),0)</f>
        <v>0</v>
      </c>
      <c r="D2064" s="1">
        <f>IFERROR(VLOOKUP(1122,'PEDIDO 26'!$C$2:$E$230,3,0),0)</f>
        <v>0</v>
      </c>
      <c r="E2064" s="1">
        <f>IFERROR(VLOOKUP(1123,'PEDIDO 26'!$C$2:$E$230,3,0),0)</f>
        <v>0</v>
      </c>
      <c r="F2064" s="1">
        <f>IFERROR(VLOOKUP(1124,'PEDIDO 26'!$C$2:$E$230,3,0),0)</f>
        <v>0</v>
      </c>
      <c r="G2064" s="18">
        <f t="shared" si="52"/>
        <v>0</v>
      </c>
    </row>
    <row r="2065" spans="1:7" ht="15.75" x14ac:dyDescent="0.25">
      <c r="A2065" s="15">
        <f>'PEDIDO 26'!$B$2</f>
        <v>0</v>
      </c>
      <c r="B2065" s="12" t="s">
        <v>437</v>
      </c>
      <c r="C2065" s="1">
        <f>IFERROR(VLOOKUP(1129,'PEDIDO 26'!$C$2:$E$230,3,0),0)</f>
        <v>0</v>
      </c>
      <c r="D2065" s="1">
        <f>IFERROR(VLOOKUP(1130,'PEDIDO 26'!$C$2:$E$230,3,0),0)</f>
        <v>0</v>
      </c>
      <c r="E2065" s="1">
        <f>IFERROR(VLOOKUP(1131,'PEDIDO 26'!$C$2:$E$230,3,0),0)</f>
        <v>0</v>
      </c>
      <c r="F2065" s="1">
        <f>IFERROR(VLOOKUP(1132,'PEDIDO 26'!$C$2:$E$230,3,0),0)</f>
        <v>0</v>
      </c>
      <c r="G2065" s="18">
        <f t="shared" si="52"/>
        <v>0</v>
      </c>
    </row>
    <row r="2066" spans="1:7" ht="15.75" x14ac:dyDescent="0.25">
      <c r="A2066" s="15">
        <f>'PEDIDO 26'!$B$2</f>
        <v>0</v>
      </c>
      <c r="B2066" s="12" t="s">
        <v>438</v>
      </c>
      <c r="C2066" s="1">
        <f>IFERROR(VLOOKUP(1137,'PEDIDO 26'!$C$2:$E$230,3,0),0)</f>
        <v>0</v>
      </c>
      <c r="D2066" s="1">
        <f>IFERROR(VLOOKUP(1138,'PEDIDO 26'!$C$2:$E$230,3,0),0)</f>
        <v>0</v>
      </c>
      <c r="E2066" s="1">
        <f>IFERROR(VLOOKUP(1139,'PEDIDO 26'!$C$2:$E$230,3,0),0)</f>
        <v>0</v>
      </c>
      <c r="F2066" s="1">
        <f>IFERROR(VLOOKUP(1140,'PEDIDO 26'!$C$2:$E$230,3,0),0)</f>
        <v>0</v>
      </c>
      <c r="G2066" s="18">
        <f t="shared" si="52"/>
        <v>0</v>
      </c>
    </row>
    <row r="2067" spans="1:7" ht="15.75" x14ac:dyDescent="0.25">
      <c r="A2067" s="15">
        <f>'PEDIDO 26'!$B$2</f>
        <v>0</v>
      </c>
      <c r="B2067" s="12" t="s">
        <v>439</v>
      </c>
      <c r="C2067" s="1">
        <f>IFERROR(VLOOKUP(1141,'PEDIDO 26'!$C$2:$E$230,3,0),0)</f>
        <v>0</v>
      </c>
      <c r="D2067" s="1">
        <f>IFERROR(VLOOKUP(1142,'PEDIDO 26'!$C$2:$E$230,3,0),0)</f>
        <v>0</v>
      </c>
      <c r="E2067" s="1">
        <f>IFERROR(VLOOKUP(1143,'PEDIDO 26'!$C$2:$E$230,3,0),0)</f>
        <v>0</v>
      </c>
      <c r="F2067" s="1">
        <f>IFERROR(VLOOKUP(1144,'PEDIDO 26'!$C$2:$E$230,3,0),0)</f>
        <v>0</v>
      </c>
      <c r="G2067" s="18">
        <f t="shared" si="52"/>
        <v>0</v>
      </c>
    </row>
    <row r="2068" spans="1:7" ht="15.75" x14ac:dyDescent="0.25">
      <c r="A2068" s="15">
        <f>'PEDIDO 26'!$B$2</f>
        <v>0</v>
      </c>
      <c r="B2068" s="12" t="s">
        <v>440</v>
      </c>
      <c r="C2068" s="1">
        <f>IFERROR(VLOOKUP(1145,'PEDIDO 26'!$C$2:$E$230,3,0),0)</f>
        <v>0</v>
      </c>
      <c r="D2068" s="1">
        <f>IFERROR(VLOOKUP(1146,'PEDIDO 26'!$C$2:$E$230,3,0),0)</f>
        <v>0</v>
      </c>
      <c r="E2068" s="1">
        <f>IFERROR(VLOOKUP(1147,'PEDIDO 26'!$C$2:$E$230,3,0),0)</f>
        <v>0</v>
      </c>
      <c r="F2068" s="1">
        <f>IFERROR(VLOOKUP(1148,'PEDIDO 26'!$C$2:$E$230,3,0),0)</f>
        <v>0</v>
      </c>
      <c r="G2068" s="18">
        <f t="shared" si="52"/>
        <v>0</v>
      </c>
    </row>
    <row r="2069" spans="1:7" ht="15.75" x14ac:dyDescent="0.25">
      <c r="A2069" s="15">
        <f>'PEDIDO 26'!$B$2</f>
        <v>0</v>
      </c>
      <c r="B2069" s="12" t="s">
        <v>441</v>
      </c>
      <c r="C2069" s="1">
        <f>IFERROR(VLOOKUP(1149,'PEDIDO 26'!$C$2:$E$230,3,0),0)</f>
        <v>0</v>
      </c>
      <c r="D2069" s="1">
        <f>IFERROR(VLOOKUP(1150,'PEDIDO 26'!$C$2:$E$230,3,0),0)</f>
        <v>0</v>
      </c>
      <c r="E2069" s="1">
        <f>IFERROR(VLOOKUP(1151,'PEDIDO 26'!$C$2:$E$230,3,0),0)</f>
        <v>0</v>
      </c>
      <c r="F2069" s="1">
        <f>IFERROR(VLOOKUP(1152,'PEDIDO 26'!$C$2:$E$230,3,0),0)</f>
        <v>0</v>
      </c>
      <c r="G2069" s="18">
        <f t="shared" si="52"/>
        <v>0</v>
      </c>
    </row>
    <row r="2070" spans="1:7" ht="15.75" x14ac:dyDescent="0.25">
      <c r="A2070" s="15">
        <f>'PEDIDO 26'!$B$2</f>
        <v>0</v>
      </c>
      <c r="B2070" s="12" t="s">
        <v>442</v>
      </c>
      <c r="C2070" s="1">
        <f>IFERROR(VLOOKUP(1153,'PEDIDO 26'!$C$2:$E$230,3,0),0)</f>
        <v>0</v>
      </c>
      <c r="D2070" s="1">
        <f>IFERROR(VLOOKUP(1154,'PEDIDO 26'!$C$2:$E$230,3,0),0)</f>
        <v>0</v>
      </c>
      <c r="E2070" s="1">
        <f>IFERROR(VLOOKUP(1155,'PEDIDO 26'!$C$2:$E$230,3,0),0)</f>
        <v>0</v>
      </c>
      <c r="F2070" s="1">
        <f>IFERROR(VLOOKUP(1156,'PEDIDO 26'!$C$2:$E$230,3,0),0)</f>
        <v>0</v>
      </c>
      <c r="G2070" s="18">
        <f t="shared" si="52"/>
        <v>0</v>
      </c>
    </row>
    <row r="2071" spans="1:7" ht="15.75" x14ac:dyDescent="0.25">
      <c r="A2071" s="15">
        <f>'PEDIDO 26'!$B$2</f>
        <v>0</v>
      </c>
      <c r="B2071" s="12" t="s">
        <v>443</v>
      </c>
      <c r="C2071" s="1">
        <f>IFERROR(VLOOKUP(1157,'PEDIDO 26'!$C$2:$E$230,3,0),0)</f>
        <v>0</v>
      </c>
      <c r="D2071" s="1">
        <f>IFERROR(VLOOKUP(1158,'PEDIDO 26'!$C$2:$E$230,3,0),0)</f>
        <v>0</v>
      </c>
      <c r="E2071" s="1">
        <f>IFERROR(VLOOKUP(1159,'PEDIDO 26'!$C$2:$E$230,3,0),0)</f>
        <v>0</v>
      </c>
      <c r="F2071" s="1">
        <f>IFERROR(VLOOKUP(1160,'PEDIDO 26'!$C$2:$E$230,3,0),0)</f>
        <v>0</v>
      </c>
      <c r="G2071" s="18">
        <f t="shared" si="52"/>
        <v>0</v>
      </c>
    </row>
    <row r="2072" spans="1:7" ht="15.75" x14ac:dyDescent="0.25">
      <c r="A2072" s="15">
        <f>'PEDIDO 26'!$B$2</f>
        <v>0</v>
      </c>
      <c r="B2072" s="12" t="s">
        <v>444</v>
      </c>
      <c r="C2072" s="1">
        <f>IFERROR(VLOOKUP(1161,'PEDIDO 26'!$C$2:$E$230,3,0),0)</f>
        <v>0</v>
      </c>
      <c r="D2072" s="1">
        <f>IFERROR(VLOOKUP(1162,'PEDIDO 26'!$C$2:$E$230,3,0),0)</f>
        <v>0</v>
      </c>
      <c r="E2072" s="1">
        <f>IFERROR(VLOOKUP(1163,'PEDIDO 26'!$C$2:$E$230,3,0),0)</f>
        <v>0</v>
      </c>
      <c r="F2072" s="1">
        <f>IFERROR(VLOOKUP(1164,'PEDIDO 26'!$C$2:$E$230,3,0),0)</f>
        <v>0</v>
      </c>
      <c r="G2072" s="18">
        <f t="shared" si="52"/>
        <v>0</v>
      </c>
    </row>
    <row r="2073" spans="1:7" ht="15.75" x14ac:dyDescent="0.25">
      <c r="A2073" s="15">
        <f>'PEDIDO 26'!$B$2</f>
        <v>0</v>
      </c>
      <c r="B2073" s="12" t="s">
        <v>445</v>
      </c>
      <c r="C2073" s="1">
        <f>IFERROR(VLOOKUP(1165,'PEDIDO 26'!$C$2:$E$230,3,0),0)</f>
        <v>0</v>
      </c>
      <c r="D2073" s="1">
        <f>IFERROR(VLOOKUP(1166,'PEDIDO 26'!$C$2:$E$230,3,0),0)</f>
        <v>0</v>
      </c>
      <c r="E2073" s="1">
        <f>IFERROR(VLOOKUP(1167,'PEDIDO 26'!$C$2:$E$230,3,0),0)</f>
        <v>0</v>
      </c>
      <c r="F2073" s="1">
        <f>IFERROR(VLOOKUP(1168,'PEDIDO 26'!$C$2:$E$230,3,0),0)</f>
        <v>0</v>
      </c>
      <c r="G2073" s="18">
        <f t="shared" si="52"/>
        <v>0</v>
      </c>
    </row>
    <row r="2074" spans="1:7" ht="15.75" x14ac:dyDescent="0.25">
      <c r="A2074" s="15">
        <f>'PEDIDO 26'!$B$2</f>
        <v>0</v>
      </c>
      <c r="B2074" s="12" t="s">
        <v>446</v>
      </c>
      <c r="C2074" s="1">
        <f>IFERROR(VLOOKUP(1169,'PEDIDO 26'!$C$2:$E$230,3,0),0)</f>
        <v>0</v>
      </c>
      <c r="D2074" s="1">
        <f>IFERROR(VLOOKUP(1170,'PEDIDO 26'!$C$2:$E$230,3,0),0)</f>
        <v>0</v>
      </c>
      <c r="E2074" s="1">
        <f>IFERROR(VLOOKUP(1171,'PEDIDO 26'!$C$2:$E$230,3,0),0)</f>
        <v>0</v>
      </c>
      <c r="F2074" s="1">
        <f>IFERROR(VLOOKUP(1172,'PEDIDO 26'!$C$2:$E$230,3,0),0)</f>
        <v>0</v>
      </c>
      <c r="G2074" s="18">
        <f t="shared" si="52"/>
        <v>0</v>
      </c>
    </row>
    <row r="2075" spans="1:7" ht="15.75" x14ac:dyDescent="0.25">
      <c r="A2075" s="15">
        <f>'PEDIDO 26'!$B$2</f>
        <v>0</v>
      </c>
      <c r="B2075" s="12" t="s">
        <v>447</v>
      </c>
      <c r="C2075" s="1">
        <f>IFERROR(VLOOKUP(1173,'PEDIDO 26'!$C$2:$E$230,3,0),0)</f>
        <v>0</v>
      </c>
      <c r="D2075" s="1">
        <f>IFERROR(VLOOKUP(1174,'PEDIDO 26'!$C$2:$E$230,3,0),0)</f>
        <v>0</v>
      </c>
      <c r="E2075" s="1">
        <f>IFERROR(VLOOKUP(1175,'PEDIDO 26'!$C$2:$E$230,3,0),0)</f>
        <v>0</v>
      </c>
      <c r="F2075" s="1">
        <f>IFERROR(VLOOKUP(1176,'PEDIDO 26'!$C$2:$E$230,3,0),0)</f>
        <v>0</v>
      </c>
      <c r="G2075" s="18">
        <f t="shared" si="52"/>
        <v>0</v>
      </c>
    </row>
    <row r="2076" spans="1:7" ht="15.75" x14ac:dyDescent="0.25">
      <c r="A2076" s="15">
        <f>'PEDIDO 26'!$B$2</f>
        <v>0</v>
      </c>
      <c r="B2076" s="12" t="s">
        <v>448</v>
      </c>
      <c r="C2076" s="1">
        <f>IFERROR(VLOOKUP(1249,'PEDIDO 26'!$C$2:$E$230,3,0),0)</f>
        <v>0</v>
      </c>
      <c r="D2076" s="1">
        <f>IFERROR(VLOOKUP(1250,'PEDIDO 26'!$C$2:$E$230,3,0),0)</f>
        <v>0</v>
      </c>
      <c r="E2076" s="1">
        <f>IFERROR(VLOOKUP(1251,'PEDIDO 26'!$C$2:$E$230,3,0),0)</f>
        <v>0</v>
      </c>
      <c r="F2076" s="1">
        <f>IFERROR(VLOOKUP(1252,'PEDIDO 26'!$C$2:$E$230,3,0),0)</f>
        <v>0</v>
      </c>
      <c r="G2076" s="18">
        <f t="shared" si="52"/>
        <v>0</v>
      </c>
    </row>
    <row r="2077" spans="1:7" ht="15.75" x14ac:dyDescent="0.25">
      <c r="A2077" s="15">
        <f>'PEDIDO 26'!$B$2</f>
        <v>0</v>
      </c>
      <c r="B2077" s="12" t="s">
        <v>449</v>
      </c>
      <c r="C2077" s="1">
        <f>IFERROR(VLOOKUP(1177,'PEDIDO 26'!$C$2:$E$230,3,0),0)</f>
        <v>0</v>
      </c>
      <c r="D2077" s="1">
        <f>IFERROR(VLOOKUP(1178,'PEDIDO 26'!$C$2:$E$230,3,0),0)</f>
        <v>0</v>
      </c>
      <c r="E2077" s="1">
        <f>IFERROR(VLOOKUP(1179,'PEDIDO 26'!$C$2:$E$230,3,0),0)</f>
        <v>0</v>
      </c>
      <c r="F2077" s="1">
        <f>IFERROR(VLOOKUP(1180,'PEDIDO 26'!$C$2:$E$230,3,0),0)</f>
        <v>0</v>
      </c>
      <c r="G2077" s="18">
        <f t="shared" si="52"/>
        <v>0</v>
      </c>
    </row>
    <row r="2078" spans="1:7" ht="15.75" x14ac:dyDescent="0.25">
      <c r="A2078" s="15">
        <f>'PEDIDO 26'!$B$2</f>
        <v>0</v>
      </c>
      <c r="B2078" s="12" t="s">
        <v>450</v>
      </c>
      <c r="C2078" s="1">
        <f>IFERROR(VLOOKUP(1181,'PEDIDO 26'!$C$2:$E$230,3,0),0)</f>
        <v>0</v>
      </c>
      <c r="D2078" s="1">
        <f>IFERROR(VLOOKUP(1182,'PEDIDO 26'!$C$2:$E$230,3,0),0)</f>
        <v>0</v>
      </c>
      <c r="E2078" s="1">
        <f>IFERROR(VLOOKUP(1183,'PEDIDO 26'!$C$2:$E$230,3,0),0)</f>
        <v>0</v>
      </c>
      <c r="F2078" s="1">
        <f>IFERROR(VLOOKUP(1184,'PEDIDO 26'!$C$2:$E$230,3,0),0)</f>
        <v>0</v>
      </c>
      <c r="G2078" s="18">
        <f t="shared" si="52"/>
        <v>0</v>
      </c>
    </row>
    <row r="2079" spans="1:7" ht="15.75" x14ac:dyDescent="0.25">
      <c r="A2079" s="15">
        <f>'PEDIDO 26'!$B$2</f>
        <v>0</v>
      </c>
      <c r="B2079" s="12" t="s">
        <v>451</v>
      </c>
      <c r="C2079" s="1">
        <f>IFERROR(VLOOKUP(1185,'PEDIDO 26'!$C$2:$E$230,3,0),0)</f>
        <v>0</v>
      </c>
      <c r="D2079" s="1">
        <f>IFERROR(VLOOKUP(1186,'PEDIDO 26'!$C$2:$E$230,3,0),0)</f>
        <v>0</v>
      </c>
      <c r="E2079" s="1">
        <f>IFERROR(VLOOKUP(1187,'PEDIDO 26'!$C$2:$E$230,3,0),0)</f>
        <v>0</v>
      </c>
      <c r="F2079" s="1">
        <f>IFERROR(VLOOKUP(1188,'PEDIDO 26'!$C$2:$E$230,3,0),0)</f>
        <v>0</v>
      </c>
      <c r="G2079" s="18">
        <f t="shared" si="52"/>
        <v>0</v>
      </c>
    </row>
    <row r="2080" spans="1:7" ht="15.75" x14ac:dyDescent="0.25">
      <c r="A2080" s="15">
        <f>'PEDIDO 26'!$B$2</f>
        <v>0</v>
      </c>
      <c r="B2080" s="12" t="s">
        <v>452</v>
      </c>
      <c r="C2080" s="1">
        <f>IFERROR(VLOOKUP(1189,'PEDIDO 26'!$C$2:$E$230,3,0),0)</f>
        <v>0</v>
      </c>
      <c r="D2080" s="1">
        <f>IFERROR(VLOOKUP(1190,'PEDIDO 26'!$C$2:$E$230,3,0),0)</f>
        <v>0</v>
      </c>
      <c r="E2080" s="1">
        <f>IFERROR(VLOOKUP(1191,'PEDIDO 26'!$C$2:$E$230,3,0),0)</f>
        <v>0</v>
      </c>
      <c r="F2080" s="1">
        <f>IFERROR(VLOOKUP(1192,'PEDIDO 26'!$C$2:$E$230,3,0),0)</f>
        <v>0</v>
      </c>
      <c r="G2080" s="18">
        <f t="shared" si="52"/>
        <v>0</v>
      </c>
    </row>
    <row r="2081" spans="1:7" ht="15.75" x14ac:dyDescent="0.25">
      <c r="A2081" s="15">
        <f>'PEDIDO 26'!$B$2</f>
        <v>0</v>
      </c>
      <c r="B2081" s="12" t="s">
        <v>453</v>
      </c>
      <c r="C2081" s="1">
        <f>IFERROR(VLOOKUP(1193,'PEDIDO 26'!$C$2:$E$230,3,0),0)</f>
        <v>0</v>
      </c>
      <c r="D2081" s="1">
        <f>IFERROR(VLOOKUP(1194,'PEDIDO 26'!$C$2:$E$230,3,0),0)</f>
        <v>0</v>
      </c>
      <c r="E2081" s="1">
        <f>IFERROR(VLOOKUP(1195,'PEDIDO 26'!$C$2:$E$230,3,0),0)</f>
        <v>0</v>
      </c>
      <c r="F2081" s="1">
        <f>IFERROR(VLOOKUP(1196,'PEDIDO 26'!$C$2:$E$230,3,0),0)</f>
        <v>0</v>
      </c>
      <c r="G2081" s="18">
        <f t="shared" si="52"/>
        <v>0</v>
      </c>
    </row>
    <row r="2082" spans="1:7" ht="15.75" x14ac:dyDescent="0.25">
      <c r="A2082" s="15">
        <f>'PEDIDO 26'!$B$2</f>
        <v>0</v>
      </c>
      <c r="B2082" s="12" t="s">
        <v>454</v>
      </c>
      <c r="C2082" s="1">
        <f>IFERROR(VLOOKUP(1197,'PEDIDO 26'!$C$2:$E$230,3,0),0)</f>
        <v>0</v>
      </c>
      <c r="D2082" s="1">
        <f>IFERROR(VLOOKUP(1198,'PEDIDO 26'!$C$2:$E$230,3,0),0)</f>
        <v>0</v>
      </c>
      <c r="E2082" s="1">
        <f>IFERROR(VLOOKUP(1199,'PEDIDO 26'!$C$2:$E$230,3,0),0)</f>
        <v>0</v>
      </c>
      <c r="F2082" s="1">
        <f>IFERROR(VLOOKUP(1200,'PEDIDO 26'!$C$2:$E$230,3,0),0)</f>
        <v>0</v>
      </c>
      <c r="G2082" s="18">
        <f t="shared" si="52"/>
        <v>0</v>
      </c>
    </row>
    <row r="2083" spans="1:7" ht="15.75" x14ac:dyDescent="0.25">
      <c r="A2083" s="15">
        <f>'PEDIDO 26'!$B$2</f>
        <v>0</v>
      </c>
      <c r="B2083" s="12" t="s">
        <v>455</v>
      </c>
      <c r="C2083" s="1">
        <f>IFERROR(VLOOKUP(1201,'PEDIDO 26'!$C$2:$E$230,3,0),0)</f>
        <v>0</v>
      </c>
      <c r="D2083" s="1">
        <f>IFERROR(VLOOKUP(1202,'PEDIDO 26'!$C$2:$E$230,3,0),0)</f>
        <v>0</v>
      </c>
      <c r="E2083" s="1">
        <f>IFERROR(VLOOKUP(1203,'PEDIDO 26'!$C$2:$E$230,3,0),0)</f>
        <v>0</v>
      </c>
      <c r="F2083" s="1">
        <f>IFERROR(VLOOKUP(1204,'PEDIDO 26'!$C$2:$E$230,3,0),0)</f>
        <v>0</v>
      </c>
      <c r="G2083" s="18">
        <f t="shared" si="52"/>
        <v>0</v>
      </c>
    </row>
    <row r="2084" spans="1:7" ht="15.75" x14ac:dyDescent="0.25">
      <c r="A2084" s="15">
        <f>'PEDIDO 26'!$B$2</f>
        <v>0</v>
      </c>
      <c r="B2084" s="12" t="s">
        <v>456</v>
      </c>
      <c r="C2084" s="1">
        <f>IFERROR(VLOOKUP(1205,'PEDIDO 26'!$C$2:$E$230,3,0),0)</f>
        <v>0</v>
      </c>
      <c r="D2084" s="1">
        <f>IFERROR(VLOOKUP(1206,'PEDIDO 26'!$C$2:$E$230,3,0),0)</f>
        <v>0</v>
      </c>
      <c r="E2084" s="1">
        <f>IFERROR(VLOOKUP(1207,'PEDIDO 26'!$C$2:$E$230,3,0),0)</f>
        <v>0</v>
      </c>
      <c r="F2084" s="1">
        <f>IFERROR(VLOOKUP(1208,'PEDIDO 26'!$C$2:$E$230,3,0),0)</f>
        <v>0</v>
      </c>
      <c r="G2084" s="18">
        <f t="shared" si="52"/>
        <v>0</v>
      </c>
    </row>
    <row r="2085" spans="1:7" ht="15.75" x14ac:dyDescent="0.25">
      <c r="A2085" s="15">
        <f>'PEDIDO 26'!$B$2</f>
        <v>0</v>
      </c>
      <c r="B2085" s="12" t="s">
        <v>457</v>
      </c>
      <c r="C2085" s="1">
        <f>IFERROR(VLOOKUP(1213,'PEDIDO 26'!$C$2:$E$230,3,0),0)</f>
        <v>0</v>
      </c>
      <c r="D2085" s="1">
        <f>IFERROR(VLOOKUP(1214,'PEDIDO 26'!$C$2:$E$230,3,0),0)</f>
        <v>0</v>
      </c>
      <c r="E2085" s="1">
        <f>IFERROR(VLOOKUP(1215,'PEDIDO 26'!$C$2:$E$230,3,0),0)</f>
        <v>0</v>
      </c>
      <c r="F2085" s="10">
        <f>IFERROR(VLOOKUP(1216,'PEDIDO 26'!$C$2:$E$230,3,0),0)</f>
        <v>0</v>
      </c>
      <c r="G2085" s="18">
        <f t="shared" si="52"/>
        <v>0</v>
      </c>
    </row>
    <row r="2086" spans="1:7" ht="15.75" x14ac:dyDescent="0.25">
      <c r="A2086" s="15">
        <f>'PEDIDO 26'!$B$2</f>
        <v>0</v>
      </c>
      <c r="B2086" s="12" t="s">
        <v>458</v>
      </c>
      <c r="C2086" s="1">
        <f>IFERROR(VLOOKUP(1209,'PEDIDO 26'!$C$2:$E$230,3,0),0)</f>
        <v>0</v>
      </c>
      <c r="D2086" s="1">
        <f>IFERROR(VLOOKUP(1210,'PEDIDO 26'!$C$2:$E$230,3,0),0)</f>
        <v>0</v>
      </c>
      <c r="E2086" s="1">
        <f>IFERROR(VLOOKUP(1211,'PEDIDO 26'!$C$2:$E$230,3,0),0)</f>
        <v>0</v>
      </c>
      <c r="F2086" s="1">
        <f>IFERROR(VLOOKUP(1212,'PEDIDO 26'!$C$2:$E$230,3,0),0)</f>
        <v>0</v>
      </c>
      <c r="G2086" s="18">
        <f t="shared" si="52"/>
        <v>0</v>
      </c>
    </row>
    <row r="2087" spans="1:7" ht="15.75" x14ac:dyDescent="0.25">
      <c r="A2087" s="15">
        <f>'PEDIDO 26'!$B$2</f>
        <v>0</v>
      </c>
      <c r="B2087" s="12" t="s">
        <v>459</v>
      </c>
      <c r="C2087" s="1">
        <f>IFERROR(VLOOKUP(1217,'PEDIDO 26'!$C$2:$E$230,3,0),0)</f>
        <v>0</v>
      </c>
      <c r="D2087" s="1">
        <f>IFERROR(VLOOKUP(1218,'PEDIDO 26'!$C$2:$E$230,3,0),0)</f>
        <v>0</v>
      </c>
      <c r="E2087" s="1">
        <f>IFERROR(VLOOKUP(1219,'PEDIDO 26'!$C$2:$E$230,3,0),0)</f>
        <v>0</v>
      </c>
      <c r="F2087" s="1">
        <f>IFERROR(VLOOKUP(1220,'PEDIDO 26'!$C$2:$E$230,3,0),0)</f>
        <v>0</v>
      </c>
      <c r="G2087" s="18">
        <f t="shared" si="52"/>
        <v>0</v>
      </c>
    </row>
    <row r="2088" spans="1:7" ht="15.75" x14ac:dyDescent="0.25">
      <c r="A2088" s="15">
        <f>'PEDIDO 26'!$B$2</f>
        <v>0</v>
      </c>
      <c r="B2088" s="12" t="s">
        <v>461</v>
      </c>
      <c r="C2088" s="1">
        <f>IFERROR(VLOOKUP(1225,'PEDIDO 26'!$C$2:$E$230,3,0),0)</f>
        <v>0</v>
      </c>
      <c r="D2088" s="1">
        <f>IFERROR(VLOOKUP(1226,'PEDIDO 26'!$C$2:$E$230,3,0),0)</f>
        <v>0</v>
      </c>
      <c r="E2088" s="1">
        <f>IFERROR(VLOOKUP(1227,'PEDIDO 26'!$C$2:$E$230,3,0),0)</f>
        <v>0</v>
      </c>
      <c r="F2088" s="1">
        <f>IFERROR(VLOOKUP(1228,'PEDIDO 26'!$C$2:$E$230,3,0),0)</f>
        <v>0</v>
      </c>
      <c r="G2088" s="18">
        <f t="shared" si="52"/>
        <v>0</v>
      </c>
    </row>
    <row r="2089" spans="1:7" ht="15.75" x14ac:dyDescent="0.25">
      <c r="A2089" s="15">
        <f>'PEDIDO 26'!$B$2</f>
        <v>0</v>
      </c>
      <c r="B2089" s="12" t="s">
        <v>462</v>
      </c>
      <c r="C2089" s="1">
        <f>IFERROR(VLOOKUP(1221,'PEDIDO 26'!$C$2:$E$230,3,0),0)</f>
        <v>0</v>
      </c>
      <c r="D2089" s="1">
        <f>IFERROR(VLOOKUP(1222,'PEDIDO 26'!$C$2:$E$230,3,0),0)</f>
        <v>0</v>
      </c>
      <c r="E2089" s="1">
        <f>IFERROR(VLOOKUP(1223,'PEDIDO 26'!$C$2:$E$230,3,0),0)</f>
        <v>0</v>
      </c>
      <c r="F2089" s="1">
        <f>IFERROR(VLOOKUP(1224,'PEDIDO 26'!$C$2:$E$230,3,0),0)</f>
        <v>0</v>
      </c>
      <c r="G2089" s="18">
        <f t="shared" si="52"/>
        <v>0</v>
      </c>
    </row>
    <row r="2090" spans="1:7" ht="15.75" x14ac:dyDescent="0.25">
      <c r="A2090" s="15">
        <f>'PEDIDO 26'!$B$2</f>
        <v>0</v>
      </c>
      <c r="B2090" s="12" t="s">
        <v>460</v>
      </c>
      <c r="C2090" s="1">
        <f>IFERROR(VLOOKUP(1229,'PEDIDO 26'!$C$2:$E$230,3,0),0)</f>
        <v>0</v>
      </c>
      <c r="D2090" s="1">
        <f>IFERROR(VLOOKUP(1230,'PEDIDO 26'!$C$2:$E$230,3,0),0)</f>
        <v>0</v>
      </c>
      <c r="E2090" s="1">
        <f>IFERROR(VLOOKUP(1231,'PEDIDO 26'!$C$2:$E$230,3,0),0)</f>
        <v>0</v>
      </c>
      <c r="F2090" s="1">
        <f>IFERROR(VLOOKUP(1232,'PEDIDO 26'!$C$2:$E$230,3,0),0)</f>
        <v>0</v>
      </c>
      <c r="G2090" s="18">
        <f t="shared" si="52"/>
        <v>0</v>
      </c>
    </row>
    <row r="2091" spans="1:7" ht="15.75" x14ac:dyDescent="0.25">
      <c r="A2091" s="15">
        <f>'PEDIDO 26'!$B$2</f>
        <v>0</v>
      </c>
      <c r="B2091" s="12" t="s">
        <v>463</v>
      </c>
      <c r="C2091" s="1">
        <f>IFERROR(VLOOKUP(1233,'PEDIDO 26'!$C$2:$E$230,3,0),0)</f>
        <v>0</v>
      </c>
      <c r="D2091" s="1">
        <f>IFERROR(VLOOKUP(1234,'PEDIDO 26'!$C$2:$E$230,3,0),0)</f>
        <v>0</v>
      </c>
      <c r="E2091" s="1">
        <f>IFERROR(VLOOKUP(1235,'PEDIDO 26'!$C$2:$E$230,3,0),0)</f>
        <v>0</v>
      </c>
      <c r="F2091" s="1">
        <f>IFERROR(VLOOKUP(1236,'PEDIDO 26'!$C$2:$E$230,3,0),0)</f>
        <v>0</v>
      </c>
      <c r="G2091" s="18">
        <f t="shared" si="52"/>
        <v>0</v>
      </c>
    </row>
    <row r="2092" spans="1:7" ht="15.75" x14ac:dyDescent="0.25">
      <c r="A2092" s="15">
        <f>'PEDIDO 26'!$B$2</f>
        <v>0</v>
      </c>
      <c r="B2092" s="12" t="s">
        <v>464</v>
      </c>
      <c r="C2092" s="1">
        <f>IFERROR(VLOOKUP(1237,'PEDIDO 26'!$C$2:$E$230,3,0),0)</f>
        <v>0</v>
      </c>
      <c r="D2092" s="1">
        <f>IFERROR(VLOOKUP(1238,'PEDIDO 26'!$C$2:$E$230,3,0),0)</f>
        <v>0</v>
      </c>
      <c r="E2092" s="1">
        <f>IFERROR(VLOOKUP(1239,'PEDIDO 26'!$C$2:$E$230,3,0),0)</f>
        <v>0</v>
      </c>
      <c r="F2092" s="1">
        <f>IFERROR(VLOOKUP(1240,'PEDIDO 26'!$C$2:$E$230,3,0),0)</f>
        <v>0</v>
      </c>
      <c r="G2092" s="18">
        <f t="shared" ref="G2092:G2104" si="53">SUM(C2092+D2092+E2092+F2092)</f>
        <v>0</v>
      </c>
    </row>
    <row r="2093" spans="1:7" ht="15.75" x14ac:dyDescent="0.25">
      <c r="A2093" s="15">
        <f>'PEDIDO 26'!$B$2</f>
        <v>0</v>
      </c>
      <c r="B2093" s="12" t="s">
        <v>465</v>
      </c>
      <c r="C2093" s="1">
        <f>IFERROR(VLOOKUP(1241,'PEDIDO 26'!$C$2:$E$230,3,0),0)</f>
        <v>0</v>
      </c>
      <c r="D2093" s="1">
        <f>IFERROR(VLOOKUP(1242,'PEDIDO 26'!$C$2:$E$230,3,0),0)</f>
        <v>0</v>
      </c>
      <c r="E2093" s="1">
        <f>IFERROR(VLOOKUP(1243,'PEDIDO 26'!$C$2:$E$230,3,0),0)</f>
        <v>0</v>
      </c>
      <c r="F2093" s="1">
        <f>IFERROR(VLOOKUP(1244,'PEDIDO 26'!$C$2:$E$230,3,0),0)</f>
        <v>0</v>
      </c>
      <c r="G2093" s="18">
        <f t="shared" si="53"/>
        <v>0</v>
      </c>
    </row>
    <row r="2094" spans="1:7" ht="15.75" x14ac:dyDescent="0.25">
      <c r="A2094" s="15">
        <f>'PEDIDO 26'!$B$2</f>
        <v>0</v>
      </c>
      <c r="B2094" s="12" t="s">
        <v>466</v>
      </c>
      <c r="C2094" s="1">
        <f>IFERROR(VLOOKUP(1245,'PEDIDO 26'!$C$2:$E$230,3,0),0)</f>
        <v>0</v>
      </c>
      <c r="D2094" s="1">
        <f>IFERROR(VLOOKUP(1246,'PEDIDO 26'!$C$2:$E$230,3,0),0)</f>
        <v>0</v>
      </c>
      <c r="E2094" s="1">
        <f>IFERROR(VLOOKUP(1247,'PEDIDO 26'!$C$2:$E$230,3,0),0)</f>
        <v>0</v>
      </c>
      <c r="F2094" s="1">
        <f>IFERROR(VLOOKUP(1248,'PEDIDO 26'!$C$2:$E$230,3,0),0)</f>
        <v>0</v>
      </c>
      <c r="G2094" s="18">
        <f t="shared" si="53"/>
        <v>0</v>
      </c>
    </row>
    <row r="2095" spans="1:7" ht="15.75" x14ac:dyDescent="0.25">
      <c r="A2095" s="15">
        <f>'PEDIDO 26'!$B$2</f>
        <v>0</v>
      </c>
      <c r="B2095" s="12" t="s">
        <v>467</v>
      </c>
      <c r="C2095" s="1">
        <f>IFERROR(VLOOKUP(25714,'PEDIDO 26'!$C$2:$E$230,3,0),0)</f>
        <v>0</v>
      </c>
      <c r="D2095" s="1"/>
      <c r="E2095" s="1"/>
      <c r="F2095" s="1"/>
      <c r="G2095" s="18">
        <f t="shared" si="53"/>
        <v>0</v>
      </c>
    </row>
    <row r="2096" spans="1:7" ht="15.75" x14ac:dyDescent="0.25">
      <c r="A2096" s="15">
        <f>'PEDIDO 26'!$B$2</f>
        <v>0</v>
      </c>
      <c r="B2096" s="12" t="s">
        <v>468</v>
      </c>
      <c r="C2096" s="1">
        <f>IFERROR(VLOOKUP(25712,'PEDIDO 26'!$C$2:$E$230,3,0),0)</f>
        <v>0</v>
      </c>
      <c r="D2096" s="1"/>
      <c r="E2096" s="1"/>
      <c r="F2096" s="1"/>
      <c r="G2096" s="18">
        <f t="shared" si="53"/>
        <v>0</v>
      </c>
    </row>
    <row r="2097" spans="1:7" ht="15.75" x14ac:dyDescent="0.25">
      <c r="A2097" s="15">
        <f>'PEDIDO 26'!$B$2</f>
        <v>0</v>
      </c>
      <c r="B2097" s="12" t="s">
        <v>469</v>
      </c>
      <c r="C2097" s="1">
        <f>IFERROR(VLOOKUP(25713,'PEDIDO 26'!$C$2:$E$230,3,0),0)</f>
        <v>0</v>
      </c>
      <c r="D2097" s="1"/>
      <c r="E2097" s="1"/>
      <c r="F2097" s="1"/>
      <c r="G2097" s="18">
        <f t="shared" si="53"/>
        <v>0</v>
      </c>
    </row>
    <row r="2098" spans="1:7" ht="15.75" x14ac:dyDescent="0.25">
      <c r="A2098" s="15">
        <f>'PEDIDO 26'!$B$2</f>
        <v>0</v>
      </c>
      <c r="B2098" s="12" t="s">
        <v>470</v>
      </c>
      <c r="C2098" s="1">
        <f>IFERROR(VLOOKUP(1260,'PEDIDO 26'!$C$2:$E$230,3,0),0)</f>
        <v>0</v>
      </c>
      <c r="D2098" s="1"/>
      <c r="E2098" s="1"/>
      <c r="F2098" s="1"/>
      <c r="G2098" s="18">
        <f t="shared" si="53"/>
        <v>0</v>
      </c>
    </row>
    <row r="2099" spans="1:7" ht="15.75" x14ac:dyDescent="0.25">
      <c r="A2099" s="15">
        <f>'PEDIDO 26'!$B$2</f>
        <v>0</v>
      </c>
      <c r="B2099" s="12" t="s">
        <v>471</v>
      </c>
      <c r="C2099" s="1">
        <f>IFERROR(VLOOKUP(1261,'PEDIDO 26'!$C$2:$E$230,3,0),0)</f>
        <v>0</v>
      </c>
      <c r="D2099" s="1"/>
      <c r="E2099" s="1"/>
      <c r="F2099" s="1"/>
      <c r="G2099" s="18">
        <f t="shared" si="53"/>
        <v>0</v>
      </c>
    </row>
    <row r="2100" spans="1:7" ht="15.75" x14ac:dyDescent="0.25">
      <c r="A2100" s="15">
        <f>'PEDIDO 26'!$B$2</f>
        <v>0</v>
      </c>
      <c r="B2100" s="12" t="s">
        <v>472</v>
      </c>
      <c r="C2100" s="1">
        <f>IFERROR(VLOOKUP(1262,'PEDIDO 26'!$C$2:$E$230,3,0),0)</f>
        <v>0</v>
      </c>
      <c r="D2100" s="1"/>
      <c r="E2100" s="1"/>
      <c r="F2100" s="1"/>
      <c r="G2100" s="18">
        <f t="shared" si="53"/>
        <v>0</v>
      </c>
    </row>
    <row r="2101" spans="1:7" ht="15.75" x14ac:dyDescent="0.25">
      <c r="A2101" s="15">
        <f>'PEDIDO 26'!$B$2</f>
        <v>0</v>
      </c>
      <c r="B2101" s="12" t="s">
        <v>473</v>
      </c>
      <c r="C2101" s="1">
        <f>IFERROR(VLOOKUP(1263,'PEDIDO 26'!$C$2:$E$230,3,0),0)</f>
        <v>0</v>
      </c>
      <c r="D2101" s="1"/>
      <c r="E2101" s="1"/>
      <c r="F2101" s="1"/>
      <c r="G2101" s="18">
        <f t="shared" si="53"/>
        <v>0</v>
      </c>
    </row>
    <row r="2102" spans="1:7" ht="15.75" x14ac:dyDescent="0.25">
      <c r="A2102" s="15">
        <f>'PEDIDO 26'!$B$2</f>
        <v>0</v>
      </c>
      <c r="B2102" s="12" t="s">
        <v>474</v>
      </c>
      <c r="C2102" s="1">
        <f>IFERROR(VLOOKUP(1264,'PEDIDO 26'!$C$2:$E$230,3,0),0)</f>
        <v>0</v>
      </c>
      <c r="D2102" s="1"/>
      <c r="E2102" s="1"/>
      <c r="F2102" s="1"/>
      <c r="G2102" s="18">
        <f t="shared" si="53"/>
        <v>0</v>
      </c>
    </row>
    <row r="2103" spans="1:7" ht="15.75" x14ac:dyDescent="0.25">
      <c r="A2103" s="15">
        <f>'PEDIDO 26'!$B$2</f>
        <v>0</v>
      </c>
      <c r="B2103" s="12" t="s">
        <v>475</v>
      </c>
      <c r="C2103" s="1">
        <f>IFERROR(VLOOKUP(1265,'PEDIDO 26'!$C$2:$E$230,3,0),0)</f>
        <v>0</v>
      </c>
      <c r="D2103" s="1"/>
      <c r="E2103" s="1"/>
      <c r="F2103" s="1"/>
      <c r="G2103" s="18">
        <f t="shared" si="53"/>
        <v>0</v>
      </c>
    </row>
    <row r="2104" spans="1:7" ht="15.75" x14ac:dyDescent="0.25">
      <c r="A2104" s="15">
        <f>'PEDIDO 26'!$B$2</f>
        <v>0</v>
      </c>
      <c r="B2104" s="12" t="s">
        <v>476</v>
      </c>
      <c r="C2104" s="1">
        <f>IFERROR(VLOOKUP(1266,'PEDIDO 26'!$C$2:$E$230,3,0),0)</f>
        <v>0</v>
      </c>
      <c r="D2104" s="1"/>
      <c r="E2104" s="1"/>
      <c r="F2104" s="1"/>
      <c r="G2104" s="18">
        <f t="shared" si="53"/>
        <v>0</v>
      </c>
    </row>
    <row r="2105" spans="1:7" ht="15.75" x14ac:dyDescent="0.25">
      <c r="A2105" s="15">
        <f>'PEDIDO 26'!$B$2</f>
        <v>0</v>
      </c>
      <c r="B2105" s="12" t="s">
        <v>477</v>
      </c>
      <c r="C2105" s="1">
        <f>IFERROR(VLOOKUP(1268,'PEDIDO 26'!$C$2:$E$230,3,0),0)</f>
        <v>0</v>
      </c>
      <c r="D2105" s="1">
        <f>IFERROR(VLOOKUP(1269,'PEDIDO 26'!$C$2:$E$230,3,0),0)</f>
        <v>0</v>
      </c>
      <c r="E2105" s="1">
        <f>IFERROR(VLOOKUP(1270,'PEDIDO 26'!$C$2:$E$230,3,0),0)</f>
        <v>0</v>
      </c>
      <c r="F2105" s="1">
        <f>IFERROR(VLOOKUP(1271,'PEDIDO 26'!$C$2:$E$230,3,0),0)</f>
        <v>0</v>
      </c>
      <c r="G2105" s="18">
        <f t="shared" ref="G2105" si="54">SUM(C2105+D2105+E2105+F2105)</f>
        <v>0</v>
      </c>
    </row>
    <row r="2108" spans="1:7" ht="15.75" x14ac:dyDescent="0.25">
      <c r="A2108" s="15">
        <f>'PEDIDO 27'!$B$2</f>
        <v>0</v>
      </c>
      <c r="B2108" s="12" t="s">
        <v>399</v>
      </c>
      <c r="C2108" s="1">
        <f>IFERROR(VLOOKUP(1,'PEDIDO 27'!$C$2:$E$230,3,0),0)</f>
        <v>0</v>
      </c>
      <c r="D2108" s="1">
        <f>IFERROR(VLOOKUP(2,'PEDIDO 27'!$C$2:$E$230,3,0),0)</f>
        <v>0</v>
      </c>
      <c r="E2108" s="1">
        <f>IFERROR(VLOOKUP(3,'PEDIDO 27'!$C$2:$E$230,3,0),0)</f>
        <v>0</v>
      </c>
      <c r="F2108" s="1">
        <f>IFERROR(VLOOKUP(282,'PEDIDO 27'!$C$2:$E$230,3,0),0)</f>
        <v>0</v>
      </c>
      <c r="G2108" s="18">
        <f>SUM(C2108+D2108+E2108+F2108)</f>
        <v>0</v>
      </c>
    </row>
    <row r="2109" spans="1:7" ht="15.75" x14ac:dyDescent="0.25">
      <c r="A2109" s="15">
        <f>'PEDIDO 27'!$B$2</f>
        <v>0</v>
      </c>
      <c r="B2109" s="12" t="s">
        <v>400</v>
      </c>
      <c r="C2109" s="1">
        <f>IFERROR(VLOOKUP(5,'PEDIDO 27'!$C$2:$E$230,3,0),0)</f>
        <v>0</v>
      </c>
      <c r="D2109" s="1">
        <f>IFERROR(VLOOKUP(6,'PEDIDO 27'!$C$2:$E$230,3,0),0)</f>
        <v>0</v>
      </c>
      <c r="E2109" s="1">
        <f>IFERROR(VLOOKUP(7,'PEDIDO 27'!$C$2:$E$230,3,0),0)</f>
        <v>0</v>
      </c>
      <c r="F2109" s="1">
        <f>IFERROR(VLOOKUP(258,'PEDIDO 27'!$C$2:$E$230,3,0),0)</f>
        <v>0</v>
      </c>
      <c r="G2109" s="18">
        <f t="shared" ref="G2109:G2172" si="55">SUM(C2109+D2109+E2109+F2109)</f>
        <v>0</v>
      </c>
    </row>
    <row r="2110" spans="1:7" ht="15.75" x14ac:dyDescent="0.25">
      <c r="A2110" s="15">
        <f>'PEDIDO 27'!$B$2</f>
        <v>0</v>
      </c>
      <c r="B2110" s="12" t="s">
        <v>401</v>
      </c>
      <c r="C2110" s="1">
        <f>IFERROR(VLOOKUP(13,'PEDIDO 27'!$C$2:$E$230,3,0),0)</f>
        <v>0</v>
      </c>
      <c r="D2110" s="1">
        <f>IFERROR(VLOOKUP(14,'PEDIDO 27'!$C$2:$E$230,3,0),0)</f>
        <v>0</v>
      </c>
      <c r="E2110" s="1">
        <f>IFERROR(VLOOKUP(15,'PEDIDO 27'!$C$2:$E$230,3,0),0)</f>
        <v>0</v>
      </c>
      <c r="F2110" s="1">
        <f>IFERROR(VLOOKUP(289,'PEDIDO 27'!$C$2:$E$230,3,0),0)</f>
        <v>0</v>
      </c>
      <c r="G2110" s="18">
        <f t="shared" si="55"/>
        <v>0</v>
      </c>
    </row>
    <row r="2111" spans="1:7" ht="15.75" x14ac:dyDescent="0.25">
      <c r="A2111" s="15">
        <f>'PEDIDO 27'!$B$2</f>
        <v>0</v>
      </c>
      <c r="B2111" s="12" t="s">
        <v>402</v>
      </c>
      <c r="C2111" s="1">
        <f>IFERROR(VLOOKUP(267,'PEDIDO 27'!$C$2:$E$230,3,0),0)</f>
        <v>0</v>
      </c>
      <c r="D2111" s="1">
        <f>IFERROR(VLOOKUP(268,'PEDIDO 27'!$C$2:$E$230,3,0),0)</f>
        <v>0</v>
      </c>
      <c r="E2111" s="1">
        <f>IFERROR(VLOOKUP(270,'PEDIDO 27'!$C$2:$E$230,3,0),0)</f>
        <v>0</v>
      </c>
      <c r="F2111" s="1">
        <f>IFERROR(VLOOKUP(269,'PEDIDO 27'!$C$2:$E$230,3,0),0)</f>
        <v>0</v>
      </c>
      <c r="G2111" s="18">
        <f t="shared" si="55"/>
        <v>0</v>
      </c>
    </row>
    <row r="2112" spans="1:7" ht="15.75" x14ac:dyDescent="0.25">
      <c r="A2112" s="15">
        <f>'PEDIDO 27'!$B$2</f>
        <v>0</v>
      </c>
      <c r="B2112" s="12" t="s">
        <v>403</v>
      </c>
      <c r="C2112" s="1">
        <f>IFERROR(VLOOKUP(17,'PEDIDO 27'!$C$2:$E$230,3,0),0)</f>
        <v>0</v>
      </c>
      <c r="D2112" s="1">
        <f>IFERROR(VLOOKUP(18,'PEDIDO 27'!$C$2:$E$230,3,0),0)</f>
        <v>0</v>
      </c>
      <c r="E2112" s="1">
        <f>IFERROR(VLOOKUP(19,'PEDIDO 27'!$C$2:$E$230,3,0),0)</f>
        <v>0</v>
      </c>
      <c r="F2112" s="1">
        <f>IFERROR(VLOOKUP(290,'PEDIDO 27'!$C$2:$E$230,3,0),0)</f>
        <v>0</v>
      </c>
      <c r="G2112" s="18">
        <f t="shared" si="55"/>
        <v>0</v>
      </c>
    </row>
    <row r="2113" spans="1:7" ht="15.75" x14ac:dyDescent="0.25">
      <c r="A2113" s="15">
        <f>'PEDIDO 27'!$B$2</f>
        <v>0</v>
      </c>
      <c r="B2113" s="12" t="s">
        <v>404</v>
      </c>
      <c r="C2113" s="1">
        <f>IFERROR(VLOOKUP(23,'PEDIDO 27'!$C$2:$E$230,3,0),0)</f>
        <v>0</v>
      </c>
      <c r="D2113" s="1">
        <f>IFERROR(VLOOKUP(24,'PEDIDO 27'!$C$2:$E$230,3,0),0)</f>
        <v>0</v>
      </c>
      <c r="E2113" s="1">
        <f>IFERROR(VLOOKUP(25,'PEDIDO 27'!$C$2:$E$230,3,0),0)</f>
        <v>0</v>
      </c>
      <c r="F2113" s="1">
        <f>IFERROR(VLOOKUP(291,'PEDIDO 27'!$C$2:$E$230,3,0),0)</f>
        <v>0</v>
      </c>
      <c r="G2113" s="18">
        <f t="shared" si="55"/>
        <v>0</v>
      </c>
    </row>
    <row r="2114" spans="1:7" ht="15.75" x14ac:dyDescent="0.25">
      <c r="A2114" s="15">
        <f>'PEDIDO 27'!$B$2</f>
        <v>0</v>
      </c>
      <c r="B2114" s="12" t="s">
        <v>405</v>
      </c>
      <c r="C2114" s="1">
        <f>IFERROR(VLOOKUP(27,'PEDIDO 27'!$C$2:$E$230,3,0),0)</f>
        <v>0</v>
      </c>
      <c r="D2114" s="1">
        <f>IFERROR(VLOOKUP(28,'PEDIDO 27'!$C$2:$E$230,3,0),0)</f>
        <v>0</v>
      </c>
      <c r="E2114" s="1">
        <f>IFERROR(VLOOKUP(29,'PEDIDO 27'!$C$2:$E$230,3,0),0)</f>
        <v>0</v>
      </c>
      <c r="F2114" s="1">
        <f>IFERROR(VLOOKUP(292,'PEDIDO 27'!$C$2:$E$230,3,0),0)</f>
        <v>0</v>
      </c>
      <c r="G2114" s="18">
        <f t="shared" si="55"/>
        <v>0</v>
      </c>
    </row>
    <row r="2115" spans="1:7" ht="15.75" x14ac:dyDescent="0.25">
      <c r="A2115" s="15">
        <f>'PEDIDO 27'!$B$2</f>
        <v>0</v>
      </c>
      <c r="B2115" s="12" t="s">
        <v>406</v>
      </c>
      <c r="C2115" s="1">
        <f>IFERROR(VLOOKUP(227,'PEDIDO 27'!$C$2:$E$230,3,0),0)</f>
        <v>0</v>
      </c>
      <c r="D2115" s="1">
        <f>IFERROR(VLOOKUP(228,'PEDIDO 27'!$C$2:$E$230,3,0),0)</f>
        <v>0</v>
      </c>
      <c r="E2115" s="1">
        <f>IFERROR(VLOOKUP(229,'PEDIDO 27'!$C$2:$E$230,3,0),0)</f>
        <v>0</v>
      </c>
      <c r="F2115" s="1">
        <f>IFERROR(VLOOKUP(230,'PEDIDO 27'!$C$2:$E$230,3,0),0)</f>
        <v>0</v>
      </c>
      <c r="G2115" s="18">
        <f t="shared" si="55"/>
        <v>0</v>
      </c>
    </row>
    <row r="2116" spans="1:7" ht="15.75" x14ac:dyDescent="0.25">
      <c r="A2116" s="15">
        <f>'PEDIDO 27'!$B$2</f>
        <v>0</v>
      </c>
      <c r="B2116" s="12" t="s">
        <v>407</v>
      </c>
      <c r="C2116" s="1">
        <f>IFERROR(VLOOKUP(231,'PEDIDO 27'!$C$2:$E$230,3,0),0)</f>
        <v>0</v>
      </c>
      <c r="D2116" s="1">
        <f>IFERROR(VLOOKUP(232,'PEDIDO 27'!$C$2:$E$230,3,0),0)</f>
        <v>0</v>
      </c>
      <c r="E2116" s="1">
        <f>IFERROR(VLOOKUP(234,'PEDIDO 27'!$C$2:$E$230,3,0),0)</f>
        <v>0</v>
      </c>
      <c r="F2116" s="1">
        <f>IFERROR(VLOOKUP(233,'PEDIDO 27'!$C$2:$E$230,3,0),0)</f>
        <v>0</v>
      </c>
      <c r="G2116" s="18">
        <f t="shared" si="55"/>
        <v>0</v>
      </c>
    </row>
    <row r="2117" spans="1:7" ht="15.75" x14ac:dyDescent="0.25">
      <c r="A2117" s="15">
        <f>'PEDIDO 27'!$B$2</f>
        <v>0</v>
      </c>
      <c r="B2117" s="12" t="s">
        <v>408</v>
      </c>
      <c r="C2117" s="1">
        <f>IFERROR(VLOOKUP(237,'PEDIDO 27'!$C$2:$E$230,3,0),0)</f>
        <v>0</v>
      </c>
      <c r="D2117" s="1">
        <f>IFERROR(VLOOKUP(238,'PEDIDO 27'!$C$2:$E$230,3,0),0)</f>
        <v>0</v>
      </c>
      <c r="E2117" s="1">
        <f>IFERROR(VLOOKUP(240,'PEDIDO 27'!$C$2:$E$230,3,0),0)</f>
        <v>0</v>
      </c>
      <c r="F2117" s="1">
        <f>IFERROR(VLOOKUP(239,'PEDIDO 27'!$C$2:$E$230,3,0),0)</f>
        <v>0</v>
      </c>
      <c r="G2117" s="18">
        <f t="shared" si="55"/>
        <v>0</v>
      </c>
    </row>
    <row r="2118" spans="1:7" ht="15.75" x14ac:dyDescent="0.25">
      <c r="A2118" s="15">
        <f>'PEDIDO 27'!$B$2</f>
        <v>0</v>
      </c>
      <c r="B2118" s="12" t="s">
        <v>409</v>
      </c>
      <c r="C2118" s="1">
        <f>IFERROR(VLOOKUP(25707,'PEDIDO 27'!$C$2:$E$230,3,0),0)</f>
        <v>0</v>
      </c>
      <c r="D2118" s="1">
        <f>IFERROR(VLOOKUP(25708,'PEDIDO 27'!$C$2:$E$230,3,0),0)</f>
        <v>0</v>
      </c>
      <c r="E2118" s="1">
        <f>IFERROR(VLOOKUP(25710,'PEDIDO 27'!$C$2:$E$230,3,0),0)</f>
        <v>0</v>
      </c>
      <c r="F2118" s="1">
        <f>IFERROR(VLOOKUP(25709,'PEDIDO 27'!$C$2:$E$230,3,0),0)</f>
        <v>0</v>
      </c>
      <c r="G2118" s="18">
        <f t="shared" si="55"/>
        <v>0</v>
      </c>
    </row>
    <row r="2119" spans="1:7" ht="15.75" x14ac:dyDescent="0.25">
      <c r="A2119" s="15">
        <f>'PEDIDO 27'!$B$2</f>
        <v>0</v>
      </c>
      <c r="B2119" s="12" t="s">
        <v>410</v>
      </c>
      <c r="C2119" s="1">
        <f>IFERROR(VLOOKUP(25711,'PEDIDO 27'!$C$2:$E$230,3,0),0)</f>
        <v>0</v>
      </c>
      <c r="D2119" s="1"/>
      <c r="E2119" s="1"/>
      <c r="F2119" s="1"/>
      <c r="G2119" s="18">
        <f t="shared" si="55"/>
        <v>0</v>
      </c>
    </row>
    <row r="2120" spans="1:7" ht="15.75" x14ac:dyDescent="0.25">
      <c r="A2120" s="15">
        <f>'PEDIDO 27'!$B$2</f>
        <v>0</v>
      </c>
      <c r="B2120" s="12" t="s">
        <v>411</v>
      </c>
      <c r="C2120" s="1">
        <f>IFERROR(VLOOKUP(35,'PEDIDO 27'!$C$2:$E$230,3,0),0)</f>
        <v>0</v>
      </c>
      <c r="D2120" s="1">
        <f>IFERROR(VLOOKUP(36,'PEDIDO 27'!$C$2:$E$230,3,0),0)</f>
        <v>0</v>
      </c>
      <c r="E2120" s="1">
        <f>IFERROR(VLOOKUP(37,'PEDIDO 27'!$C$2:$E$230,3,0),0)</f>
        <v>0</v>
      </c>
      <c r="F2120" s="1">
        <f>IFERROR(VLOOKUP(294,'PEDIDO 27'!$C$2:$E$230,3,0),0)</f>
        <v>0</v>
      </c>
      <c r="G2120" s="18">
        <f t="shared" si="55"/>
        <v>0</v>
      </c>
    </row>
    <row r="2121" spans="1:7" ht="15.75" x14ac:dyDescent="0.25">
      <c r="A2121" s="15">
        <f>'PEDIDO 27'!$B$2</f>
        <v>0</v>
      </c>
      <c r="B2121" s="12" t="s">
        <v>412</v>
      </c>
      <c r="C2121" s="1">
        <f>IFERROR(VLOOKUP(39,'PEDIDO 27'!$C$2:$E$230,3,0),0)</f>
        <v>0</v>
      </c>
      <c r="D2121" s="1">
        <f>IFERROR(VLOOKUP(40,'PEDIDO 27'!$C$2:$E$230,3,0),0)</f>
        <v>0</v>
      </c>
      <c r="E2121" s="1">
        <f>IFERROR(VLOOKUP(42,'PEDIDO 27'!$C$2:$E$230,3,0),0)</f>
        <v>0</v>
      </c>
      <c r="F2121" s="1">
        <f>IFERROR(VLOOKUP(295,'PEDIDO 27'!$C$2:$E$230,3,0),0)</f>
        <v>0</v>
      </c>
      <c r="G2121" s="18">
        <f t="shared" si="55"/>
        <v>0</v>
      </c>
    </row>
    <row r="2122" spans="1:7" ht="15.75" x14ac:dyDescent="0.25">
      <c r="A2122" s="15">
        <f>'PEDIDO 27'!$B$2</f>
        <v>0</v>
      </c>
      <c r="B2122" s="12" t="s">
        <v>413</v>
      </c>
      <c r="C2122" s="1">
        <f>IFERROR(VLOOKUP(44,'PEDIDO 27'!$C$2:$E$230,3,0),0)</f>
        <v>0</v>
      </c>
      <c r="D2122" s="1">
        <f>IFERROR(VLOOKUP(45,'PEDIDO 27'!$C$2:$E$230,3,0),0)</f>
        <v>0</v>
      </c>
      <c r="E2122" s="1">
        <f>IFERROR(VLOOKUP(46,'PEDIDO 27'!$C$2:$E$230,3,0),0)</f>
        <v>0</v>
      </c>
      <c r="F2122" s="1">
        <f>IFERROR(VLOOKUP(283,'PEDIDO 27'!$C$2:$E$230,3,0),0)</f>
        <v>0</v>
      </c>
      <c r="G2122" s="18">
        <f t="shared" si="55"/>
        <v>0</v>
      </c>
    </row>
    <row r="2123" spans="1:7" ht="15.75" x14ac:dyDescent="0.25">
      <c r="A2123" s="15">
        <f>'PEDIDO 27'!$B$2</f>
        <v>0</v>
      </c>
      <c r="B2123" s="12" t="s">
        <v>414</v>
      </c>
      <c r="C2123" s="1">
        <f>IFERROR(VLOOKUP(48,'PEDIDO 27'!$C$2:$E$230,3,0),0)</f>
        <v>0</v>
      </c>
      <c r="D2123" s="1">
        <f>IFERROR(VLOOKUP(49,'PEDIDO 27'!$C$2:$E$230,3,0),0)</f>
        <v>0</v>
      </c>
      <c r="E2123" s="1">
        <f>IFERROR(VLOOKUP(50,'PEDIDO 27'!$C$2:$E$230,3,0),0)</f>
        <v>0</v>
      </c>
      <c r="F2123" s="1">
        <f>IFERROR(VLOOKUP(298,'PEDIDO 27'!$C$2:$E$230,3,0),0)</f>
        <v>0</v>
      </c>
      <c r="G2123" s="18">
        <f t="shared" si="55"/>
        <v>0</v>
      </c>
    </row>
    <row r="2124" spans="1:7" ht="15.75" x14ac:dyDescent="0.25">
      <c r="A2124" s="15">
        <f>'PEDIDO 27'!$B$2</f>
        <v>0</v>
      </c>
      <c r="B2124" s="12" t="s">
        <v>415</v>
      </c>
      <c r="C2124" s="1">
        <f>IFERROR(VLOOKUP(52,'PEDIDO 27'!$C$2:$E$230,3,0),0)</f>
        <v>0</v>
      </c>
      <c r="D2124" s="1">
        <f>IFERROR(VLOOKUP(53,'PEDIDO 27'!$C$2:$E$230,3,0),0)</f>
        <v>0</v>
      </c>
      <c r="E2124" s="1">
        <f>IFERROR(VLOOKUP(54,'PEDIDO 27'!$C$2:$E$230,3,0),0)</f>
        <v>0</v>
      </c>
      <c r="F2124" s="1">
        <f>IFERROR(VLOOKUP(299,'PEDIDO 27'!$C$2:$E$230,3,0),0)</f>
        <v>0</v>
      </c>
      <c r="G2124" s="18">
        <f t="shared" si="55"/>
        <v>0</v>
      </c>
    </row>
    <row r="2125" spans="1:7" ht="15.75" x14ac:dyDescent="0.25">
      <c r="A2125" s="15">
        <f>'PEDIDO 27'!$B$2</f>
        <v>0</v>
      </c>
      <c r="B2125" s="12" t="s">
        <v>416</v>
      </c>
      <c r="C2125" s="1">
        <f>IFERROR(VLOOKUP(56,'PEDIDO 27'!$C$2:$E$230,3,0),0)</f>
        <v>0</v>
      </c>
      <c r="D2125" s="1">
        <f>IFERROR(VLOOKUP(61,'PEDIDO 27'!$C$2:$E$230,3,0),0)</f>
        <v>0</v>
      </c>
      <c r="E2125" s="1">
        <f>IFERROR(VLOOKUP(58,'PEDIDO 27'!$C$2:$E$230,3,0),0)</f>
        <v>0</v>
      </c>
      <c r="F2125" s="1">
        <f>IFERROR(VLOOKUP(300,'PEDIDO 27'!$C$2:$E$230,3,0),0)</f>
        <v>0</v>
      </c>
      <c r="G2125" s="18">
        <f t="shared" si="55"/>
        <v>0</v>
      </c>
    </row>
    <row r="2126" spans="1:7" ht="15.75" x14ac:dyDescent="0.25">
      <c r="A2126" s="15">
        <f>'PEDIDO 27'!$B$2</f>
        <v>0</v>
      </c>
      <c r="B2126" s="12" t="s">
        <v>417</v>
      </c>
      <c r="C2126" s="1">
        <f>IFERROR(VLOOKUP(60,'PEDIDO 27'!$C$2:$E$230,3,0),0)</f>
        <v>0</v>
      </c>
      <c r="D2126" s="1">
        <f>IFERROR(VLOOKUP(120,'PEDIDO 27'!$C$2:$E$230,3,0),0)</f>
        <v>0</v>
      </c>
      <c r="E2126" s="1">
        <f>IFERROR(VLOOKUP(62,'PEDIDO 27'!$C$2:$E$230,3,0),0)</f>
        <v>0</v>
      </c>
      <c r="F2126" s="1">
        <f>IFERROR(VLOOKUP(301,'PEDIDO 27'!$C$2:$E$230,3,0),0)</f>
        <v>0</v>
      </c>
      <c r="G2126" s="18">
        <f t="shared" si="55"/>
        <v>0</v>
      </c>
    </row>
    <row r="2127" spans="1:7" ht="15.75" x14ac:dyDescent="0.25">
      <c r="A2127" s="15">
        <f>'PEDIDO 27'!$B$2</f>
        <v>0</v>
      </c>
      <c r="B2127" s="12" t="s">
        <v>426</v>
      </c>
      <c r="C2127" s="1">
        <f>IFERROR(VLOOKUP(112,'PEDIDO 27'!$C$2:$E$230,3,0),0)</f>
        <v>0</v>
      </c>
      <c r="D2127" s="1">
        <f>IFERROR(VLOOKUP(113,'PEDIDO 27'!$C$2:$E$230,3,0),0)</f>
        <v>0</v>
      </c>
      <c r="E2127" s="1">
        <f>IFERROR(VLOOKUP(114,'PEDIDO 27'!$C$2:$E$230,3,0),0)</f>
        <v>0</v>
      </c>
      <c r="F2127" s="1">
        <f>IFERROR(VLOOKUP(296,'PEDIDO 27'!$C$2:$E$230,3,0),0)</f>
        <v>0</v>
      </c>
      <c r="G2127" s="18">
        <f t="shared" si="55"/>
        <v>0</v>
      </c>
    </row>
    <row r="2128" spans="1:7" ht="15.75" x14ac:dyDescent="0.25">
      <c r="A2128" s="15">
        <f>'PEDIDO 27'!$B$2</f>
        <v>0</v>
      </c>
      <c r="B2128" s="12" t="s">
        <v>427</v>
      </c>
      <c r="C2128" s="1">
        <f>IFERROR(VLOOKUP(116,'PEDIDO 27'!$C$2:$E$230,3,0),0)</f>
        <v>0</v>
      </c>
      <c r="D2128" s="1">
        <f>IFERROR(VLOOKUP(117,'PEDIDO 27'!$C$2:$E$230,3,0),0)</f>
        <v>0</v>
      </c>
      <c r="E2128" s="1">
        <f>IFERROR(VLOOKUP(118,'PEDIDO 27'!$C$2:$E$230,3,0),0)</f>
        <v>0</v>
      </c>
      <c r="F2128" s="1">
        <f>IFERROR(VLOOKUP(293,'PEDIDO 27'!$C$2:$E$230,3,0),0)</f>
        <v>0</v>
      </c>
      <c r="G2128" s="18">
        <f t="shared" si="55"/>
        <v>0</v>
      </c>
    </row>
    <row r="2129" spans="1:7" ht="15.75" x14ac:dyDescent="0.25">
      <c r="A2129" s="15">
        <f>'PEDIDO 27'!$B$2</f>
        <v>0</v>
      </c>
      <c r="B2129" s="12" t="s">
        <v>418</v>
      </c>
      <c r="C2129" s="1">
        <f>IFERROR(VLOOKUP(963,'PEDIDO 27'!$C$2:$E$230,3,0),0)</f>
        <v>0</v>
      </c>
      <c r="D2129" s="1">
        <f>IFERROR(VLOOKUP(965,'PEDIDO 27'!$C$2:$E$230,3,0),0)</f>
        <v>0</v>
      </c>
      <c r="E2129" s="1">
        <f>IFERROR(VLOOKUP(966,'PEDIDO 27'!$C$2:$E$230,3,0),0)</f>
        <v>0</v>
      </c>
      <c r="F2129" s="1">
        <f>IFERROR(VLOOKUP(964,'PEDIDO 27'!$C$2:$E$230,3,0),0)</f>
        <v>0</v>
      </c>
      <c r="G2129" s="18">
        <f t="shared" si="55"/>
        <v>0</v>
      </c>
    </row>
    <row r="2130" spans="1:7" ht="15.75" x14ac:dyDescent="0.25">
      <c r="A2130" s="15">
        <f>'PEDIDO 27'!$B$2</f>
        <v>0</v>
      </c>
      <c r="B2130" s="12" t="s">
        <v>419</v>
      </c>
      <c r="C2130" s="1">
        <f>IFERROR(VLOOKUP(2042,'PEDIDO 27'!$C$2:$E$230,3,0),0)</f>
        <v>0</v>
      </c>
      <c r="D2130" s="1">
        <f>IFERROR(VLOOKUP(2041,'PEDIDO 27'!$C$2:$E$230,3,0),0)</f>
        <v>0</v>
      </c>
      <c r="E2130" s="1">
        <f>IFERROR(VLOOKUP(2043,'PEDIDO 27'!$C$2:$E$230,3,0),0)</f>
        <v>0</v>
      </c>
      <c r="F2130" s="1">
        <f>IFERROR(VLOOKUP(2040,'PEDIDO 27'!$C$2:$E$230,3,0),0)</f>
        <v>0</v>
      </c>
      <c r="G2130" s="18">
        <f t="shared" si="55"/>
        <v>0</v>
      </c>
    </row>
    <row r="2131" spans="1:7" ht="15.75" x14ac:dyDescent="0.25">
      <c r="A2131" s="15">
        <f>'PEDIDO 27'!$B$2</f>
        <v>0</v>
      </c>
      <c r="B2131" s="12" t="s">
        <v>420</v>
      </c>
      <c r="C2131" s="1">
        <f>IFERROR(VLOOKUP(2045,'PEDIDO 27'!$C$2:$E$230,3,0),0)</f>
        <v>0</v>
      </c>
      <c r="D2131" s="1">
        <f>IFERROR(VLOOKUP(2046,'PEDIDO 27'!$C$2:$E$230,3,0),0)</f>
        <v>0</v>
      </c>
      <c r="E2131" s="1">
        <f>IFERROR(VLOOKUP(2047,'PEDIDO 27'!$C$2:$E$230,3,0),0)</f>
        <v>0</v>
      </c>
      <c r="F2131" s="1">
        <f>IFERROR(VLOOKUP(2048,'PEDIDO 27'!$C$2:$E$230,3,0),0)</f>
        <v>0</v>
      </c>
      <c r="G2131" s="18">
        <f t="shared" si="55"/>
        <v>0</v>
      </c>
    </row>
    <row r="2132" spans="1:7" ht="15.75" x14ac:dyDescent="0.25">
      <c r="A2132" s="15">
        <f>'PEDIDO 27'!$B$2</f>
        <v>0</v>
      </c>
      <c r="B2132" s="12" t="s">
        <v>421</v>
      </c>
      <c r="C2132" s="1">
        <f>IFERROR(VLOOKUP(2050,'PEDIDO 27'!$C$2:$E$230,3,0),0)</f>
        <v>0</v>
      </c>
      <c r="D2132" s="1">
        <f>IFERROR(VLOOKUP(2051,'PEDIDO 27'!$C$2:$E$230,3,0),0)</f>
        <v>0</v>
      </c>
      <c r="E2132" s="1">
        <f>IFERROR(VLOOKUP(2052,'PEDIDO 27'!$C$2:$E$230,3,0),0)</f>
        <v>0</v>
      </c>
      <c r="F2132" s="1">
        <f>IFERROR(VLOOKUP(2053,'PEDIDO 27'!$C$2:$E$230,3,0),0)</f>
        <v>0</v>
      </c>
      <c r="G2132" s="18">
        <f t="shared" si="55"/>
        <v>0</v>
      </c>
    </row>
    <row r="2133" spans="1:7" ht="15.75" x14ac:dyDescent="0.25">
      <c r="A2133" s="15">
        <f>'PEDIDO 27'!$B$2</f>
        <v>0</v>
      </c>
      <c r="B2133" s="12" t="s">
        <v>422</v>
      </c>
      <c r="C2133" s="1">
        <f>IFERROR(VLOOKUP(216,'PEDIDO 27'!$C$2:$E$230,3,0),0)</f>
        <v>0</v>
      </c>
      <c r="D2133" s="1">
        <f>IFERROR(VLOOKUP(217,'PEDIDO 27'!$C$2:$E$230,3,0),0)</f>
        <v>0</v>
      </c>
      <c r="E2133" s="1">
        <f>IFERROR(VLOOKUP(218,'PEDIDO 27'!$C$2:$E$230,3,0),0)</f>
        <v>0</v>
      </c>
      <c r="F2133" s="1">
        <f>IFERROR(VLOOKUP(305,'PEDIDO 27'!$C$2:$E$230,3,0),0)</f>
        <v>0</v>
      </c>
      <c r="G2133" s="18">
        <f t="shared" si="55"/>
        <v>0</v>
      </c>
    </row>
    <row r="2134" spans="1:7" ht="15.75" x14ac:dyDescent="0.25">
      <c r="A2134" s="15">
        <f>'PEDIDO 27'!$B$2</f>
        <v>0</v>
      </c>
      <c r="B2134" s="12" t="s">
        <v>423</v>
      </c>
      <c r="C2134" s="1">
        <f>IFERROR(VLOOKUP(100,'PEDIDO 27'!$C$2:$E$230,3,0),0)</f>
        <v>0</v>
      </c>
      <c r="D2134" s="1">
        <f>IFERROR(VLOOKUP(101,'PEDIDO 27'!$C$2:$E$230,3,0),0)</f>
        <v>0</v>
      </c>
      <c r="E2134" s="1">
        <f>IFERROR(VLOOKUP(102,'PEDIDO 27'!$C$2:$E$230,3,0),0)</f>
        <v>0</v>
      </c>
      <c r="F2134" s="1">
        <f>IFERROR(VLOOKUP(306,'PEDIDO 27'!$C$2:$E$230,3,0),0)</f>
        <v>0</v>
      </c>
      <c r="G2134" s="18">
        <f t="shared" si="55"/>
        <v>0</v>
      </c>
    </row>
    <row r="2135" spans="1:7" ht="15.75" x14ac:dyDescent="0.25">
      <c r="A2135" s="15">
        <f>'PEDIDO 27'!$B$2</f>
        <v>0</v>
      </c>
      <c r="B2135" s="12" t="s">
        <v>424</v>
      </c>
      <c r="C2135" s="1">
        <f>IFERROR(VLOOKUP(104,'PEDIDO 27'!$C$2:$E$230,3,0),0)</f>
        <v>0</v>
      </c>
      <c r="D2135" s="1">
        <f>IFERROR(VLOOKUP(105,'PEDIDO 27'!$C$2:$E$230,3,0),0)</f>
        <v>0</v>
      </c>
      <c r="E2135" s="1">
        <f>IFERROR(VLOOKUP(106,'PEDIDO 27'!$C$2:$E$230,3,0),0)</f>
        <v>0</v>
      </c>
      <c r="F2135" s="1">
        <f>IFERROR(VLOOKUP(307,'PEDIDO 27'!$C$2:$E$230,3,0),0)</f>
        <v>0</v>
      </c>
      <c r="G2135" s="18">
        <f t="shared" si="55"/>
        <v>0</v>
      </c>
    </row>
    <row r="2136" spans="1:7" ht="15.75" x14ac:dyDescent="0.25">
      <c r="A2136" s="15">
        <f>'PEDIDO 27'!$B$2</f>
        <v>0</v>
      </c>
      <c r="B2136" s="12" t="s">
        <v>425</v>
      </c>
      <c r="C2136" s="1">
        <f>IFERROR(VLOOKUP(400,'PEDIDO 27'!$C$2:$E$230,3,0),0)</f>
        <v>0</v>
      </c>
      <c r="D2136" s="1">
        <f>IFERROR(VLOOKUP(401,'PEDIDO 27'!$C$2:$E$230,3,0),0)</f>
        <v>0</v>
      </c>
      <c r="E2136" s="1">
        <f>IFERROR(VLOOKUP(402,'PEDIDO 27'!$C$2:$E$230,3,0),0)</f>
        <v>0</v>
      </c>
      <c r="F2136" s="1">
        <f>IFERROR(VLOOKUP(403,'PEDIDO 27'!$C$2:$E$230,3,0),0)</f>
        <v>0</v>
      </c>
      <c r="G2136" s="18">
        <f t="shared" si="55"/>
        <v>0</v>
      </c>
    </row>
    <row r="2137" spans="1:7" ht="15.75" x14ac:dyDescent="0.25">
      <c r="A2137" s="15">
        <f>'PEDIDO 27'!$B$2</f>
        <v>0</v>
      </c>
      <c r="B2137" s="12" t="s">
        <v>428</v>
      </c>
      <c r="C2137" s="1">
        <f>IFERROR(VLOOKUP(22,'PEDIDO 27'!$C$2:$E$230,3,0),0)</f>
        <v>0</v>
      </c>
      <c r="D2137" s="1"/>
      <c r="E2137" s="1"/>
      <c r="F2137" s="1"/>
      <c r="G2137" s="18">
        <f t="shared" si="55"/>
        <v>0</v>
      </c>
    </row>
    <row r="2138" spans="1:7" ht="15.75" x14ac:dyDescent="0.25">
      <c r="A2138" s="15">
        <f>'PEDIDO 27'!$B$2</f>
        <v>0</v>
      </c>
      <c r="B2138" s="12" t="s">
        <v>429</v>
      </c>
      <c r="C2138" s="1">
        <f>IFERROR(VLOOKUP(21,'PEDIDO 27'!$C$2:$E$230,3,0),0)</f>
        <v>0</v>
      </c>
      <c r="D2138" s="1"/>
      <c r="E2138" s="1"/>
      <c r="F2138" s="1"/>
      <c r="G2138" s="18">
        <f t="shared" si="55"/>
        <v>0</v>
      </c>
    </row>
    <row r="2139" spans="1:7" ht="15.75" x14ac:dyDescent="0.25">
      <c r="A2139" s="15">
        <f>'PEDIDO 27'!$B$2</f>
        <v>0</v>
      </c>
      <c r="B2139" s="12" t="s">
        <v>430</v>
      </c>
      <c r="C2139" s="1">
        <f>IFERROR(VLOOKUP(1125,'PEDIDO 27'!$C$2:$E$230,3,0),0)</f>
        <v>0</v>
      </c>
      <c r="D2139" s="1">
        <f>IFERROR(VLOOKUP(1126,'PEDIDO 27'!$C$2:$E$230,3,0),0)</f>
        <v>0</v>
      </c>
      <c r="E2139" s="1">
        <f>IFERROR(VLOOKUP(1127,'PEDIDO 27'!$C$2:$E$230,3,0),0)</f>
        <v>0</v>
      </c>
      <c r="F2139" s="1">
        <f>IFERROR(VLOOKUP(1128,'PEDIDO 27'!$C$2:$E$230,3,0),0)</f>
        <v>0</v>
      </c>
      <c r="G2139" s="18">
        <f t="shared" si="55"/>
        <v>0</v>
      </c>
    </row>
    <row r="2140" spans="1:7" ht="15.75" x14ac:dyDescent="0.25">
      <c r="A2140" s="15">
        <f>'PEDIDO 27'!$B$2</f>
        <v>0</v>
      </c>
      <c r="B2140" s="12" t="s">
        <v>431</v>
      </c>
      <c r="C2140" s="1">
        <f>IFERROR(VLOOKUP(1133,'PEDIDO 27'!$C$2:$E$230,3,0),0)</f>
        <v>0</v>
      </c>
      <c r="D2140" s="1">
        <f>IFERROR(VLOOKUP(1134,'PEDIDO 27'!$C$2:$E$230,3,0),0)</f>
        <v>0</v>
      </c>
      <c r="E2140" s="1">
        <f>IFERROR(VLOOKUP(1135,'PEDIDO 27'!$C$2:$E$230,3,0),0)</f>
        <v>0</v>
      </c>
      <c r="F2140" s="1">
        <f>IFERROR(VLOOKUP(1136,'PEDIDO 27'!$C$2:$E$230,3,0),0)</f>
        <v>0</v>
      </c>
      <c r="G2140" s="18">
        <f t="shared" si="55"/>
        <v>0</v>
      </c>
    </row>
    <row r="2141" spans="1:7" ht="15.75" x14ac:dyDescent="0.25">
      <c r="A2141" s="15">
        <f>'PEDIDO 27'!$B$2</f>
        <v>0</v>
      </c>
      <c r="B2141" s="12" t="s">
        <v>432</v>
      </c>
      <c r="C2141" s="1">
        <f>IFERROR(VLOOKUP(1105,'PEDIDO 27'!$C$2:$E$230,3,0),0)</f>
        <v>0</v>
      </c>
      <c r="D2141" s="1">
        <f>IFERROR(VLOOKUP(1106,'PEDIDO 27'!$C$2:$E$230,3,0),0)</f>
        <v>0</v>
      </c>
      <c r="E2141" s="1">
        <f>IFERROR(VLOOKUP(1107,'PEDIDO 27'!$C$2:$E$230,3,0),0)</f>
        <v>0</v>
      </c>
      <c r="F2141" s="1">
        <f>IFERROR(VLOOKUP(1108,'PEDIDO 27'!$C$2:$E$230,3,0),0)</f>
        <v>0</v>
      </c>
      <c r="G2141" s="18">
        <f t="shared" si="55"/>
        <v>0</v>
      </c>
    </row>
    <row r="2142" spans="1:7" ht="15.75" x14ac:dyDescent="0.25">
      <c r="A2142" s="15">
        <f>'PEDIDO 27'!$B$2</f>
        <v>0</v>
      </c>
      <c r="B2142" s="12" t="s">
        <v>433</v>
      </c>
      <c r="C2142" s="1">
        <f>IFERROR(VLOOKUP(1109,'PEDIDO 27'!$C$2:$E$230,3,0),0)</f>
        <v>0</v>
      </c>
      <c r="D2142" s="1">
        <f>IFERROR(VLOOKUP(1110,'PEDIDO 27'!$C$2:$E$230,3,0),0)</f>
        <v>0</v>
      </c>
      <c r="E2142" s="1">
        <f>IFERROR(VLOOKUP(1111,'PEDIDO 27'!$C$2:$E$230,3,0),0)</f>
        <v>0</v>
      </c>
      <c r="F2142" s="1">
        <f>IFERROR(VLOOKUP(1112,'PEDIDO 27'!$C$2:$E$230,3,0),0)</f>
        <v>0</v>
      </c>
      <c r="G2142" s="18">
        <f t="shared" si="55"/>
        <v>0</v>
      </c>
    </row>
    <row r="2143" spans="1:7" ht="15.75" x14ac:dyDescent="0.25">
      <c r="A2143" s="15">
        <f>'PEDIDO 27'!$B$2</f>
        <v>0</v>
      </c>
      <c r="B2143" s="12" t="s">
        <v>434</v>
      </c>
      <c r="C2143" s="1">
        <f>IFERROR(VLOOKUP(1113,'PEDIDO 27'!$C$2:$E$230,3,0),0)</f>
        <v>0</v>
      </c>
      <c r="D2143" s="1">
        <f>IFERROR(VLOOKUP(1114,'PEDIDO 27'!$C$2:$E$230,3,0),0)</f>
        <v>0</v>
      </c>
      <c r="E2143" s="1">
        <f>IFERROR(VLOOKUP(1115,'PEDIDO 27'!$C$2:$E$230,3,0),0)</f>
        <v>0</v>
      </c>
      <c r="F2143" s="1">
        <f>IFERROR(VLOOKUP(1116,'PEDIDO 27'!$C$2:$E$230,3,0),0)</f>
        <v>0</v>
      </c>
      <c r="G2143" s="18">
        <f t="shared" si="55"/>
        <v>0</v>
      </c>
    </row>
    <row r="2144" spans="1:7" ht="15.75" x14ac:dyDescent="0.25">
      <c r="A2144" s="15">
        <f>'PEDIDO 27'!$B$2</f>
        <v>0</v>
      </c>
      <c r="B2144" s="12" t="s">
        <v>435</v>
      </c>
      <c r="C2144" s="1">
        <f>IFERROR(VLOOKUP(1117,'PEDIDO 27'!$C$2:$E$230,3,0),0)</f>
        <v>0</v>
      </c>
      <c r="D2144" s="1">
        <f>IFERROR(VLOOKUP(1118,'PEDIDO 27'!$C$2:$E$230,3,0),0)</f>
        <v>0</v>
      </c>
      <c r="E2144" s="1">
        <f>IFERROR(VLOOKUP(1119,'PEDIDO 27'!$C$2:$E$230,3,0),0)</f>
        <v>0</v>
      </c>
      <c r="F2144" s="1">
        <f>IFERROR(VLOOKUP(1120,'PEDIDO 27'!$C$2:$E$230,3,0),0)</f>
        <v>0</v>
      </c>
      <c r="G2144" s="18">
        <f t="shared" si="55"/>
        <v>0</v>
      </c>
    </row>
    <row r="2145" spans="1:7" ht="15.75" x14ac:dyDescent="0.25">
      <c r="A2145" s="15">
        <f>'PEDIDO 27'!$B$2</f>
        <v>0</v>
      </c>
      <c r="B2145" s="12" t="s">
        <v>436</v>
      </c>
      <c r="C2145" s="1">
        <f>IFERROR(VLOOKUP(1121,'PEDIDO 27'!$C$2:$E$230,3,0),0)</f>
        <v>0</v>
      </c>
      <c r="D2145" s="1">
        <f>IFERROR(VLOOKUP(1122,'PEDIDO 27'!$C$2:$E$230,3,0),0)</f>
        <v>0</v>
      </c>
      <c r="E2145" s="1">
        <f>IFERROR(VLOOKUP(1123,'PEDIDO 27'!$C$2:$E$230,3,0),0)</f>
        <v>0</v>
      </c>
      <c r="F2145" s="1">
        <f>IFERROR(VLOOKUP(1124,'PEDIDO 27'!$C$2:$E$230,3,0),0)</f>
        <v>0</v>
      </c>
      <c r="G2145" s="18">
        <f t="shared" si="55"/>
        <v>0</v>
      </c>
    </row>
    <row r="2146" spans="1:7" ht="15.75" x14ac:dyDescent="0.25">
      <c r="A2146" s="15">
        <f>'PEDIDO 27'!$B$2</f>
        <v>0</v>
      </c>
      <c r="B2146" s="12" t="s">
        <v>437</v>
      </c>
      <c r="C2146" s="1">
        <f>IFERROR(VLOOKUP(1129,'PEDIDO 27'!$C$2:$E$230,3,0),0)</f>
        <v>0</v>
      </c>
      <c r="D2146" s="1">
        <f>IFERROR(VLOOKUP(1130,'PEDIDO 27'!$C$2:$E$230,3,0),0)</f>
        <v>0</v>
      </c>
      <c r="E2146" s="1">
        <f>IFERROR(VLOOKUP(1131,'PEDIDO 27'!$C$2:$E$230,3,0),0)</f>
        <v>0</v>
      </c>
      <c r="F2146" s="1">
        <f>IFERROR(VLOOKUP(1132,'PEDIDO 27'!$C$2:$E$230,3,0),0)</f>
        <v>0</v>
      </c>
      <c r="G2146" s="18">
        <f t="shared" si="55"/>
        <v>0</v>
      </c>
    </row>
    <row r="2147" spans="1:7" ht="15.75" x14ac:dyDescent="0.25">
      <c r="A2147" s="15">
        <f>'PEDIDO 27'!$B$2</f>
        <v>0</v>
      </c>
      <c r="B2147" s="12" t="s">
        <v>438</v>
      </c>
      <c r="C2147" s="1">
        <f>IFERROR(VLOOKUP(1137,'PEDIDO 27'!$C$2:$E$230,3,0),0)</f>
        <v>0</v>
      </c>
      <c r="D2147" s="1">
        <f>IFERROR(VLOOKUP(1138,'PEDIDO 27'!$C$2:$E$230,3,0),0)</f>
        <v>0</v>
      </c>
      <c r="E2147" s="1">
        <f>IFERROR(VLOOKUP(1139,'PEDIDO 27'!$C$2:$E$230,3,0),0)</f>
        <v>0</v>
      </c>
      <c r="F2147" s="1">
        <f>IFERROR(VLOOKUP(1140,'PEDIDO 27'!$C$2:$E$230,3,0),0)</f>
        <v>0</v>
      </c>
      <c r="G2147" s="18">
        <f t="shared" si="55"/>
        <v>0</v>
      </c>
    </row>
    <row r="2148" spans="1:7" ht="15.75" x14ac:dyDescent="0.25">
      <c r="A2148" s="15">
        <f>'PEDIDO 27'!$B$2</f>
        <v>0</v>
      </c>
      <c r="B2148" s="12" t="s">
        <v>439</v>
      </c>
      <c r="C2148" s="1">
        <f>IFERROR(VLOOKUP(1141,'PEDIDO 27'!$C$2:$E$230,3,0),0)</f>
        <v>0</v>
      </c>
      <c r="D2148" s="1">
        <f>IFERROR(VLOOKUP(1142,'PEDIDO 27'!$C$2:$E$230,3,0),0)</f>
        <v>0</v>
      </c>
      <c r="E2148" s="1">
        <f>IFERROR(VLOOKUP(1143,'PEDIDO 27'!$C$2:$E$230,3,0),0)</f>
        <v>0</v>
      </c>
      <c r="F2148" s="1">
        <f>IFERROR(VLOOKUP(1144,'PEDIDO 27'!$C$2:$E$230,3,0),0)</f>
        <v>0</v>
      </c>
      <c r="G2148" s="18">
        <f t="shared" si="55"/>
        <v>0</v>
      </c>
    </row>
    <row r="2149" spans="1:7" ht="15.75" x14ac:dyDescent="0.25">
      <c r="A2149" s="15">
        <f>'PEDIDO 27'!$B$2</f>
        <v>0</v>
      </c>
      <c r="B2149" s="12" t="s">
        <v>440</v>
      </c>
      <c r="C2149" s="1">
        <f>IFERROR(VLOOKUP(1145,'PEDIDO 27'!$C$2:$E$230,3,0),0)</f>
        <v>0</v>
      </c>
      <c r="D2149" s="1">
        <f>IFERROR(VLOOKUP(1146,'PEDIDO 27'!$C$2:$E$230,3,0),0)</f>
        <v>0</v>
      </c>
      <c r="E2149" s="1">
        <f>IFERROR(VLOOKUP(1147,'PEDIDO 27'!$C$2:$E$230,3,0),0)</f>
        <v>0</v>
      </c>
      <c r="F2149" s="1">
        <f>IFERROR(VLOOKUP(1148,'PEDIDO 27'!$C$2:$E$230,3,0),0)</f>
        <v>0</v>
      </c>
      <c r="G2149" s="18">
        <f t="shared" si="55"/>
        <v>0</v>
      </c>
    </row>
    <row r="2150" spans="1:7" ht="15.75" x14ac:dyDescent="0.25">
      <c r="A2150" s="15">
        <f>'PEDIDO 27'!$B$2</f>
        <v>0</v>
      </c>
      <c r="B2150" s="12" t="s">
        <v>441</v>
      </c>
      <c r="C2150" s="1">
        <f>IFERROR(VLOOKUP(1149,'PEDIDO 27'!$C$2:$E$230,3,0),0)</f>
        <v>0</v>
      </c>
      <c r="D2150" s="1">
        <f>IFERROR(VLOOKUP(1150,'PEDIDO 27'!$C$2:$E$230,3,0),0)</f>
        <v>0</v>
      </c>
      <c r="E2150" s="1">
        <f>IFERROR(VLOOKUP(1151,'PEDIDO 27'!$C$2:$E$230,3,0),0)</f>
        <v>0</v>
      </c>
      <c r="F2150" s="1">
        <f>IFERROR(VLOOKUP(1152,'PEDIDO 27'!$C$2:$E$230,3,0),0)</f>
        <v>0</v>
      </c>
      <c r="G2150" s="18">
        <f t="shared" si="55"/>
        <v>0</v>
      </c>
    </row>
    <row r="2151" spans="1:7" ht="15.75" x14ac:dyDescent="0.25">
      <c r="A2151" s="15">
        <f>'PEDIDO 27'!$B$2</f>
        <v>0</v>
      </c>
      <c r="B2151" s="12" t="s">
        <v>442</v>
      </c>
      <c r="C2151" s="1">
        <f>IFERROR(VLOOKUP(1153,'PEDIDO 27'!$C$2:$E$230,3,0),0)</f>
        <v>0</v>
      </c>
      <c r="D2151" s="1">
        <f>IFERROR(VLOOKUP(1154,'PEDIDO 27'!$C$2:$E$230,3,0),0)</f>
        <v>0</v>
      </c>
      <c r="E2151" s="1">
        <f>IFERROR(VLOOKUP(1155,'PEDIDO 27'!$C$2:$E$230,3,0),0)</f>
        <v>0</v>
      </c>
      <c r="F2151" s="1">
        <f>IFERROR(VLOOKUP(1156,'PEDIDO 27'!$C$2:$E$230,3,0),0)</f>
        <v>0</v>
      </c>
      <c r="G2151" s="18">
        <f t="shared" si="55"/>
        <v>0</v>
      </c>
    </row>
    <row r="2152" spans="1:7" ht="15.75" x14ac:dyDescent="0.25">
      <c r="A2152" s="15">
        <f>'PEDIDO 27'!$B$2</f>
        <v>0</v>
      </c>
      <c r="B2152" s="12" t="s">
        <v>443</v>
      </c>
      <c r="C2152" s="1">
        <f>IFERROR(VLOOKUP(1157,'PEDIDO 27'!$C$2:$E$230,3,0),0)</f>
        <v>0</v>
      </c>
      <c r="D2152" s="1">
        <f>IFERROR(VLOOKUP(1158,'PEDIDO 27'!$C$2:$E$230,3,0),0)</f>
        <v>0</v>
      </c>
      <c r="E2152" s="1">
        <f>IFERROR(VLOOKUP(1159,'PEDIDO 27'!$C$2:$E$230,3,0),0)</f>
        <v>0</v>
      </c>
      <c r="F2152" s="1">
        <f>IFERROR(VLOOKUP(1160,'PEDIDO 27'!$C$2:$E$230,3,0),0)</f>
        <v>0</v>
      </c>
      <c r="G2152" s="18">
        <f t="shared" si="55"/>
        <v>0</v>
      </c>
    </row>
    <row r="2153" spans="1:7" ht="15.75" x14ac:dyDescent="0.25">
      <c r="A2153" s="15">
        <f>'PEDIDO 27'!$B$2</f>
        <v>0</v>
      </c>
      <c r="B2153" s="12" t="s">
        <v>444</v>
      </c>
      <c r="C2153" s="1">
        <f>IFERROR(VLOOKUP(1161,'PEDIDO 27'!$C$2:$E$230,3,0),0)</f>
        <v>0</v>
      </c>
      <c r="D2153" s="1">
        <f>IFERROR(VLOOKUP(1162,'PEDIDO 27'!$C$2:$E$230,3,0),0)</f>
        <v>0</v>
      </c>
      <c r="E2153" s="1">
        <f>IFERROR(VLOOKUP(1163,'PEDIDO 27'!$C$2:$E$230,3,0),0)</f>
        <v>0</v>
      </c>
      <c r="F2153" s="1">
        <f>IFERROR(VLOOKUP(1164,'PEDIDO 27'!$C$2:$E$230,3,0),0)</f>
        <v>0</v>
      </c>
      <c r="G2153" s="18">
        <f t="shared" si="55"/>
        <v>0</v>
      </c>
    </row>
    <row r="2154" spans="1:7" ht="15.75" x14ac:dyDescent="0.25">
      <c r="A2154" s="15">
        <f>'PEDIDO 27'!$B$2</f>
        <v>0</v>
      </c>
      <c r="B2154" s="12" t="s">
        <v>445</v>
      </c>
      <c r="C2154" s="1">
        <f>IFERROR(VLOOKUP(1165,'PEDIDO 27'!$C$2:$E$230,3,0),0)</f>
        <v>0</v>
      </c>
      <c r="D2154" s="1">
        <f>IFERROR(VLOOKUP(1166,'PEDIDO 27'!$C$2:$E$230,3,0),0)</f>
        <v>0</v>
      </c>
      <c r="E2154" s="1">
        <f>IFERROR(VLOOKUP(1167,'PEDIDO 27'!$C$2:$E$230,3,0),0)</f>
        <v>0</v>
      </c>
      <c r="F2154" s="1">
        <f>IFERROR(VLOOKUP(1168,'PEDIDO 27'!$C$2:$E$230,3,0),0)</f>
        <v>0</v>
      </c>
      <c r="G2154" s="18">
        <f t="shared" si="55"/>
        <v>0</v>
      </c>
    </row>
    <row r="2155" spans="1:7" ht="15.75" x14ac:dyDescent="0.25">
      <c r="A2155" s="15">
        <f>'PEDIDO 27'!$B$2</f>
        <v>0</v>
      </c>
      <c r="B2155" s="12" t="s">
        <v>446</v>
      </c>
      <c r="C2155" s="1">
        <f>IFERROR(VLOOKUP(1169,'PEDIDO 27'!$C$2:$E$230,3,0),0)</f>
        <v>0</v>
      </c>
      <c r="D2155" s="1">
        <f>IFERROR(VLOOKUP(1170,'PEDIDO 27'!$C$2:$E$230,3,0),0)</f>
        <v>0</v>
      </c>
      <c r="E2155" s="1">
        <f>IFERROR(VLOOKUP(1171,'PEDIDO 27'!$C$2:$E$230,3,0),0)</f>
        <v>0</v>
      </c>
      <c r="F2155" s="1">
        <f>IFERROR(VLOOKUP(1172,'PEDIDO 27'!$C$2:$E$230,3,0),0)</f>
        <v>0</v>
      </c>
      <c r="G2155" s="18">
        <f t="shared" si="55"/>
        <v>0</v>
      </c>
    </row>
    <row r="2156" spans="1:7" ht="15.75" x14ac:dyDescent="0.25">
      <c r="A2156" s="15">
        <f>'PEDIDO 27'!$B$2</f>
        <v>0</v>
      </c>
      <c r="B2156" s="12" t="s">
        <v>447</v>
      </c>
      <c r="C2156" s="1">
        <f>IFERROR(VLOOKUP(1173,'PEDIDO 27'!$C$2:$E$230,3,0),0)</f>
        <v>0</v>
      </c>
      <c r="D2156" s="1">
        <f>IFERROR(VLOOKUP(1174,'PEDIDO 27'!$C$2:$E$230,3,0),0)</f>
        <v>0</v>
      </c>
      <c r="E2156" s="1">
        <f>IFERROR(VLOOKUP(1175,'PEDIDO 27'!$C$2:$E$230,3,0),0)</f>
        <v>0</v>
      </c>
      <c r="F2156" s="1">
        <f>IFERROR(VLOOKUP(1176,'PEDIDO 27'!$C$2:$E$230,3,0),0)</f>
        <v>0</v>
      </c>
      <c r="G2156" s="18">
        <f t="shared" si="55"/>
        <v>0</v>
      </c>
    </row>
    <row r="2157" spans="1:7" ht="15.75" x14ac:dyDescent="0.25">
      <c r="A2157" s="15">
        <f>'PEDIDO 27'!$B$2</f>
        <v>0</v>
      </c>
      <c r="B2157" s="12" t="s">
        <v>448</v>
      </c>
      <c r="C2157" s="1">
        <f>IFERROR(VLOOKUP(1249,'PEDIDO 27'!$C$2:$E$230,3,0),0)</f>
        <v>0</v>
      </c>
      <c r="D2157" s="1">
        <f>IFERROR(VLOOKUP(1250,'PEDIDO 27'!$C$2:$E$230,3,0),0)</f>
        <v>0</v>
      </c>
      <c r="E2157" s="1">
        <f>IFERROR(VLOOKUP(1251,'PEDIDO 27'!$C$2:$E$230,3,0),0)</f>
        <v>0</v>
      </c>
      <c r="F2157" s="1">
        <f>IFERROR(VLOOKUP(1252,'PEDIDO 27'!$C$2:$E$230,3,0),0)</f>
        <v>0</v>
      </c>
      <c r="G2157" s="18">
        <f t="shared" si="55"/>
        <v>0</v>
      </c>
    </row>
    <row r="2158" spans="1:7" ht="15.75" x14ac:dyDescent="0.25">
      <c r="A2158" s="15">
        <f>'PEDIDO 27'!$B$2</f>
        <v>0</v>
      </c>
      <c r="B2158" s="12" t="s">
        <v>449</v>
      </c>
      <c r="C2158" s="1">
        <f>IFERROR(VLOOKUP(1177,'PEDIDO 27'!$C$2:$E$230,3,0),0)</f>
        <v>0</v>
      </c>
      <c r="D2158" s="1">
        <f>IFERROR(VLOOKUP(1178,'PEDIDO 27'!$C$2:$E$230,3,0),0)</f>
        <v>0</v>
      </c>
      <c r="E2158" s="1">
        <f>IFERROR(VLOOKUP(1179,'PEDIDO 27'!$C$2:$E$230,3,0),0)</f>
        <v>0</v>
      </c>
      <c r="F2158" s="1">
        <f>IFERROR(VLOOKUP(1180,'PEDIDO 27'!$C$2:$E$230,3,0),0)</f>
        <v>0</v>
      </c>
      <c r="G2158" s="18">
        <f t="shared" si="55"/>
        <v>0</v>
      </c>
    </row>
    <row r="2159" spans="1:7" ht="15.75" x14ac:dyDescent="0.25">
      <c r="A2159" s="15">
        <f>'PEDIDO 27'!$B$2</f>
        <v>0</v>
      </c>
      <c r="B2159" s="12" t="s">
        <v>450</v>
      </c>
      <c r="C2159" s="1">
        <f>IFERROR(VLOOKUP(1181,'PEDIDO 27'!$C$2:$E$230,3,0),0)</f>
        <v>0</v>
      </c>
      <c r="D2159" s="1">
        <f>IFERROR(VLOOKUP(1182,'PEDIDO 27'!$C$2:$E$230,3,0),0)</f>
        <v>0</v>
      </c>
      <c r="E2159" s="1">
        <f>IFERROR(VLOOKUP(1183,'PEDIDO 27'!$C$2:$E$230,3,0),0)</f>
        <v>0</v>
      </c>
      <c r="F2159" s="1">
        <f>IFERROR(VLOOKUP(1184,'PEDIDO 27'!$C$2:$E$230,3,0),0)</f>
        <v>0</v>
      </c>
      <c r="G2159" s="18">
        <f t="shared" si="55"/>
        <v>0</v>
      </c>
    </row>
    <row r="2160" spans="1:7" ht="15.75" x14ac:dyDescent="0.25">
      <c r="A2160" s="15">
        <f>'PEDIDO 27'!$B$2</f>
        <v>0</v>
      </c>
      <c r="B2160" s="12" t="s">
        <v>451</v>
      </c>
      <c r="C2160" s="1">
        <f>IFERROR(VLOOKUP(1185,'PEDIDO 27'!$C$2:$E$230,3,0),0)</f>
        <v>0</v>
      </c>
      <c r="D2160" s="1">
        <f>IFERROR(VLOOKUP(1186,'PEDIDO 27'!$C$2:$E$230,3,0),0)</f>
        <v>0</v>
      </c>
      <c r="E2160" s="1">
        <f>IFERROR(VLOOKUP(1187,'PEDIDO 27'!$C$2:$E$230,3,0),0)</f>
        <v>0</v>
      </c>
      <c r="F2160" s="1">
        <f>IFERROR(VLOOKUP(1188,'PEDIDO 27'!$C$2:$E$230,3,0),0)</f>
        <v>0</v>
      </c>
      <c r="G2160" s="18">
        <f t="shared" si="55"/>
        <v>0</v>
      </c>
    </row>
    <row r="2161" spans="1:7" ht="15.75" x14ac:dyDescent="0.25">
      <c r="A2161" s="15">
        <f>'PEDIDO 27'!$B$2</f>
        <v>0</v>
      </c>
      <c r="B2161" s="12" t="s">
        <v>452</v>
      </c>
      <c r="C2161" s="1">
        <f>IFERROR(VLOOKUP(1189,'PEDIDO 27'!$C$2:$E$230,3,0),0)</f>
        <v>0</v>
      </c>
      <c r="D2161" s="1">
        <f>IFERROR(VLOOKUP(1190,'PEDIDO 27'!$C$2:$E$230,3,0),0)</f>
        <v>0</v>
      </c>
      <c r="E2161" s="1">
        <f>IFERROR(VLOOKUP(1191,'PEDIDO 27'!$C$2:$E$230,3,0),0)</f>
        <v>0</v>
      </c>
      <c r="F2161" s="1">
        <f>IFERROR(VLOOKUP(1192,'PEDIDO 27'!$C$2:$E$230,3,0),0)</f>
        <v>0</v>
      </c>
      <c r="G2161" s="18">
        <f t="shared" si="55"/>
        <v>0</v>
      </c>
    </row>
    <row r="2162" spans="1:7" ht="15.75" x14ac:dyDescent="0.25">
      <c r="A2162" s="15">
        <f>'PEDIDO 27'!$B$2</f>
        <v>0</v>
      </c>
      <c r="B2162" s="12" t="s">
        <v>453</v>
      </c>
      <c r="C2162" s="1">
        <f>IFERROR(VLOOKUP(1193,'PEDIDO 27'!$C$2:$E$230,3,0),0)</f>
        <v>0</v>
      </c>
      <c r="D2162" s="1">
        <f>IFERROR(VLOOKUP(1194,'PEDIDO 27'!$C$2:$E$230,3,0),0)</f>
        <v>0</v>
      </c>
      <c r="E2162" s="1">
        <f>IFERROR(VLOOKUP(1195,'PEDIDO 27'!$C$2:$E$230,3,0),0)</f>
        <v>0</v>
      </c>
      <c r="F2162" s="1">
        <f>IFERROR(VLOOKUP(1196,'PEDIDO 27'!$C$2:$E$230,3,0),0)</f>
        <v>0</v>
      </c>
      <c r="G2162" s="18">
        <f t="shared" si="55"/>
        <v>0</v>
      </c>
    </row>
    <row r="2163" spans="1:7" ht="15.75" x14ac:dyDescent="0.25">
      <c r="A2163" s="15">
        <f>'PEDIDO 27'!$B$2</f>
        <v>0</v>
      </c>
      <c r="B2163" s="12" t="s">
        <v>454</v>
      </c>
      <c r="C2163" s="1">
        <f>IFERROR(VLOOKUP(1197,'PEDIDO 27'!$C$2:$E$230,3,0),0)</f>
        <v>0</v>
      </c>
      <c r="D2163" s="1">
        <f>IFERROR(VLOOKUP(1198,'PEDIDO 27'!$C$2:$E$230,3,0),0)</f>
        <v>0</v>
      </c>
      <c r="E2163" s="1">
        <f>IFERROR(VLOOKUP(1199,'PEDIDO 27'!$C$2:$E$230,3,0),0)</f>
        <v>0</v>
      </c>
      <c r="F2163" s="1">
        <f>IFERROR(VLOOKUP(1200,'PEDIDO 27'!$C$2:$E$230,3,0),0)</f>
        <v>0</v>
      </c>
      <c r="G2163" s="18">
        <f t="shared" si="55"/>
        <v>0</v>
      </c>
    </row>
    <row r="2164" spans="1:7" ht="15.75" x14ac:dyDescent="0.25">
      <c r="A2164" s="15">
        <f>'PEDIDO 27'!$B$2</f>
        <v>0</v>
      </c>
      <c r="B2164" s="12" t="s">
        <v>455</v>
      </c>
      <c r="C2164" s="1">
        <f>IFERROR(VLOOKUP(1201,'PEDIDO 27'!$C$2:$E$230,3,0),0)</f>
        <v>0</v>
      </c>
      <c r="D2164" s="1">
        <f>IFERROR(VLOOKUP(1202,'PEDIDO 27'!$C$2:$E$230,3,0),0)</f>
        <v>0</v>
      </c>
      <c r="E2164" s="1">
        <f>IFERROR(VLOOKUP(1203,'PEDIDO 27'!$C$2:$E$230,3,0),0)</f>
        <v>0</v>
      </c>
      <c r="F2164" s="1">
        <f>IFERROR(VLOOKUP(1204,'PEDIDO 27'!$C$2:$E$230,3,0),0)</f>
        <v>0</v>
      </c>
      <c r="G2164" s="18">
        <f t="shared" si="55"/>
        <v>0</v>
      </c>
    </row>
    <row r="2165" spans="1:7" ht="15.75" x14ac:dyDescent="0.25">
      <c r="A2165" s="15">
        <f>'PEDIDO 27'!$B$2</f>
        <v>0</v>
      </c>
      <c r="B2165" s="12" t="s">
        <v>456</v>
      </c>
      <c r="C2165" s="1">
        <f>IFERROR(VLOOKUP(1205,'PEDIDO 27'!$C$2:$E$230,3,0),0)</f>
        <v>0</v>
      </c>
      <c r="D2165" s="1">
        <f>IFERROR(VLOOKUP(1206,'PEDIDO 27'!$C$2:$E$230,3,0),0)</f>
        <v>0</v>
      </c>
      <c r="E2165" s="1">
        <f>IFERROR(VLOOKUP(1207,'PEDIDO 27'!$C$2:$E$230,3,0),0)</f>
        <v>0</v>
      </c>
      <c r="F2165" s="1">
        <f>IFERROR(VLOOKUP(1208,'PEDIDO 27'!$C$2:$E$230,3,0),0)</f>
        <v>0</v>
      </c>
      <c r="G2165" s="18">
        <f t="shared" si="55"/>
        <v>0</v>
      </c>
    </row>
    <row r="2166" spans="1:7" ht="15.75" x14ac:dyDescent="0.25">
      <c r="A2166" s="15">
        <f>'PEDIDO 27'!$B$2</f>
        <v>0</v>
      </c>
      <c r="B2166" s="12" t="s">
        <v>457</v>
      </c>
      <c r="C2166" s="1">
        <f>IFERROR(VLOOKUP(1213,'PEDIDO 27'!$C$2:$E$230,3,0),0)</f>
        <v>0</v>
      </c>
      <c r="D2166" s="1">
        <f>IFERROR(VLOOKUP(1214,'PEDIDO 27'!$C$2:$E$230,3,0),0)</f>
        <v>0</v>
      </c>
      <c r="E2166" s="1">
        <f>IFERROR(VLOOKUP(1215,'PEDIDO 27'!$C$2:$E$230,3,0),0)</f>
        <v>0</v>
      </c>
      <c r="F2166" s="10">
        <f>IFERROR(VLOOKUP(1216,'PEDIDO 27'!$C$2:$E$230,3,0),0)</f>
        <v>0</v>
      </c>
      <c r="G2166" s="18">
        <f t="shared" si="55"/>
        <v>0</v>
      </c>
    </row>
    <row r="2167" spans="1:7" ht="15.75" x14ac:dyDescent="0.25">
      <c r="A2167" s="15">
        <f>'PEDIDO 27'!$B$2</f>
        <v>0</v>
      </c>
      <c r="B2167" s="12" t="s">
        <v>458</v>
      </c>
      <c r="C2167" s="1">
        <f>IFERROR(VLOOKUP(1209,'PEDIDO 27'!$C$2:$E$230,3,0),0)</f>
        <v>0</v>
      </c>
      <c r="D2167" s="1">
        <f>IFERROR(VLOOKUP(1210,'PEDIDO 27'!$C$2:$E$230,3,0),0)</f>
        <v>0</v>
      </c>
      <c r="E2167" s="1">
        <f>IFERROR(VLOOKUP(1211,'PEDIDO 27'!$C$2:$E$230,3,0),0)</f>
        <v>0</v>
      </c>
      <c r="F2167" s="1">
        <f>IFERROR(VLOOKUP(1212,'PEDIDO 27'!$C$2:$E$230,3,0),0)</f>
        <v>0</v>
      </c>
      <c r="G2167" s="18">
        <f t="shared" si="55"/>
        <v>0</v>
      </c>
    </row>
    <row r="2168" spans="1:7" ht="15.75" x14ac:dyDescent="0.25">
      <c r="A2168" s="15">
        <f>'PEDIDO 27'!$B$2</f>
        <v>0</v>
      </c>
      <c r="B2168" s="12" t="s">
        <v>459</v>
      </c>
      <c r="C2168" s="1">
        <f>IFERROR(VLOOKUP(1217,'PEDIDO 27'!$C$2:$E$230,3,0),0)</f>
        <v>0</v>
      </c>
      <c r="D2168" s="1">
        <f>IFERROR(VLOOKUP(1218,'PEDIDO 27'!$C$2:$E$230,3,0),0)</f>
        <v>0</v>
      </c>
      <c r="E2168" s="1">
        <f>IFERROR(VLOOKUP(1219,'PEDIDO 27'!$C$2:$E$230,3,0),0)</f>
        <v>0</v>
      </c>
      <c r="F2168" s="1">
        <f>IFERROR(VLOOKUP(1220,'PEDIDO 27'!$C$2:$E$230,3,0),0)</f>
        <v>0</v>
      </c>
      <c r="G2168" s="18">
        <f t="shared" si="55"/>
        <v>0</v>
      </c>
    </row>
    <row r="2169" spans="1:7" ht="15.75" x14ac:dyDescent="0.25">
      <c r="A2169" s="15">
        <f>'PEDIDO 27'!$B$2</f>
        <v>0</v>
      </c>
      <c r="B2169" s="12" t="s">
        <v>461</v>
      </c>
      <c r="C2169" s="1">
        <f>IFERROR(VLOOKUP(1225,'PEDIDO 27'!$C$2:$E$230,3,0),0)</f>
        <v>0</v>
      </c>
      <c r="D2169" s="1">
        <f>IFERROR(VLOOKUP(1226,'PEDIDO 27'!$C$2:$E$230,3,0),0)</f>
        <v>0</v>
      </c>
      <c r="E2169" s="1">
        <f>IFERROR(VLOOKUP(1227,'PEDIDO 27'!$C$2:$E$230,3,0),0)</f>
        <v>0</v>
      </c>
      <c r="F2169" s="1">
        <f>IFERROR(VLOOKUP(1228,'PEDIDO 27'!$C$2:$E$230,3,0),0)</f>
        <v>0</v>
      </c>
      <c r="G2169" s="18">
        <f t="shared" si="55"/>
        <v>0</v>
      </c>
    </row>
    <row r="2170" spans="1:7" ht="15.75" x14ac:dyDescent="0.25">
      <c r="A2170" s="15">
        <f>'PEDIDO 27'!$B$2</f>
        <v>0</v>
      </c>
      <c r="B2170" s="12" t="s">
        <v>462</v>
      </c>
      <c r="C2170" s="1">
        <f>IFERROR(VLOOKUP(1221,'PEDIDO 27'!$C$2:$E$230,3,0),0)</f>
        <v>0</v>
      </c>
      <c r="D2170" s="1">
        <f>IFERROR(VLOOKUP(1222,'PEDIDO 27'!$C$2:$E$230,3,0),0)</f>
        <v>0</v>
      </c>
      <c r="E2170" s="1">
        <f>IFERROR(VLOOKUP(1223,'PEDIDO 27'!$C$2:$E$230,3,0),0)</f>
        <v>0</v>
      </c>
      <c r="F2170" s="1">
        <f>IFERROR(VLOOKUP(1224,'PEDIDO 27'!$C$2:$E$230,3,0),0)</f>
        <v>0</v>
      </c>
      <c r="G2170" s="18">
        <f t="shared" si="55"/>
        <v>0</v>
      </c>
    </row>
    <row r="2171" spans="1:7" ht="15.75" x14ac:dyDescent="0.25">
      <c r="A2171" s="15">
        <f>'PEDIDO 27'!$B$2</f>
        <v>0</v>
      </c>
      <c r="B2171" s="12" t="s">
        <v>460</v>
      </c>
      <c r="C2171" s="1">
        <f>IFERROR(VLOOKUP(1229,'PEDIDO 27'!$C$2:$E$230,3,0),0)</f>
        <v>0</v>
      </c>
      <c r="D2171" s="1">
        <f>IFERROR(VLOOKUP(1230,'PEDIDO 27'!$C$2:$E$230,3,0),0)</f>
        <v>0</v>
      </c>
      <c r="E2171" s="1">
        <f>IFERROR(VLOOKUP(1231,'PEDIDO 27'!$C$2:$E$230,3,0),0)</f>
        <v>0</v>
      </c>
      <c r="F2171" s="1">
        <f>IFERROR(VLOOKUP(1232,'PEDIDO 27'!$C$2:$E$230,3,0),0)</f>
        <v>0</v>
      </c>
      <c r="G2171" s="18">
        <f t="shared" si="55"/>
        <v>0</v>
      </c>
    </row>
    <row r="2172" spans="1:7" ht="15.75" x14ac:dyDescent="0.25">
      <c r="A2172" s="15">
        <f>'PEDIDO 27'!$B$2</f>
        <v>0</v>
      </c>
      <c r="B2172" s="12" t="s">
        <v>463</v>
      </c>
      <c r="C2172" s="1">
        <f>IFERROR(VLOOKUP(1233,'PEDIDO 27'!$C$2:$E$230,3,0),0)</f>
        <v>0</v>
      </c>
      <c r="D2172" s="1">
        <f>IFERROR(VLOOKUP(1234,'PEDIDO 27'!$C$2:$E$230,3,0),0)</f>
        <v>0</v>
      </c>
      <c r="E2172" s="1">
        <f>IFERROR(VLOOKUP(1235,'PEDIDO 27'!$C$2:$E$230,3,0),0)</f>
        <v>0</v>
      </c>
      <c r="F2172" s="1">
        <f>IFERROR(VLOOKUP(1236,'PEDIDO 27'!$C$2:$E$230,3,0),0)</f>
        <v>0</v>
      </c>
      <c r="G2172" s="18">
        <f t="shared" si="55"/>
        <v>0</v>
      </c>
    </row>
    <row r="2173" spans="1:7" ht="15.75" x14ac:dyDescent="0.25">
      <c r="A2173" s="15">
        <f>'PEDIDO 27'!$B$2</f>
        <v>0</v>
      </c>
      <c r="B2173" s="12" t="s">
        <v>464</v>
      </c>
      <c r="C2173" s="1">
        <f>IFERROR(VLOOKUP(1237,'PEDIDO 27'!$C$2:$E$230,3,0),0)</f>
        <v>0</v>
      </c>
      <c r="D2173" s="1">
        <f>IFERROR(VLOOKUP(1238,'PEDIDO 27'!$C$2:$E$230,3,0),0)</f>
        <v>0</v>
      </c>
      <c r="E2173" s="1">
        <f>IFERROR(VLOOKUP(1239,'PEDIDO 27'!$C$2:$E$230,3,0),0)</f>
        <v>0</v>
      </c>
      <c r="F2173" s="1">
        <f>IFERROR(VLOOKUP(1240,'PEDIDO 27'!$C$2:$E$230,3,0),0)</f>
        <v>0</v>
      </c>
      <c r="G2173" s="18">
        <f t="shared" ref="G2173:G2185" si="56">SUM(C2173+D2173+E2173+F2173)</f>
        <v>0</v>
      </c>
    </row>
    <row r="2174" spans="1:7" ht="15.75" x14ac:dyDescent="0.25">
      <c r="A2174" s="15">
        <f>'PEDIDO 27'!$B$2</f>
        <v>0</v>
      </c>
      <c r="B2174" s="12" t="s">
        <v>465</v>
      </c>
      <c r="C2174" s="1">
        <f>IFERROR(VLOOKUP(1241,'PEDIDO 27'!$C$2:$E$230,3,0),0)</f>
        <v>0</v>
      </c>
      <c r="D2174" s="1">
        <f>IFERROR(VLOOKUP(1242,'PEDIDO 27'!$C$2:$E$230,3,0),0)</f>
        <v>0</v>
      </c>
      <c r="E2174" s="1">
        <f>IFERROR(VLOOKUP(1243,'PEDIDO 27'!$C$2:$E$230,3,0),0)</f>
        <v>0</v>
      </c>
      <c r="F2174" s="1">
        <f>IFERROR(VLOOKUP(1244,'PEDIDO 27'!$C$2:$E$230,3,0),0)</f>
        <v>0</v>
      </c>
      <c r="G2174" s="18">
        <f t="shared" si="56"/>
        <v>0</v>
      </c>
    </row>
    <row r="2175" spans="1:7" ht="15.75" x14ac:dyDescent="0.25">
      <c r="A2175" s="15">
        <f>'PEDIDO 27'!$B$2</f>
        <v>0</v>
      </c>
      <c r="B2175" s="12" t="s">
        <v>466</v>
      </c>
      <c r="C2175" s="1">
        <f>IFERROR(VLOOKUP(1245,'PEDIDO 27'!$C$2:$E$230,3,0),0)</f>
        <v>0</v>
      </c>
      <c r="D2175" s="1">
        <f>IFERROR(VLOOKUP(1246,'PEDIDO 27'!$C$2:$E$230,3,0),0)</f>
        <v>0</v>
      </c>
      <c r="E2175" s="1">
        <f>IFERROR(VLOOKUP(1247,'PEDIDO 27'!$C$2:$E$230,3,0),0)</f>
        <v>0</v>
      </c>
      <c r="F2175" s="1">
        <f>IFERROR(VLOOKUP(1248,'PEDIDO 27'!$C$2:$E$230,3,0),0)</f>
        <v>0</v>
      </c>
      <c r="G2175" s="18">
        <f t="shared" si="56"/>
        <v>0</v>
      </c>
    </row>
    <row r="2176" spans="1:7" ht="15.75" x14ac:dyDescent="0.25">
      <c r="A2176" s="15">
        <f>'PEDIDO 27'!$B$2</f>
        <v>0</v>
      </c>
      <c r="B2176" s="12" t="s">
        <v>467</v>
      </c>
      <c r="C2176" s="1">
        <f>IFERROR(VLOOKUP(25714,'PEDIDO 27'!$C$2:$E$230,3,0),0)</f>
        <v>0</v>
      </c>
      <c r="D2176" s="1"/>
      <c r="E2176" s="1"/>
      <c r="F2176" s="1"/>
      <c r="G2176" s="18">
        <f t="shared" si="56"/>
        <v>0</v>
      </c>
    </row>
    <row r="2177" spans="1:7" ht="15.75" x14ac:dyDescent="0.25">
      <c r="A2177" s="15">
        <f>'PEDIDO 27'!$B$2</f>
        <v>0</v>
      </c>
      <c r="B2177" s="12" t="s">
        <v>468</v>
      </c>
      <c r="C2177" s="1">
        <f>IFERROR(VLOOKUP(25712,'PEDIDO 27'!$C$2:$E$230,3,0),0)</f>
        <v>0</v>
      </c>
      <c r="D2177" s="1"/>
      <c r="E2177" s="1"/>
      <c r="F2177" s="1"/>
      <c r="G2177" s="18">
        <f t="shared" si="56"/>
        <v>0</v>
      </c>
    </row>
    <row r="2178" spans="1:7" ht="15.75" x14ac:dyDescent="0.25">
      <c r="A2178" s="15">
        <f>'PEDIDO 27'!$B$2</f>
        <v>0</v>
      </c>
      <c r="B2178" s="12" t="s">
        <v>469</v>
      </c>
      <c r="C2178" s="1">
        <f>IFERROR(VLOOKUP(25713,'PEDIDO 27'!$C$2:$E$230,3,0),0)</f>
        <v>0</v>
      </c>
      <c r="D2178" s="1"/>
      <c r="E2178" s="1"/>
      <c r="F2178" s="1"/>
      <c r="G2178" s="18">
        <f t="shared" si="56"/>
        <v>0</v>
      </c>
    </row>
    <row r="2179" spans="1:7" ht="15.75" x14ac:dyDescent="0.25">
      <c r="A2179" s="15">
        <f>'PEDIDO 27'!$B$2</f>
        <v>0</v>
      </c>
      <c r="B2179" s="12" t="s">
        <v>470</v>
      </c>
      <c r="C2179" s="1">
        <f>IFERROR(VLOOKUP(1260,'PEDIDO 27'!$C$2:$E$230,3,0),0)</f>
        <v>0</v>
      </c>
      <c r="D2179" s="1"/>
      <c r="E2179" s="1"/>
      <c r="F2179" s="1"/>
      <c r="G2179" s="18">
        <f t="shared" si="56"/>
        <v>0</v>
      </c>
    </row>
    <row r="2180" spans="1:7" ht="15.75" x14ac:dyDescent="0.25">
      <c r="A2180" s="15">
        <f>'PEDIDO 27'!$B$2</f>
        <v>0</v>
      </c>
      <c r="B2180" s="12" t="s">
        <v>471</v>
      </c>
      <c r="C2180" s="1">
        <f>IFERROR(VLOOKUP(1261,'PEDIDO 27'!$C$2:$E$230,3,0),0)</f>
        <v>0</v>
      </c>
      <c r="D2180" s="1"/>
      <c r="E2180" s="1"/>
      <c r="F2180" s="1"/>
      <c r="G2180" s="18">
        <f t="shared" si="56"/>
        <v>0</v>
      </c>
    </row>
    <row r="2181" spans="1:7" ht="15.75" x14ac:dyDescent="0.25">
      <c r="A2181" s="15">
        <f>'PEDIDO 27'!$B$2</f>
        <v>0</v>
      </c>
      <c r="B2181" s="12" t="s">
        <v>472</v>
      </c>
      <c r="C2181" s="1">
        <f>IFERROR(VLOOKUP(1262,'PEDIDO 27'!$C$2:$E$230,3,0),0)</f>
        <v>0</v>
      </c>
      <c r="D2181" s="1"/>
      <c r="E2181" s="1"/>
      <c r="F2181" s="1"/>
      <c r="G2181" s="18">
        <f t="shared" si="56"/>
        <v>0</v>
      </c>
    </row>
    <row r="2182" spans="1:7" ht="15.75" x14ac:dyDescent="0.25">
      <c r="A2182" s="15">
        <f>'PEDIDO 27'!$B$2</f>
        <v>0</v>
      </c>
      <c r="B2182" s="12" t="s">
        <v>473</v>
      </c>
      <c r="C2182" s="1">
        <f>IFERROR(VLOOKUP(1263,'PEDIDO 27'!$C$2:$E$230,3,0),0)</f>
        <v>0</v>
      </c>
      <c r="D2182" s="1"/>
      <c r="E2182" s="1"/>
      <c r="F2182" s="1"/>
      <c r="G2182" s="18">
        <f t="shared" si="56"/>
        <v>0</v>
      </c>
    </row>
    <row r="2183" spans="1:7" ht="15.75" x14ac:dyDescent="0.25">
      <c r="A2183" s="15">
        <f>'PEDIDO 27'!$B$2</f>
        <v>0</v>
      </c>
      <c r="B2183" s="12" t="s">
        <v>474</v>
      </c>
      <c r="C2183" s="1">
        <f>IFERROR(VLOOKUP(1264,'PEDIDO 27'!$C$2:$E$230,3,0),0)</f>
        <v>0</v>
      </c>
      <c r="D2183" s="1"/>
      <c r="E2183" s="1"/>
      <c r="F2183" s="1"/>
      <c r="G2183" s="18">
        <f t="shared" si="56"/>
        <v>0</v>
      </c>
    </row>
    <row r="2184" spans="1:7" ht="15.75" x14ac:dyDescent="0.25">
      <c r="A2184" s="15">
        <f>'PEDIDO 27'!$B$2</f>
        <v>0</v>
      </c>
      <c r="B2184" s="12" t="s">
        <v>475</v>
      </c>
      <c r="C2184" s="1">
        <f>IFERROR(VLOOKUP(1265,'PEDIDO 27'!$C$2:$E$230,3,0),0)</f>
        <v>0</v>
      </c>
      <c r="D2184" s="1"/>
      <c r="E2184" s="1"/>
      <c r="F2184" s="1"/>
      <c r="G2184" s="18">
        <f t="shared" si="56"/>
        <v>0</v>
      </c>
    </row>
    <row r="2185" spans="1:7" ht="15.75" x14ac:dyDescent="0.25">
      <c r="A2185" s="15">
        <f>'PEDIDO 27'!$B$2</f>
        <v>0</v>
      </c>
      <c r="B2185" s="12" t="s">
        <v>476</v>
      </c>
      <c r="C2185" s="1">
        <f>IFERROR(VLOOKUP(1266,'PEDIDO 27'!$C$2:$E$230,3,0),0)</f>
        <v>0</v>
      </c>
      <c r="D2185" s="1"/>
      <c r="E2185" s="1"/>
      <c r="F2185" s="1"/>
      <c r="G2185" s="18">
        <f t="shared" si="56"/>
        <v>0</v>
      </c>
    </row>
    <row r="2186" spans="1:7" ht="15.75" x14ac:dyDescent="0.25">
      <c r="A2186" s="15">
        <f>'PEDIDO 27'!$B$2</f>
        <v>0</v>
      </c>
      <c r="B2186" s="12" t="s">
        <v>477</v>
      </c>
      <c r="C2186" s="1">
        <f>IFERROR(VLOOKUP(1268,'PEDIDO 27'!$C$2:$E$230,3,0),0)</f>
        <v>0</v>
      </c>
      <c r="D2186" s="1">
        <f>IFERROR(VLOOKUP(1269,'PEDIDO 27'!$C$2:$E$230,3,0),0)</f>
        <v>0</v>
      </c>
      <c r="E2186" s="1">
        <f>IFERROR(VLOOKUP(1270,'PEDIDO 27'!$C$2:$E$230,3,0),0)</f>
        <v>0</v>
      </c>
      <c r="F2186" s="1">
        <f>IFERROR(VLOOKUP(1271,'PEDIDO 27'!$C$2:$E$230,3,0),0)</f>
        <v>0</v>
      </c>
      <c r="G2186" s="18">
        <f t="shared" ref="G2186" si="57">SUM(C2186+D2186+E2186+F2186)</f>
        <v>0</v>
      </c>
    </row>
    <row r="2189" spans="1:7" ht="15.75" x14ac:dyDescent="0.25">
      <c r="A2189" s="15">
        <f>'PEDIDO 28'!$B$2</f>
        <v>0</v>
      </c>
      <c r="B2189" s="12" t="s">
        <v>399</v>
      </c>
      <c r="C2189" s="1">
        <f>IFERROR(VLOOKUP(1,'PEDIDO 28'!$C$2:$E$230,3,0),0)</f>
        <v>0</v>
      </c>
      <c r="D2189" s="1">
        <f>IFERROR(VLOOKUP(2,'PEDIDO 28'!$C$2:$E$230,3,0),0)</f>
        <v>0</v>
      </c>
      <c r="E2189" s="1">
        <f>IFERROR(VLOOKUP(3,'PEDIDO 28'!$C$2:$E$230,3,0),0)</f>
        <v>0</v>
      </c>
      <c r="F2189" s="1">
        <f>IFERROR(VLOOKUP(282,'PEDIDO 28'!$C$2:$E$230,3,0),0)</f>
        <v>0</v>
      </c>
      <c r="G2189" s="18">
        <f>SUM(C2189+D2189+E2189+F2189)</f>
        <v>0</v>
      </c>
    </row>
    <row r="2190" spans="1:7" ht="15.75" x14ac:dyDescent="0.25">
      <c r="A2190" s="15">
        <f>'PEDIDO 28'!$B$2</f>
        <v>0</v>
      </c>
      <c r="B2190" s="12" t="s">
        <v>400</v>
      </c>
      <c r="C2190" s="1">
        <f>IFERROR(VLOOKUP(5,'PEDIDO 28'!$C$2:$E$230,3,0),0)</f>
        <v>0</v>
      </c>
      <c r="D2190" s="1">
        <f>IFERROR(VLOOKUP(6,'PEDIDO 28'!$C$2:$E$230,3,0),0)</f>
        <v>0</v>
      </c>
      <c r="E2190" s="1">
        <f>IFERROR(VLOOKUP(7,'PEDIDO 28'!$C$2:$E$230,3,0),0)</f>
        <v>0</v>
      </c>
      <c r="F2190" s="1">
        <f>IFERROR(VLOOKUP(258,'PEDIDO 28'!$C$2:$E$230,3,0),0)</f>
        <v>0</v>
      </c>
      <c r="G2190" s="18">
        <f t="shared" ref="G2190:G2253" si="58">SUM(C2190+D2190+E2190+F2190)</f>
        <v>0</v>
      </c>
    </row>
    <row r="2191" spans="1:7" ht="15.75" x14ac:dyDescent="0.25">
      <c r="A2191" s="15">
        <f>'PEDIDO 28'!$B$2</f>
        <v>0</v>
      </c>
      <c r="B2191" s="12" t="s">
        <v>401</v>
      </c>
      <c r="C2191" s="1">
        <f>IFERROR(VLOOKUP(13,'PEDIDO 28'!$C$2:$E$230,3,0),0)</f>
        <v>0</v>
      </c>
      <c r="D2191" s="1">
        <f>IFERROR(VLOOKUP(14,'PEDIDO 28'!$C$2:$E$230,3,0),0)</f>
        <v>0</v>
      </c>
      <c r="E2191" s="1">
        <f>IFERROR(VLOOKUP(15,'PEDIDO 28'!$C$2:$E$230,3,0),0)</f>
        <v>0</v>
      </c>
      <c r="F2191" s="1">
        <f>IFERROR(VLOOKUP(289,'PEDIDO 28'!$C$2:$E$230,3,0),0)</f>
        <v>0</v>
      </c>
      <c r="G2191" s="18">
        <f t="shared" si="58"/>
        <v>0</v>
      </c>
    </row>
    <row r="2192" spans="1:7" ht="15.75" x14ac:dyDescent="0.25">
      <c r="A2192" s="15">
        <f>'PEDIDO 28'!$B$2</f>
        <v>0</v>
      </c>
      <c r="B2192" s="12" t="s">
        <v>402</v>
      </c>
      <c r="C2192" s="1">
        <f>IFERROR(VLOOKUP(267,'PEDIDO 28'!$C$2:$E$230,3,0),0)</f>
        <v>0</v>
      </c>
      <c r="D2192" s="1">
        <f>IFERROR(VLOOKUP(268,'PEDIDO 28'!$C$2:$E$230,3,0),0)</f>
        <v>0</v>
      </c>
      <c r="E2192" s="1">
        <f>IFERROR(VLOOKUP(270,'PEDIDO 28'!$C$2:$E$230,3,0),0)</f>
        <v>0</v>
      </c>
      <c r="F2192" s="1">
        <f>IFERROR(VLOOKUP(269,'PEDIDO 28'!$C$2:$E$230,3,0),0)</f>
        <v>0</v>
      </c>
      <c r="G2192" s="18">
        <f t="shared" si="58"/>
        <v>0</v>
      </c>
    </row>
    <row r="2193" spans="1:7" ht="15.75" x14ac:dyDescent="0.25">
      <c r="A2193" s="15">
        <f>'PEDIDO 28'!$B$2</f>
        <v>0</v>
      </c>
      <c r="B2193" s="12" t="s">
        <v>403</v>
      </c>
      <c r="C2193" s="1">
        <f>IFERROR(VLOOKUP(17,'PEDIDO 28'!$C$2:$E$230,3,0),0)</f>
        <v>0</v>
      </c>
      <c r="D2193" s="1">
        <f>IFERROR(VLOOKUP(18,'PEDIDO 28'!$C$2:$E$230,3,0),0)</f>
        <v>0</v>
      </c>
      <c r="E2193" s="1">
        <f>IFERROR(VLOOKUP(19,'PEDIDO 28'!$C$2:$E$230,3,0),0)</f>
        <v>0</v>
      </c>
      <c r="F2193" s="1">
        <f>IFERROR(VLOOKUP(290,'PEDIDO 28'!$C$2:$E$230,3,0),0)</f>
        <v>0</v>
      </c>
      <c r="G2193" s="18">
        <f t="shared" si="58"/>
        <v>0</v>
      </c>
    </row>
    <row r="2194" spans="1:7" ht="15.75" x14ac:dyDescent="0.25">
      <c r="A2194" s="15">
        <f>'PEDIDO 28'!$B$2</f>
        <v>0</v>
      </c>
      <c r="B2194" s="12" t="s">
        <v>404</v>
      </c>
      <c r="C2194" s="1">
        <f>IFERROR(VLOOKUP(23,'PEDIDO 28'!$C$2:$E$230,3,0),0)</f>
        <v>0</v>
      </c>
      <c r="D2194" s="1">
        <f>IFERROR(VLOOKUP(24,'PEDIDO 28'!$C$2:$E$230,3,0),0)</f>
        <v>0</v>
      </c>
      <c r="E2194" s="1">
        <f>IFERROR(VLOOKUP(25,'PEDIDO 28'!$C$2:$E$230,3,0),0)</f>
        <v>0</v>
      </c>
      <c r="F2194" s="1">
        <f>IFERROR(VLOOKUP(291,'PEDIDO 28'!$C$2:$E$230,3,0),0)</f>
        <v>0</v>
      </c>
      <c r="G2194" s="18">
        <f t="shared" si="58"/>
        <v>0</v>
      </c>
    </row>
    <row r="2195" spans="1:7" ht="15.75" x14ac:dyDescent="0.25">
      <c r="A2195" s="15">
        <f>'PEDIDO 28'!$B$2</f>
        <v>0</v>
      </c>
      <c r="B2195" s="12" t="s">
        <v>405</v>
      </c>
      <c r="C2195" s="1">
        <f>IFERROR(VLOOKUP(27,'PEDIDO 28'!$C$2:$E$230,3,0),0)</f>
        <v>0</v>
      </c>
      <c r="D2195" s="1">
        <f>IFERROR(VLOOKUP(28,'PEDIDO 28'!$C$2:$E$230,3,0),0)</f>
        <v>0</v>
      </c>
      <c r="E2195" s="1">
        <f>IFERROR(VLOOKUP(29,'PEDIDO 28'!$C$2:$E$230,3,0),0)</f>
        <v>0</v>
      </c>
      <c r="F2195" s="1">
        <f>IFERROR(VLOOKUP(292,'PEDIDO 28'!$C$2:$E$230,3,0),0)</f>
        <v>0</v>
      </c>
      <c r="G2195" s="18">
        <f t="shared" si="58"/>
        <v>0</v>
      </c>
    </row>
    <row r="2196" spans="1:7" ht="15.75" x14ac:dyDescent="0.25">
      <c r="A2196" s="15">
        <f>'PEDIDO 28'!$B$2</f>
        <v>0</v>
      </c>
      <c r="B2196" s="12" t="s">
        <v>406</v>
      </c>
      <c r="C2196" s="1">
        <f>IFERROR(VLOOKUP(227,'PEDIDO 28'!$C$2:$E$230,3,0),0)</f>
        <v>0</v>
      </c>
      <c r="D2196" s="1">
        <f>IFERROR(VLOOKUP(228,'PEDIDO 28'!$C$2:$E$230,3,0),0)</f>
        <v>0</v>
      </c>
      <c r="E2196" s="1">
        <f>IFERROR(VLOOKUP(229,'PEDIDO 28'!$C$2:$E$230,3,0),0)</f>
        <v>0</v>
      </c>
      <c r="F2196" s="1">
        <f>IFERROR(VLOOKUP(230,'PEDIDO 28'!$C$2:$E$230,3,0),0)</f>
        <v>0</v>
      </c>
      <c r="G2196" s="18">
        <f t="shared" si="58"/>
        <v>0</v>
      </c>
    </row>
    <row r="2197" spans="1:7" ht="15.75" x14ac:dyDescent="0.25">
      <c r="A2197" s="15">
        <f>'PEDIDO 28'!$B$2</f>
        <v>0</v>
      </c>
      <c r="B2197" s="12" t="s">
        <v>407</v>
      </c>
      <c r="C2197" s="1">
        <f>IFERROR(VLOOKUP(231,'PEDIDO 28'!$C$2:$E$230,3,0),0)</f>
        <v>0</v>
      </c>
      <c r="D2197" s="1">
        <f>IFERROR(VLOOKUP(232,'PEDIDO 28'!$C$2:$E$230,3,0),0)</f>
        <v>0</v>
      </c>
      <c r="E2197" s="1">
        <f>IFERROR(VLOOKUP(234,'PEDIDO 28'!$C$2:$E$230,3,0),0)</f>
        <v>0</v>
      </c>
      <c r="F2197" s="1">
        <f>IFERROR(VLOOKUP(233,'PEDIDO 28'!$C$2:$E$230,3,0),0)</f>
        <v>0</v>
      </c>
      <c r="G2197" s="18">
        <f t="shared" si="58"/>
        <v>0</v>
      </c>
    </row>
    <row r="2198" spans="1:7" ht="15.75" x14ac:dyDescent="0.25">
      <c r="A2198" s="15">
        <f>'PEDIDO 28'!$B$2</f>
        <v>0</v>
      </c>
      <c r="B2198" s="12" t="s">
        <v>408</v>
      </c>
      <c r="C2198" s="1">
        <f>IFERROR(VLOOKUP(237,'PEDIDO 28'!$C$2:$E$230,3,0),0)</f>
        <v>0</v>
      </c>
      <c r="D2198" s="1">
        <f>IFERROR(VLOOKUP(238,'PEDIDO 28'!$C$2:$E$230,3,0),0)</f>
        <v>0</v>
      </c>
      <c r="E2198" s="1">
        <f>IFERROR(VLOOKUP(240,'PEDIDO 28'!$C$2:$E$230,3,0),0)</f>
        <v>0</v>
      </c>
      <c r="F2198" s="1">
        <f>IFERROR(VLOOKUP(239,'PEDIDO 28'!$C$2:$E$230,3,0),0)</f>
        <v>0</v>
      </c>
      <c r="G2198" s="18">
        <f t="shared" si="58"/>
        <v>0</v>
      </c>
    </row>
    <row r="2199" spans="1:7" ht="15.75" x14ac:dyDescent="0.25">
      <c r="A2199" s="15">
        <f>'PEDIDO 28'!$B$2</f>
        <v>0</v>
      </c>
      <c r="B2199" s="12" t="s">
        <v>409</v>
      </c>
      <c r="C2199" s="1">
        <f>IFERROR(VLOOKUP(25707,'PEDIDO 28'!$C$2:$E$230,3,0),0)</f>
        <v>0</v>
      </c>
      <c r="D2199" s="1">
        <f>IFERROR(VLOOKUP(25708,'PEDIDO 28'!$C$2:$E$230,3,0),0)</f>
        <v>0</v>
      </c>
      <c r="E2199" s="1">
        <f>IFERROR(VLOOKUP(25710,'PEDIDO 28'!$C$2:$E$230,3,0),0)</f>
        <v>0</v>
      </c>
      <c r="F2199" s="1">
        <f>IFERROR(VLOOKUP(25709,'PEDIDO 28'!$C$2:$E$230,3,0),0)</f>
        <v>0</v>
      </c>
      <c r="G2199" s="18">
        <f t="shared" si="58"/>
        <v>0</v>
      </c>
    </row>
    <row r="2200" spans="1:7" ht="15.75" x14ac:dyDescent="0.25">
      <c r="A2200" s="15">
        <f>'PEDIDO 28'!$B$2</f>
        <v>0</v>
      </c>
      <c r="B2200" s="12" t="s">
        <v>410</v>
      </c>
      <c r="C2200" s="1">
        <f>IFERROR(VLOOKUP(25711,'PEDIDO 28'!$C$2:$E$230,3,0),0)</f>
        <v>0</v>
      </c>
      <c r="D2200" s="1"/>
      <c r="E2200" s="1"/>
      <c r="F2200" s="1"/>
      <c r="G2200" s="18">
        <f t="shared" si="58"/>
        <v>0</v>
      </c>
    </row>
    <row r="2201" spans="1:7" ht="15.75" x14ac:dyDescent="0.25">
      <c r="A2201" s="15">
        <f>'PEDIDO 28'!$B$2</f>
        <v>0</v>
      </c>
      <c r="B2201" s="12" t="s">
        <v>411</v>
      </c>
      <c r="C2201" s="1">
        <f>IFERROR(VLOOKUP(35,'PEDIDO 28'!$C$2:$E$230,3,0),0)</f>
        <v>0</v>
      </c>
      <c r="D2201" s="1">
        <f>IFERROR(VLOOKUP(36,'PEDIDO 28'!$C$2:$E$230,3,0),0)</f>
        <v>0</v>
      </c>
      <c r="E2201" s="1">
        <f>IFERROR(VLOOKUP(37,'PEDIDO 28'!$C$2:$E$230,3,0),0)</f>
        <v>0</v>
      </c>
      <c r="F2201" s="1">
        <f>IFERROR(VLOOKUP(294,'PEDIDO 28'!$C$2:$E$230,3,0),0)</f>
        <v>0</v>
      </c>
      <c r="G2201" s="18">
        <f t="shared" si="58"/>
        <v>0</v>
      </c>
    </row>
    <row r="2202" spans="1:7" ht="15.75" x14ac:dyDescent="0.25">
      <c r="A2202" s="15">
        <f>'PEDIDO 28'!$B$2</f>
        <v>0</v>
      </c>
      <c r="B2202" s="12" t="s">
        <v>412</v>
      </c>
      <c r="C2202" s="1">
        <f>IFERROR(VLOOKUP(39,'PEDIDO 28'!$C$2:$E$230,3,0),0)</f>
        <v>0</v>
      </c>
      <c r="D2202" s="1">
        <f>IFERROR(VLOOKUP(40,'PEDIDO 28'!$C$2:$E$230,3,0),0)</f>
        <v>0</v>
      </c>
      <c r="E2202" s="1">
        <f>IFERROR(VLOOKUP(42,'PEDIDO 28'!$C$2:$E$230,3,0),0)</f>
        <v>0</v>
      </c>
      <c r="F2202" s="1">
        <f>IFERROR(VLOOKUP(295,'PEDIDO 28'!$C$2:$E$230,3,0),0)</f>
        <v>0</v>
      </c>
      <c r="G2202" s="18">
        <f t="shared" si="58"/>
        <v>0</v>
      </c>
    </row>
    <row r="2203" spans="1:7" ht="15.75" x14ac:dyDescent="0.25">
      <c r="A2203" s="15">
        <f>'PEDIDO 28'!$B$2</f>
        <v>0</v>
      </c>
      <c r="B2203" s="12" t="s">
        <v>413</v>
      </c>
      <c r="C2203" s="1">
        <f>IFERROR(VLOOKUP(44,'PEDIDO 28'!$C$2:$E$230,3,0),0)</f>
        <v>0</v>
      </c>
      <c r="D2203" s="1">
        <f>IFERROR(VLOOKUP(45,'PEDIDO 28'!$C$2:$E$230,3,0),0)</f>
        <v>0</v>
      </c>
      <c r="E2203" s="1">
        <f>IFERROR(VLOOKUP(46,'PEDIDO 28'!$C$2:$E$230,3,0),0)</f>
        <v>0</v>
      </c>
      <c r="F2203" s="1">
        <f>IFERROR(VLOOKUP(283,'PEDIDO 28'!$C$2:$E$230,3,0),0)</f>
        <v>0</v>
      </c>
      <c r="G2203" s="18">
        <f t="shared" si="58"/>
        <v>0</v>
      </c>
    </row>
    <row r="2204" spans="1:7" ht="15.75" x14ac:dyDescent="0.25">
      <c r="A2204" s="15">
        <f>'PEDIDO 28'!$B$2</f>
        <v>0</v>
      </c>
      <c r="B2204" s="12" t="s">
        <v>414</v>
      </c>
      <c r="C2204" s="1">
        <f>IFERROR(VLOOKUP(48,'PEDIDO 28'!$C$2:$E$230,3,0),0)</f>
        <v>0</v>
      </c>
      <c r="D2204" s="1">
        <f>IFERROR(VLOOKUP(49,'PEDIDO 28'!$C$2:$E$230,3,0),0)</f>
        <v>0</v>
      </c>
      <c r="E2204" s="1">
        <f>IFERROR(VLOOKUP(50,'PEDIDO 28'!$C$2:$E$230,3,0),0)</f>
        <v>0</v>
      </c>
      <c r="F2204" s="1">
        <f>IFERROR(VLOOKUP(298,'PEDIDO 28'!$C$2:$E$230,3,0),0)</f>
        <v>0</v>
      </c>
      <c r="G2204" s="18">
        <f t="shared" si="58"/>
        <v>0</v>
      </c>
    </row>
    <row r="2205" spans="1:7" ht="15.75" x14ac:dyDescent="0.25">
      <c r="A2205" s="15">
        <f>'PEDIDO 28'!$B$2</f>
        <v>0</v>
      </c>
      <c r="B2205" s="12" t="s">
        <v>415</v>
      </c>
      <c r="C2205" s="1">
        <f>IFERROR(VLOOKUP(52,'PEDIDO 28'!$C$2:$E$230,3,0),0)</f>
        <v>0</v>
      </c>
      <c r="D2205" s="1">
        <f>IFERROR(VLOOKUP(53,'PEDIDO 28'!$C$2:$E$230,3,0),0)</f>
        <v>0</v>
      </c>
      <c r="E2205" s="1">
        <f>IFERROR(VLOOKUP(54,'PEDIDO 28'!$C$2:$E$230,3,0),0)</f>
        <v>0</v>
      </c>
      <c r="F2205" s="1">
        <f>IFERROR(VLOOKUP(299,'PEDIDO 28'!$C$2:$E$230,3,0),0)</f>
        <v>0</v>
      </c>
      <c r="G2205" s="18">
        <f t="shared" si="58"/>
        <v>0</v>
      </c>
    </row>
    <row r="2206" spans="1:7" ht="15.75" x14ac:dyDescent="0.25">
      <c r="A2206" s="15">
        <f>'PEDIDO 28'!$B$2</f>
        <v>0</v>
      </c>
      <c r="B2206" s="12" t="s">
        <v>416</v>
      </c>
      <c r="C2206" s="1">
        <f>IFERROR(VLOOKUP(56,'PEDIDO 28'!$C$2:$E$230,3,0),0)</f>
        <v>0</v>
      </c>
      <c r="D2206" s="1">
        <f>IFERROR(VLOOKUP(61,'PEDIDO 28'!$C$2:$E$230,3,0),0)</f>
        <v>0</v>
      </c>
      <c r="E2206" s="1">
        <f>IFERROR(VLOOKUP(58,'PEDIDO 28'!$C$2:$E$230,3,0),0)</f>
        <v>0</v>
      </c>
      <c r="F2206" s="1">
        <f>IFERROR(VLOOKUP(300,'PEDIDO 28'!$C$2:$E$230,3,0),0)</f>
        <v>0</v>
      </c>
      <c r="G2206" s="18">
        <f t="shared" si="58"/>
        <v>0</v>
      </c>
    </row>
    <row r="2207" spans="1:7" ht="15.75" x14ac:dyDescent="0.25">
      <c r="A2207" s="15">
        <f>'PEDIDO 28'!$B$2</f>
        <v>0</v>
      </c>
      <c r="B2207" s="12" t="s">
        <v>417</v>
      </c>
      <c r="C2207" s="1">
        <f>IFERROR(VLOOKUP(60,'PEDIDO 28'!$C$2:$E$230,3,0),0)</f>
        <v>0</v>
      </c>
      <c r="D2207" s="1">
        <f>IFERROR(VLOOKUP(120,'PEDIDO 28'!$C$2:$E$230,3,0),0)</f>
        <v>0</v>
      </c>
      <c r="E2207" s="1">
        <f>IFERROR(VLOOKUP(62,'PEDIDO 28'!$C$2:$E$230,3,0),0)</f>
        <v>0</v>
      </c>
      <c r="F2207" s="1">
        <f>IFERROR(VLOOKUP(301,'PEDIDO 28'!$C$2:$E$230,3,0),0)</f>
        <v>0</v>
      </c>
      <c r="G2207" s="18">
        <f t="shared" si="58"/>
        <v>0</v>
      </c>
    </row>
    <row r="2208" spans="1:7" ht="15.75" x14ac:dyDescent="0.25">
      <c r="A2208" s="15">
        <f>'PEDIDO 28'!$B$2</f>
        <v>0</v>
      </c>
      <c r="B2208" s="12" t="s">
        <v>426</v>
      </c>
      <c r="C2208" s="1">
        <f>IFERROR(VLOOKUP(112,'PEDIDO 28'!$C$2:$E$230,3,0),0)</f>
        <v>0</v>
      </c>
      <c r="D2208" s="1">
        <f>IFERROR(VLOOKUP(113,'PEDIDO 28'!$C$2:$E$230,3,0),0)</f>
        <v>0</v>
      </c>
      <c r="E2208" s="1">
        <f>IFERROR(VLOOKUP(114,'PEDIDO 28'!$C$2:$E$230,3,0),0)</f>
        <v>0</v>
      </c>
      <c r="F2208" s="1">
        <f>IFERROR(VLOOKUP(296,'PEDIDO 28'!$C$2:$E$230,3,0),0)</f>
        <v>0</v>
      </c>
      <c r="G2208" s="18">
        <f t="shared" si="58"/>
        <v>0</v>
      </c>
    </row>
    <row r="2209" spans="1:7" ht="15.75" x14ac:dyDescent="0.25">
      <c r="A2209" s="15">
        <f>'PEDIDO 28'!$B$2</f>
        <v>0</v>
      </c>
      <c r="B2209" s="12" t="s">
        <v>427</v>
      </c>
      <c r="C2209" s="1">
        <f>IFERROR(VLOOKUP(116,'PEDIDO 28'!$C$2:$E$230,3,0),0)</f>
        <v>0</v>
      </c>
      <c r="D2209" s="1">
        <f>IFERROR(VLOOKUP(117,'PEDIDO 28'!$C$2:$E$230,3,0),0)</f>
        <v>0</v>
      </c>
      <c r="E2209" s="1">
        <f>IFERROR(VLOOKUP(118,'PEDIDO 28'!$C$2:$E$230,3,0),0)</f>
        <v>0</v>
      </c>
      <c r="F2209" s="1">
        <f>IFERROR(VLOOKUP(293,'PEDIDO 28'!$C$2:$E$230,3,0),0)</f>
        <v>0</v>
      </c>
      <c r="G2209" s="18">
        <f t="shared" si="58"/>
        <v>0</v>
      </c>
    </row>
    <row r="2210" spans="1:7" ht="15.75" x14ac:dyDescent="0.25">
      <c r="A2210" s="15">
        <f>'PEDIDO 28'!$B$2</f>
        <v>0</v>
      </c>
      <c r="B2210" s="12" t="s">
        <v>418</v>
      </c>
      <c r="C2210" s="1">
        <f>IFERROR(VLOOKUP(963,'PEDIDO 28'!$C$2:$E$230,3,0),0)</f>
        <v>0</v>
      </c>
      <c r="D2210" s="1">
        <f>IFERROR(VLOOKUP(965,'PEDIDO 28'!$C$2:$E$230,3,0),0)</f>
        <v>0</v>
      </c>
      <c r="E2210" s="1">
        <f>IFERROR(VLOOKUP(966,'PEDIDO 28'!$C$2:$E$230,3,0),0)</f>
        <v>0</v>
      </c>
      <c r="F2210" s="1">
        <f>IFERROR(VLOOKUP(964,'PEDIDO 28'!$C$2:$E$230,3,0),0)</f>
        <v>0</v>
      </c>
      <c r="G2210" s="18">
        <f t="shared" si="58"/>
        <v>0</v>
      </c>
    </row>
    <row r="2211" spans="1:7" ht="15.75" x14ac:dyDescent="0.25">
      <c r="A2211" s="15">
        <f>'PEDIDO 28'!$B$2</f>
        <v>0</v>
      </c>
      <c r="B2211" s="12" t="s">
        <v>419</v>
      </c>
      <c r="C2211" s="1">
        <f>IFERROR(VLOOKUP(2042,'PEDIDO 28'!$C$2:$E$230,3,0),0)</f>
        <v>0</v>
      </c>
      <c r="D2211" s="1">
        <f>IFERROR(VLOOKUP(2041,'PEDIDO 28'!$C$2:$E$230,3,0),0)</f>
        <v>0</v>
      </c>
      <c r="E2211" s="1">
        <f>IFERROR(VLOOKUP(2043,'PEDIDO 28'!$C$2:$E$230,3,0),0)</f>
        <v>0</v>
      </c>
      <c r="F2211" s="1">
        <f>IFERROR(VLOOKUP(2040,'PEDIDO 28'!$C$2:$E$230,3,0),0)</f>
        <v>0</v>
      </c>
      <c r="G2211" s="18">
        <f t="shared" si="58"/>
        <v>0</v>
      </c>
    </row>
    <row r="2212" spans="1:7" ht="15.75" x14ac:dyDescent="0.25">
      <c r="A2212" s="15">
        <f>'PEDIDO 28'!$B$2</f>
        <v>0</v>
      </c>
      <c r="B2212" s="12" t="s">
        <v>420</v>
      </c>
      <c r="C2212" s="1">
        <f>IFERROR(VLOOKUP(2045,'PEDIDO 28'!$C$2:$E$230,3,0),0)</f>
        <v>0</v>
      </c>
      <c r="D2212" s="1">
        <f>IFERROR(VLOOKUP(2046,'PEDIDO 28'!$C$2:$E$230,3,0),0)</f>
        <v>0</v>
      </c>
      <c r="E2212" s="1">
        <f>IFERROR(VLOOKUP(2047,'PEDIDO 28'!$C$2:$E$230,3,0),0)</f>
        <v>0</v>
      </c>
      <c r="F2212" s="1">
        <f>IFERROR(VLOOKUP(2048,'PEDIDO 28'!$C$2:$E$230,3,0),0)</f>
        <v>0</v>
      </c>
      <c r="G2212" s="18">
        <f t="shared" si="58"/>
        <v>0</v>
      </c>
    </row>
    <row r="2213" spans="1:7" ht="15.75" x14ac:dyDescent="0.25">
      <c r="A2213" s="15">
        <f>'PEDIDO 28'!$B$2</f>
        <v>0</v>
      </c>
      <c r="B2213" s="12" t="s">
        <v>421</v>
      </c>
      <c r="C2213" s="1">
        <f>IFERROR(VLOOKUP(2050,'PEDIDO 28'!$C$2:$E$230,3,0),0)</f>
        <v>0</v>
      </c>
      <c r="D2213" s="1">
        <f>IFERROR(VLOOKUP(2051,'PEDIDO 28'!$C$2:$E$230,3,0),0)</f>
        <v>0</v>
      </c>
      <c r="E2213" s="1">
        <f>IFERROR(VLOOKUP(2052,'PEDIDO 28'!$C$2:$E$230,3,0),0)</f>
        <v>0</v>
      </c>
      <c r="F2213" s="1">
        <f>IFERROR(VLOOKUP(2053,'PEDIDO 28'!$C$2:$E$230,3,0),0)</f>
        <v>0</v>
      </c>
      <c r="G2213" s="18">
        <f t="shared" si="58"/>
        <v>0</v>
      </c>
    </row>
    <row r="2214" spans="1:7" ht="15.75" x14ac:dyDescent="0.25">
      <c r="A2214" s="15">
        <f>'PEDIDO 28'!$B$2</f>
        <v>0</v>
      </c>
      <c r="B2214" s="12" t="s">
        <v>422</v>
      </c>
      <c r="C2214" s="1">
        <f>IFERROR(VLOOKUP(216,'PEDIDO 28'!$C$2:$E$230,3,0),0)</f>
        <v>0</v>
      </c>
      <c r="D2214" s="1">
        <f>IFERROR(VLOOKUP(217,'PEDIDO 28'!$C$2:$E$230,3,0),0)</f>
        <v>0</v>
      </c>
      <c r="E2214" s="1">
        <f>IFERROR(VLOOKUP(218,'PEDIDO 28'!$C$2:$E$230,3,0),0)</f>
        <v>0</v>
      </c>
      <c r="F2214" s="1">
        <f>IFERROR(VLOOKUP(305,'PEDIDO 28'!$C$2:$E$230,3,0),0)</f>
        <v>0</v>
      </c>
      <c r="G2214" s="18">
        <f t="shared" si="58"/>
        <v>0</v>
      </c>
    </row>
    <row r="2215" spans="1:7" ht="15.75" x14ac:dyDescent="0.25">
      <c r="A2215" s="15">
        <f>'PEDIDO 28'!$B$2</f>
        <v>0</v>
      </c>
      <c r="B2215" s="12" t="s">
        <v>423</v>
      </c>
      <c r="C2215" s="1">
        <f>IFERROR(VLOOKUP(100,'PEDIDO 28'!$C$2:$E$230,3,0),0)</f>
        <v>0</v>
      </c>
      <c r="D2215" s="1">
        <f>IFERROR(VLOOKUP(101,'PEDIDO 28'!$C$2:$E$230,3,0),0)</f>
        <v>0</v>
      </c>
      <c r="E2215" s="1">
        <f>IFERROR(VLOOKUP(102,'PEDIDO 28'!$C$2:$E$230,3,0),0)</f>
        <v>0</v>
      </c>
      <c r="F2215" s="1">
        <f>IFERROR(VLOOKUP(306,'PEDIDO 28'!$C$2:$E$230,3,0),0)</f>
        <v>0</v>
      </c>
      <c r="G2215" s="18">
        <f t="shared" si="58"/>
        <v>0</v>
      </c>
    </row>
    <row r="2216" spans="1:7" ht="15.75" x14ac:dyDescent="0.25">
      <c r="A2216" s="15">
        <f>'PEDIDO 28'!$B$2</f>
        <v>0</v>
      </c>
      <c r="B2216" s="12" t="s">
        <v>424</v>
      </c>
      <c r="C2216" s="1">
        <f>IFERROR(VLOOKUP(104,'PEDIDO 28'!$C$2:$E$230,3,0),0)</f>
        <v>0</v>
      </c>
      <c r="D2216" s="1">
        <f>IFERROR(VLOOKUP(105,'PEDIDO 28'!$C$2:$E$230,3,0),0)</f>
        <v>0</v>
      </c>
      <c r="E2216" s="1">
        <f>IFERROR(VLOOKUP(106,'PEDIDO 28'!$C$2:$E$230,3,0),0)</f>
        <v>0</v>
      </c>
      <c r="F2216" s="1">
        <f>IFERROR(VLOOKUP(307,'PEDIDO 28'!$C$2:$E$230,3,0),0)</f>
        <v>0</v>
      </c>
      <c r="G2216" s="18">
        <f t="shared" si="58"/>
        <v>0</v>
      </c>
    </row>
    <row r="2217" spans="1:7" ht="15.75" x14ac:dyDescent="0.25">
      <c r="A2217" s="15">
        <f>'PEDIDO 28'!$B$2</f>
        <v>0</v>
      </c>
      <c r="B2217" s="12" t="s">
        <v>425</v>
      </c>
      <c r="C2217" s="1">
        <f>IFERROR(VLOOKUP(400,'PEDIDO 28'!$C$2:$E$230,3,0),0)</f>
        <v>0</v>
      </c>
      <c r="D2217" s="1">
        <f>IFERROR(VLOOKUP(401,'PEDIDO 28'!$C$2:$E$230,3,0),0)</f>
        <v>0</v>
      </c>
      <c r="E2217" s="1">
        <f>IFERROR(VLOOKUP(402,'PEDIDO 28'!$C$2:$E$230,3,0),0)</f>
        <v>0</v>
      </c>
      <c r="F2217" s="1">
        <f>IFERROR(VLOOKUP(403,'PEDIDO 28'!$C$2:$E$230,3,0),0)</f>
        <v>0</v>
      </c>
      <c r="G2217" s="18">
        <f t="shared" si="58"/>
        <v>0</v>
      </c>
    </row>
    <row r="2218" spans="1:7" ht="15.75" x14ac:dyDescent="0.25">
      <c r="A2218" s="15">
        <f>'PEDIDO 28'!$B$2</f>
        <v>0</v>
      </c>
      <c r="B2218" s="12" t="s">
        <v>428</v>
      </c>
      <c r="C2218" s="1">
        <f>IFERROR(VLOOKUP(22,'PEDIDO 28'!$C$2:$E$230,3,0),0)</f>
        <v>0</v>
      </c>
      <c r="D2218" s="1"/>
      <c r="E2218" s="1"/>
      <c r="F2218" s="1"/>
      <c r="G2218" s="18">
        <f t="shared" si="58"/>
        <v>0</v>
      </c>
    </row>
    <row r="2219" spans="1:7" ht="15.75" x14ac:dyDescent="0.25">
      <c r="A2219" s="15">
        <f>'PEDIDO 28'!$B$2</f>
        <v>0</v>
      </c>
      <c r="B2219" s="12" t="s">
        <v>429</v>
      </c>
      <c r="C2219" s="1">
        <f>IFERROR(VLOOKUP(21,'PEDIDO 28'!$C$2:$E$230,3,0),0)</f>
        <v>0</v>
      </c>
      <c r="D2219" s="1"/>
      <c r="E2219" s="1"/>
      <c r="F2219" s="1"/>
      <c r="G2219" s="18">
        <f t="shared" si="58"/>
        <v>0</v>
      </c>
    </row>
    <row r="2220" spans="1:7" ht="15.75" x14ac:dyDescent="0.25">
      <c r="A2220" s="15">
        <f>'PEDIDO 28'!$B$2</f>
        <v>0</v>
      </c>
      <c r="B2220" s="12" t="s">
        <v>430</v>
      </c>
      <c r="C2220" s="1">
        <f>IFERROR(VLOOKUP(1125,'PEDIDO 28'!$C$2:$E$230,3,0),0)</f>
        <v>0</v>
      </c>
      <c r="D2220" s="1">
        <f>IFERROR(VLOOKUP(1126,'PEDIDO 28'!$C$2:$E$230,3,0),0)</f>
        <v>0</v>
      </c>
      <c r="E2220" s="1">
        <f>IFERROR(VLOOKUP(1127,'PEDIDO 28'!$C$2:$E$230,3,0),0)</f>
        <v>0</v>
      </c>
      <c r="F2220" s="1">
        <f>IFERROR(VLOOKUP(1128,'PEDIDO 28'!$C$2:$E$230,3,0),0)</f>
        <v>0</v>
      </c>
      <c r="G2220" s="18">
        <f t="shared" si="58"/>
        <v>0</v>
      </c>
    </row>
    <row r="2221" spans="1:7" ht="15.75" x14ac:dyDescent="0.25">
      <c r="A2221" s="15">
        <f>'PEDIDO 28'!$B$2</f>
        <v>0</v>
      </c>
      <c r="B2221" s="12" t="s">
        <v>431</v>
      </c>
      <c r="C2221" s="1">
        <f>IFERROR(VLOOKUP(1133,'PEDIDO 28'!$C$2:$E$230,3,0),0)</f>
        <v>0</v>
      </c>
      <c r="D2221" s="1">
        <f>IFERROR(VLOOKUP(1134,'PEDIDO 28'!$C$2:$E$230,3,0),0)</f>
        <v>0</v>
      </c>
      <c r="E2221" s="1">
        <f>IFERROR(VLOOKUP(1135,'PEDIDO 28'!$C$2:$E$230,3,0),0)</f>
        <v>0</v>
      </c>
      <c r="F2221" s="1">
        <f>IFERROR(VLOOKUP(1136,'PEDIDO 28'!$C$2:$E$230,3,0),0)</f>
        <v>0</v>
      </c>
      <c r="G2221" s="18">
        <f t="shared" si="58"/>
        <v>0</v>
      </c>
    </row>
    <row r="2222" spans="1:7" ht="15.75" x14ac:dyDescent="0.25">
      <c r="A2222" s="15">
        <f>'PEDIDO 28'!$B$2</f>
        <v>0</v>
      </c>
      <c r="B2222" s="12" t="s">
        <v>432</v>
      </c>
      <c r="C2222" s="1">
        <f>IFERROR(VLOOKUP(1105,'PEDIDO 28'!$C$2:$E$230,3,0),0)</f>
        <v>0</v>
      </c>
      <c r="D2222" s="1">
        <f>IFERROR(VLOOKUP(1106,'PEDIDO 28'!$C$2:$E$230,3,0),0)</f>
        <v>0</v>
      </c>
      <c r="E2222" s="1">
        <f>IFERROR(VLOOKUP(1107,'PEDIDO 28'!$C$2:$E$230,3,0),0)</f>
        <v>0</v>
      </c>
      <c r="F2222" s="1">
        <f>IFERROR(VLOOKUP(1108,'PEDIDO 28'!$C$2:$E$230,3,0),0)</f>
        <v>0</v>
      </c>
      <c r="G2222" s="18">
        <f t="shared" si="58"/>
        <v>0</v>
      </c>
    </row>
    <row r="2223" spans="1:7" ht="15.75" x14ac:dyDescent="0.25">
      <c r="A2223" s="15">
        <f>'PEDIDO 28'!$B$2</f>
        <v>0</v>
      </c>
      <c r="B2223" s="12" t="s">
        <v>433</v>
      </c>
      <c r="C2223" s="1">
        <f>IFERROR(VLOOKUP(1109,'PEDIDO 28'!$C$2:$E$230,3,0),0)</f>
        <v>0</v>
      </c>
      <c r="D2223" s="1">
        <f>IFERROR(VLOOKUP(1110,'PEDIDO 28'!$C$2:$E$230,3,0),0)</f>
        <v>0</v>
      </c>
      <c r="E2223" s="1">
        <f>IFERROR(VLOOKUP(1111,'PEDIDO 28'!$C$2:$E$230,3,0),0)</f>
        <v>0</v>
      </c>
      <c r="F2223" s="1">
        <f>IFERROR(VLOOKUP(1112,'PEDIDO 28'!$C$2:$E$230,3,0),0)</f>
        <v>0</v>
      </c>
      <c r="G2223" s="18">
        <f t="shared" si="58"/>
        <v>0</v>
      </c>
    </row>
    <row r="2224" spans="1:7" ht="15.75" x14ac:dyDescent="0.25">
      <c r="A2224" s="15">
        <f>'PEDIDO 28'!$B$2</f>
        <v>0</v>
      </c>
      <c r="B2224" s="12" t="s">
        <v>434</v>
      </c>
      <c r="C2224" s="1">
        <f>IFERROR(VLOOKUP(1113,'PEDIDO 28'!$C$2:$E$230,3,0),0)</f>
        <v>0</v>
      </c>
      <c r="D2224" s="1">
        <f>IFERROR(VLOOKUP(1114,'PEDIDO 28'!$C$2:$E$230,3,0),0)</f>
        <v>0</v>
      </c>
      <c r="E2224" s="1">
        <f>IFERROR(VLOOKUP(1115,'PEDIDO 28'!$C$2:$E$230,3,0),0)</f>
        <v>0</v>
      </c>
      <c r="F2224" s="1">
        <f>IFERROR(VLOOKUP(1116,'PEDIDO 28'!$C$2:$E$230,3,0),0)</f>
        <v>0</v>
      </c>
      <c r="G2224" s="18">
        <f t="shared" si="58"/>
        <v>0</v>
      </c>
    </row>
    <row r="2225" spans="1:7" ht="15.75" x14ac:dyDescent="0.25">
      <c r="A2225" s="15">
        <f>'PEDIDO 28'!$B$2</f>
        <v>0</v>
      </c>
      <c r="B2225" s="12" t="s">
        <v>435</v>
      </c>
      <c r="C2225" s="1">
        <f>IFERROR(VLOOKUP(1117,'PEDIDO 28'!$C$2:$E$230,3,0),0)</f>
        <v>0</v>
      </c>
      <c r="D2225" s="1">
        <f>IFERROR(VLOOKUP(1118,'PEDIDO 28'!$C$2:$E$230,3,0),0)</f>
        <v>0</v>
      </c>
      <c r="E2225" s="1">
        <f>IFERROR(VLOOKUP(1119,'PEDIDO 28'!$C$2:$E$230,3,0),0)</f>
        <v>0</v>
      </c>
      <c r="F2225" s="1">
        <f>IFERROR(VLOOKUP(1120,'PEDIDO 28'!$C$2:$E$230,3,0),0)</f>
        <v>0</v>
      </c>
      <c r="G2225" s="18">
        <f t="shared" si="58"/>
        <v>0</v>
      </c>
    </row>
    <row r="2226" spans="1:7" ht="15.75" x14ac:dyDescent="0.25">
      <c r="A2226" s="15">
        <f>'PEDIDO 28'!$B$2</f>
        <v>0</v>
      </c>
      <c r="B2226" s="12" t="s">
        <v>436</v>
      </c>
      <c r="C2226" s="1">
        <f>IFERROR(VLOOKUP(1121,'PEDIDO 28'!$C$2:$E$230,3,0),0)</f>
        <v>0</v>
      </c>
      <c r="D2226" s="1">
        <f>IFERROR(VLOOKUP(1122,'PEDIDO 28'!$C$2:$E$230,3,0),0)</f>
        <v>0</v>
      </c>
      <c r="E2226" s="1">
        <f>IFERROR(VLOOKUP(1123,'PEDIDO 28'!$C$2:$E$230,3,0),0)</f>
        <v>0</v>
      </c>
      <c r="F2226" s="1">
        <f>IFERROR(VLOOKUP(1124,'PEDIDO 28'!$C$2:$E$230,3,0),0)</f>
        <v>0</v>
      </c>
      <c r="G2226" s="18">
        <f t="shared" si="58"/>
        <v>0</v>
      </c>
    </row>
    <row r="2227" spans="1:7" ht="15.75" x14ac:dyDescent="0.25">
      <c r="A2227" s="15">
        <f>'PEDIDO 28'!$B$2</f>
        <v>0</v>
      </c>
      <c r="B2227" s="12" t="s">
        <v>437</v>
      </c>
      <c r="C2227" s="1">
        <f>IFERROR(VLOOKUP(1129,'PEDIDO 28'!$C$2:$E$230,3,0),0)</f>
        <v>0</v>
      </c>
      <c r="D2227" s="1">
        <f>IFERROR(VLOOKUP(1130,'PEDIDO 28'!$C$2:$E$230,3,0),0)</f>
        <v>0</v>
      </c>
      <c r="E2227" s="1">
        <f>IFERROR(VLOOKUP(1131,'PEDIDO 28'!$C$2:$E$230,3,0),0)</f>
        <v>0</v>
      </c>
      <c r="F2227" s="1">
        <f>IFERROR(VLOOKUP(1132,'PEDIDO 28'!$C$2:$E$230,3,0),0)</f>
        <v>0</v>
      </c>
      <c r="G2227" s="18">
        <f t="shared" si="58"/>
        <v>0</v>
      </c>
    </row>
    <row r="2228" spans="1:7" ht="15.75" x14ac:dyDescent="0.25">
      <c r="A2228" s="15">
        <f>'PEDIDO 28'!$B$2</f>
        <v>0</v>
      </c>
      <c r="B2228" s="12" t="s">
        <v>438</v>
      </c>
      <c r="C2228" s="1">
        <f>IFERROR(VLOOKUP(1137,'PEDIDO 28'!$C$2:$E$230,3,0),0)</f>
        <v>0</v>
      </c>
      <c r="D2228" s="1">
        <f>IFERROR(VLOOKUP(1138,'PEDIDO 28'!$C$2:$E$230,3,0),0)</f>
        <v>0</v>
      </c>
      <c r="E2228" s="1">
        <f>IFERROR(VLOOKUP(1139,'PEDIDO 28'!$C$2:$E$230,3,0),0)</f>
        <v>0</v>
      </c>
      <c r="F2228" s="1">
        <f>IFERROR(VLOOKUP(1140,'PEDIDO 28'!$C$2:$E$230,3,0),0)</f>
        <v>0</v>
      </c>
      <c r="G2228" s="18">
        <f t="shared" si="58"/>
        <v>0</v>
      </c>
    </row>
    <row r="2229" spans="1:7" ht="15.75" x14ac:dyDescent="0.25">
      <c r="A2229" s="15">
        <f>'PEDIDO 28'!$B$2</f>
        <v>0</v>
      </c>
      <c r="B2229" s="12" t="s">
        <v>439</v>
      </c>
      <c r="C2229" s="1">
        <f>IFERROR(VLOOKUP(1141,'PEDIDO 28'!$C$2:$E$230,3,0),0)</f>
        <v>0</v>
      </c>
      <c r="D2229" s="1">
        <f>IFERROR(VLOOKUP(1142,'PEDIDO 28'!$C$2:$E$230,3,0),0)</f>
        <v>0</v>
      </c>
      <c r="E2229" s="1">
        <f>IFERROR(VLOOKUP(1143,'PEDIDO 28'!$C$2:$E$230,3,0),0)</f>
        <v>0</v>
      </c>
      <c r="F2229" s="1">
        <f>IFERROR(VLOOKUP(1144,'PEDIDO 28'!$C$2:$E$230,3,0),0)</f>
        <v>0</v>
      </c>
      <c r="G2229" s="18">
        <f t="shared" si="58"/>
        <v>0</v>
      </c>
    </row>
    <row r="2230" spans="1:7" ht="15.75" x14ac:dyDescent="0.25">
      <c r="A2230" s="15">
        <f>'PEDIDO 28'!$B$2</f>
        <v>0</v>
      </c>
      <c r="B2230" s="12" t="s">
        <v>440</v>
      </c>
      <c r="C2230" s="1">
        <f>IFERROR(VLOOKUP(1145,'PEDIDO 28'!$C$2:$E$230,3,0),0)</f>
        <v>0</v>
      </c>
      <c r="D2230" s="1">
        <f>IFERROR(VLOOKUP(1146,'PEDIDO 28'!$C$2:$E$230,3,0),0)</f>
        <v>0</v>
      </c>
      <c r="E2230" s="1">
        <f>IFERROR(VLOOKUP(1147,'PEDIDO 28'!$C$2:$E$230,3,0),0)</f>
        <v>0</v>
      </c>
      <c r="F2230" s="1">
        <f>IFERROR(VLOOKUP(1148,'PEDIDO 28'!$C$2:$E$230,3,0),0)</f>
        <v>0</v>
      </c>
      <c r="G2230" s="18">
        <f t="shared" si="58"/>
        <v>0</v>
      </c>
    </row>
    <row r="2231" spans="1:7" ht="15.75" x14ac:dyDescent="0.25">
      <c r="A2231" s="15">
        <f>'PEDIDO 28'!$B$2</f>
        <v>0</v>
      </c>
      <c r="B2231" s="12" t="s">
        <v>441</v>
      </c>
      <c r="C2231" s="1">
        <f>IFERROR(VLOOKUP(1149,'PEDIDO 28'!$C$2:$E$230,3,0),0)</f>
        <v>0</v>
      </c>
      <c r="D2231" s="1">
        <f>IFERROR(VLOOKUP(1150,'PEDIDO 28'!$C$2:$E$230,3,0),0)</f>
        <v>0</v>
      </c>
      <c r="E2231" s="1">
        <f>IFERROR(VLOOKUP(1151,'PEDIDO 28'!$C$2:$E$230,3,0),0)</f>
        <v>0</v>
      </c>
      <c r="F2231" s="1">
        <f>IFERROR(VLOOKUP(1152,'PEDIDO 28'!$C$2:$E$230,3,0),0)</f>
        <v>0</v>
      </c>
      <c r="G2231" s="18">
        <f t="shared" si="58"/>
        <v>0</v>
      </c>
    </row>
    <row r="2232" spans="1:7" ht="15.75" x14ac:dyDescent="0.25">
      <c r="A2232" s="15">
        <f>'PEDIDO 28'!$B$2</f>
        <v>0</v>
      </c>
      <c r="B2232" s="12" t="s">
        <v>442</v>
      </c>
      <c r="C2232" s="1">
        <f>IFERROR(VLOOKUP(1153,'PEDIDO 28'!$C$2:$E$230,3,0),0)</f>
        <v>0</v>
      </c>
      <c r="D2232" s="1">
        <f>IFERROR(VLOOKUP(1154,'PEDIDO 28'!$C$2:$E$230,3,0),0)</f>
        <v>0</v>
      </c>
      <c r="E2232" s="1">
        <f>IFERROR(VLOOKUP(1155,'PEDIDO 28'!$C$2:$E$230,3,0),0)</f>
        <v>0</v>
      </c>
      <c r="F2232" s="1">
        <f>IFERROR(VLOOKUP(1156,'PEDIDO 28'!$C$2:$E$230,3,0),0)</f>
        <v>0</v>
      </c>
      <c r="G2232" s="18">
        <f t="shared" si="58"/>
        <v>0</v>
      </c>
    </row>
    <row r="2233" spans="1:7" ht="15.75" x14ac:dyDescent="0.25">
      <c r="A2233" s="15">
        <f>'PEDIDO 28'!$B$2</f>
        <v>0</v>
      </c>
      <c r="B2233" s="12" t="s">
        <v>443</v>
      </c>
      <c r="C2233" s="1">
        <f>IFERROR(VLOOKUP(1157,'PEDIDO 28'!$C$2:$E$230,3,0),0)</f>
        <v>0</v>
      </c>
      <c r="D2233" s="1">
        <f>IFERROR(VLOOKUP(1158,'PEDIDO 28'!$C$2:$E$230,3,0),0)</f>
        <v>0</v>
      </c>
      <c r="E2233" s="1">
        <f>IFERROR(VLOOKUP(1159,'PEDIDO 28'!$C$2:$E$230,3,0),0)</f>
        <v>0</v>
      </c>
      <c r="F2233" s="1">
        <f>IFERROR(VLOOKUP(1160,'PEDIDO 28'!$C$2:$E$230,3,0),0)</f>
        <v>0</v>
      </c>
      <c r="G2233" s="18">
        <f t="shared" si="58"/>
        <v>0</v>
      </c>
    </row>
    <row r="2234" spans="1:7" ht="15.75" x14ac:dyDescent="0.25">
      <c r="A2234" s="15">
        <f>'PEDIDO 28'!$B$2</f>
        <v>0</v>
      </c>
      <c r="B2234" s="12" t="s">
        <v>444</v>
      </c>
      <c r="C2234" s="1">
        <f>IFERROR(VLOOKUP(1161,'PEDIDO 28'!$C$2:$E$230,3,0),0)</f>
        <v>0</v>
      </c>
      <c r="D2234" s="1">
        <f>IFERROR(VLOOKUP(1162,'PEDIDO 28'!$C$2:$E$230,3,0),0)</f>
        <v>0</v>
      </c>
      <c r="E2234" s="1">
        <f>IFERROR(VLOOKUP(1163,'PEDIDO 28'!$C$2:$E$230,3,0),0)</f>
        <v>0</v>
      </c>
      <c r="F2234" s="1">
        <f>IFERROR(VLOOKUP(1164,'PEDIDO 28'!$C$2:$E$230,3,0),0)</f>
        <v>0</v>
      </c>
      <c r="G2234" s="18">
        <f t="shared" si="58"/>
        <v>0</v>
      </c>
    </row>
    <row r="2235" spans="1:7" ht="15.75" x14ac:dyDescent="0.25">
      <c r="A2235" s="15">
        <f>'PEDIDO 28'!$B$2</f>
        <v>0</v>
      </c>
      <c r="B2235" s="12" t="s">
        <v>445</v>
      </c>
      <c r="C2235" s="1">
        <f>IFERROR(VLOOKUP(1165,'PEDIDO 28'!$C$2:$E$230,3,0),0)</f>
        <v>0</v>
      </c>
      <c r="D2235" s="1">
        <f>IFERROR(VLOOKUP(1166,'PEDIDO 28'!$C$2:$E$230,3,0),0)</f>
        <v>0</v>
      </c>
      <c r="E2235" s="1">
        <f>IFERROR(VLOOKUP(1167,'PEDIDO 28'!$C$2:$E$230,3,0),0)</f>
        <v>0</v>
      </c>
      <c r="F2235" s="1">
        <f>IFERROR(VLOOKUP(1168,'PEDIDO 28'!$C$2:$E$230,3,0),0)</f>
        <v>0</v>
      </c>
      <c r="G2235" s="18">
        <f t="shared" si="58"/>
        <v>0</v>
      </c>
    </row>
    <row r="2236" spans="1:7" ht="15.75" x14ac:dyDescent="0.25">
      <c r="A2236" s="15">
        <f>'PEDIDO 28'!$B$2</f>
        <v>0</v>
      </c>
      <c r="B2236" s="12" t="s">
        <v>446</v>
      </c>
      <c r="C2236" s="1">
        <f>IFERROR(VLOOKUP(1169,'PEDIDO 28'!$C$2:$E$230,3,0),0)</f>
        <v>0</v>
      </c>
      <c r="D2236" s="1">
        <f>IFERROR(VLOOKUP(1170,'PEDIDO 28'!$C$2:$E$230,3,0),0)</f>
        <v>0</v>
      </c>
      <c r="E2236" s="1">
        <f>IFERROR(VLOOKUP(1171,'PEDIDO 28'!$C$2:$E$230,3,0),0)</f>
        <v>0</v>
      </c>
      <c r="F2236" s="1">
        <f>IFERROR(VLOOKUP(1172,'PEDIDO 28'!$C$2:$E$230,3,0),0)</f>
        <v>0</v>
      </c>
      <c r="G2236" s="18">
        <f t="shared" si="58"/>
        <v>0</v>
      </c>
    </row>
    <row r="2237" spans="1:7" ht="15.75" x14ac:dyDescent="0.25">
      <c r="A2237" s="15">
        <f>'PEDIDO 28'!$B$2</f>
        <v>0</v>
      </c>
      <c r="B2237" s="12" t="s">
        <v>447</v>
      </c>
      <c r="C2237" s="1">
        <f>IFERROR(VLOOKUP(1173,'PEDIDO 28'!$C$2:$E$230,3,0),0)</f>
        <v>0</v>
      </c>
      <c r="D2237" s="1">
        <f>IFERROR(VLOOKUP(1174,'PEDIDO 28'!$C$2:$E$230,3,0),0)</f>
        <v>0</v>
      </c>
      <c r="E2237" s="1">
        <f>IFERROR(VLOOKUP(1175,'PEDIDO 28'!$C$2:$E$230,3,0),0)</f>
        <v>0</v>
      </c>
      <c r="F2237" s="1">
        <f>IFERROR(VLOOKUP(1176,'PEDIDO 28'!$C$2:$E$230,3,0),0)</f>
        <v>0</v>
      </c>
      <c r="G2237" s="18">
        <f t="shared" si="58"/>
        <v>0</v>
      </c>
    </row>
    <row r="2238" spans="1:7" ht="15.75" x14ac:dyDescent="0.25">
      <c r="A2238" s="15">
        <f>'PEDIDO 28'!$B$2</f>
        <v>0</v>
      </c>
      <c r="B2238" s="12" t="s">
        <v>448</v>
      </c>
      <c r="C2238" s="1">
        <f>IFERROR(VLOOKUP(1249,'PEDIDO 28'!$C$2:$E$230,3,0),0)</f>
        <v>0</v>
      </c>
      <c r="D2238" s="1">
        <f>IFERROR(VLOOKUP(1250,'PEDIDO 28'!$C$2:$E$230,3,0),0)</f>
        <v>0</v>
      </c>
      <c r="E2238" s="1">
        <f>IFERROR(VLOOKUP(1251,'PEDIDO 28'!$C$2:$E$230,3,0),0)</f>
        <v>0</v>
      </c>
      <c r="F2238" s="1">
        <f>IFERROR(VLOOKUP(1252,'PEDIDO 28'!$C$2:$E$230,3,0),0)</f>
        <v>0</v>
      </c>
      <c r="G2238" s="18">
        <f t="shared" si="58"/>
        <v>0</v>
      </c>
    </row>
    <row r="2239" spans="1:7" ht="15.75" x14ac:dyDescent="0.25">
      <c r="A2239" s="15">
        <f>'PEDIDO 28'!$B$2</f>
        <v>0</v>
      </c>
      <c r="B2239" s="12" t="s">
        <v>449</v>
      </c>
      <c r="C2239" s="1">
        <f>IFERROR(VLOOKUP(1177,'PEDIDO 28'!$C$2:$E$230,3,0),0)</f>
        <v>0</v>
      </c>
      <c r="D2239" s="1">
        <f>IFERROR(VLOOKUP(1178,'PEDIDO 28'!$C$2:$E$230,3,0),0)</f>
        <v>0</v>
      </c>
      <c r="E2239" s="1">
        <f>IFERROR(VLOOKUP(1179,'PEDIDO 28'!$C$2:$E$230,3,0),0)</f>
        <v>0</v>
      </c>
      <c r="F2239" s="1">
        <f>IFERROR(VLOOKUP(1180,'PEDIDO 28'!$C$2:$E$230,3,0),0)</f>
        <v>0</v>
      </c>
      <c r="G2239" s="18">
        <f t="shared" si="58"/>
        <v>0</v>
      </c>
    </row>
    <row r="2240" spans="1:7" ht="15.75" x14ac:dyDescent="0.25">
      <c r="A2240" s="15">
        <f>'PEDIDO 28'!$B$2</f>
        <v>0</v>
      </c>
      <c r="B2240" s="12" t="s">
        <v>450</v>
      </c>
      <c r="C2240" s="1">
        <f>IFERROR(VLOOKUP(1181,'PEDIDO 28'!$C$2:$E$230,3,0),0)</f>
        <v>0</v>
      </c>
      <c r="D2240" s="1">
        <f>IFERROR(VLOOKUP(1182,'PEDIDO 28'!$C$2:$E$230,3,0),0)</f>
        <v>0</v>
      </c>
      <c r="E2240" s="1">
        <f>IFERROR(VLOOKUP(1183,'PEDIDO 28'!$C$2:$E$230,3,0),0)</f>
        <v>0</v>
      </c>
      <c r="F2240" s="1">
        <f>IFERROR(VLOOKUP(1184,'PEDIDO 28'!$C$2:$E$230,3,0),0)</f>
        <v>0</v>
      </c>
      <c r="G2240" s="18">
        <f t="shared" si="58"/>
        <v>0</v>
      </c>
    </row>
    <row r="2241" spans="1:7" ht="15.75" x14ac:dyDescent="0.25">
      <c r="A2241" s="15">
        <f>'PEDIDO 28'!$B$2</f>
        <v>0</v>
      </c>
      <c r="B2241" s="12" t="s">
        <v>451</v>
      </c>
      <c r="C2241" s="1">
        <f>IFERROR(VLOOKUP(1185,'PEDIDO 28'!$C$2:$E$230,3,0),0)</f>
        <v>0</v>
      </c>
      <c r="D2241" s="1">
        <f>IFERROR(VLOOKUP(1186,'PEDIDO 28'!$C$2:$E$230,3,0),0)</f>
        <v>0</v>
      </c>
      <c r="E2241" s="1">
        <f>IFERROR(VLOOKUP(1187,'PEDIDO 28'!$C$2:$E$230,3,0),0)</f>
        <v>0</v>
      </c>
      <c r="F2241" s="1">
        <f>IFERROR(VLOOKUP(1188,'PEDIDO 28'!$C$2:$E$230,3,0),0)</f>
        <v>0</v>
      </c>
      <c r="G2241" s="18">
        <f t="shared" si="58"/>
        <v>0</v>
      </c>
    </row>
    <row r="2242" spans="1:7" ht="15.75" x14ac:dyDescent="0.25">
      <c r="A2242" s="15">
        <f>'PEDIDO 28'!$B$2</f>
        <v>0</v>
      </c>
      <c r="B2242" s="12" t="s">
        <v>452</v>
      </c>
      <c r="C2242" s="1">
        <f>IFERROR(VLOOKUP(1189,'PEDIDO 28'!$C$2:$E$230,3,0),0)</f>
        <v>0</v>
      </c>
      <c r="D2242" s="1">
        <f>IFERROR(VLOOKUP(1190,'PEDIDO 28'!$C$2:$E$230,3,0),0)</f>
        <v>0</v>
      </c>
      <c r="E2242" s="1">
        <f>IFERROR(VLOOKUP(1191,'PEDIDO 28'!$C$2:$E$230,3,0),0)</f>
        <v>0</v>
      </c>
      <c r="F2242" s="1">
        <f>IFERROR(VLOOKUP(1192,'PEDIDO 28'!$C$2:$E$230,3,0),0)</f>
        <v>0</v>
      </c>
      <c r="G2242" s="18">
        <f t="shared" si="58"/>
        <v>0</v>
      </c>
    </row>
    <row r="2243" spans="1:7" ht="15.75" x14ac:dyDescent="0.25">
      <c r="A2243" s="15">
        <f>'PEDIDO 28'!$B$2</f>
        <v>0</v>
      </c>
      <c r="B2243" s="12" t="s">
        <v>453</v>
      </c>
      <c r="C2243" s="1">
        <f>IFERROR(VLOOKUP(1193,'PEDIDO 28'!$C$2:$E$230,3,0),0)</f>
        <v>0</v>
      </c>
      <c r="D2243" s="1">
        <f>IFERROR(VLOOKUP(1194,'PEDIDO 28'!$C$2:$E$230,3,0),0)</f>
        <v>0</v>
      </c>
      <c r="E2243" s="1">
        <f>IFERROR(VLOOKUP(1195,'PEDIDO 28'!$C$2:$E$230,3,0),0)</f>
        <v>0</v>
      </c>
      <c r="F2243" s="1">
        <f>IFERROR(VLOOKUP(1196,'PEDIDO 28'!$C$2:$E$230,3,0),0)</f>
        <v>0</v>
      </c>
      <c r="G2243" s="18">
        <f t="shared" si="58"/>
        <v>0</v>
      </c>
    </row>
    <row r="2244" spans="1:7" ht="15.75" x14ac:dyDescent="0.25">
      <c r="A2244" s="15">
        <f>'PEDIDO 28'!$B$2</f>
        <v>0</v>
      </c>
      <c r="B2244" s="12" t="s">
        <v>454</v>
      </c>
      <c r="C2244" s="1">
        <f>IFERROR(VLOOKUP(1197,'PEDIDO 28'!$C$2:$E$230,3,0),0)</f>
        <v>0</v>
      </c>
      <c r="D2244" s="1">
        <f>IFERROR(VLOOKUP(1198,'PEDIDO 28'!$C$2:$E$230,3,0),0)</f>
        <v>0</v>
      </c>
      <c r="E2244" s="1">
        <f>IFERROR(VLOOKUP(1199,'PEDIDO 28'!$C$2:$E$230,3,0),0)</f>
        <v>0</v>
      </c>
      <c r="F2244" s="1">
        <f>IFERROR(VLOOKUP(1200,'PEDIDO 28'!$C$2:$E$230,3,0),0)</f>
        <v>0</v>
      </c>
      <c r="G2244" s="18">
        <f t="shared" si="58"/>
        <v>0</v>
      </c>
    </row>
    <row r="2245" spans="1:7" ht="15.75" x14ac:dyDescent="0.25">
      <c r="A2245" s="15">
        <f>'PEDIDO 28'!$B$2</f>
        <v>0</v>
      </c>
      <c r="B2245" s="12" t="s">
        <v>455</v>
      </c>
      <c r="C2245" s="1">
        <f>IFERROR(VLOOKUP(1201,'PEDIDO 28'!$C$2:$E$230,3,0),0)</f>
        <v>0</v>
      </c>
      <c r="D2245" s="1">
        <f>IFERROR(VLOOKUP(1202,'PEDIDO 28'!$C$2:$E$230,3,0),0)</f>
        <v>0</v>
      </c>
      <c r="E2245" s="1">
        <f>IFERROR(VLOOKUP(1203,'PEDIDO 28'!$C$2:$E$230,3,0),0)</f>
        <v>0</v>
      </c>
      <c r="F2245" s="1">
        <f>IFERROR(VLOOKUP(1204,'PEDIDO 28'!$C$2:$E$230,3,0),0)</f>
        <v>0</v>
      </c>
      <c r="G2245" s="18">
        <f t="shared" si="58"/>
        <v>0</v>
      </c>
    </row>
    <row r="2246" spans="1:7" ht="15.75" x14ac:dyDescent="0.25">
      <c r="A2246" s="15">
        <f>'PEDIDO 28'!$B$2</f>
        <v>0</v>
      </c>
      <c r="B2246" s="12" t="s">
        <v>456</v>
      </c>
      <c r="C2246" s="1">
        <f>IFERROR(VLOOKUP(1205,'PEDIDO 28'!$C$2:$E$230,3,0),0)</f>
        <v>0</v>
      </c>
      <c r="D2246" s="1">
        <f>IFERROR(VLOOKUP(1206,'PEDIDO 28'!$C$2:$E$230,3,0),0)</f>
        <v>0</v>
      </c>
      <c r="E2246" s="1">
        <f>IFERROR(VLOOKUP(1207,'PEDIDO 28'!$C$2:$E$230,3,0),0)</f>
        <v>0</v>
      </c>
      <c r="F2246" s="1">
        <f>IFERROR(VLOOKUP(1208,'PEDIDO 28'!$C$2:$E$230,3,0),0)</f>
        <v>0</v>
      </c>
      <c r="G2246" s="18">
        <f t="shared" si="58"/>
        <v>0</v>
      </c>
    </row>
    <row r="2247" spans="1:7" ht="15.75" x14ac:dyDescent="0.25">
      <c r="A2247" s="15">
        <f>'PEDIDO 28'!$B$2</f>
        <v>0</v>
      </c>
      <c r="B2247" s="12" t="s">
        <v>457</v>
      </c>
      <c r="C2247" s="1">
        <f>IFERROR(VLOOKUP(1213,'PEDIDO 28'!$C$2:$E$230,3,0),0)</f>
        <v>0</v>
      </c>
      <c r="D2247" s="1">
        <f>IFERROR(VLOOKUP(1214,'PEDIDO 28'!$C$2:$E$230,3,0),0)</f>
        <v>0</v>
      </c>
      <c r="E2247" s="1">
        <f>IFERROR(VLOOKUP(1215,'PEDIDO 28'!$C$2:$E$230,3,0),0)</f>
        <v>0</v>
      </c>
      <c r="F2247" s="10">
        <f>IFERROR(VLOOKUP(1216,'PEDIDO 28'!$C$2:$E$230,3,0),0)</f>
        <v>0</v>
      </c>
      <c r="G2247" s="18">
        <f t="shared" si="58"/>
        <v>0</v>
      </c>
    </row>
    <row r="2248" spans="1:7" ht="15.75" x14ac:dyDescent="0.25">
      <c r="A2248" s="15">
        <f>'PEDIDO 28'!$B$2</f>
        <v>0</v>
      </c>
      <c r="B2248" s="12" t="s">
        <v>458</v>
      </c>
      <c r="C2248" s="1">
        <f>IFERROR(VLOOKUP(1209,'PEDIDO 28'!$C$2:$E$230,3,0),0)</f>
        <v>0</v>
      </c>
      <c r="D2248" s="1">
        <f>IFERROR(VLOOKUP(1210,'PEDIDO 28'!$C$2:$E$230,3,0),0)</f>
        <v>0</v>
      </c>
      <c r="E2248" s="1">
        <f>IFERROR(VLOOKUP(1211,'PEDIDO 28'!$C$2:$E$230,3,0),0)</f>
        <v>0</v>
      </c>
      <c r="F2248" s="1">
        <f>IFERROR(VLOOKUP(1212,'PEDIDO 28'!$C$2:$E$230,3,0),0)</f>
        <v>0</v>
      </c>
      <c r="G2248" s="18">
        <f t="shared" si="58"/>
        <v>0</v>
      </c>
    </row>
    <row r="2249" spans="1:7" ht="15.75" x14ac:dyDescent="0.25">
      <c r="A2249" s="15">
        <f>'PEDIDO 28'!$B$2</f>
        <v>0</v>
      </c>
      <c r="B2249" s="12" t="s">
        <v>459</v>
      </c>
      <c r="C2249" s="1">
        <f>IFERROR(VLOOKUP(1217,'PEDIDO 28'!$C$2:$E$230,3,0),0)</f>
        <v>0</v>
      </c>
      <c r="D2249" s="1">
        <f>IFERROR(VLOOKUP(1218,'PEDIDO 28'!$C$2:$E$230,3,0),0)</f>
        <v>0</v>
      </c>
      <c r="E2249" s="1">
        <f>IFERROR(VLOOKUP(1219,'PEDIDO 28'!$C$2:$E$230,3,0),0)</f>
        <v>0</v>
      </c>
      <c r="F2249" s="1">
        <f>IFERROR(VLOOKUP(1220,'PEDIDO 28'!$C$2:$E$230,3,0),0)</f>
        <v>0</v>
      </c>
      <c r="G2249" s="18">
        <f t="shared" si="58"/>
        <v>0</v>
      </c>
    </row>
    <row r="2250" spans="1:7" ht="15.75" x14ac:dyDescent="0.25">
      <c r="A2250" s="15">
        <f>'PEDIDO 28'!$B$2</f>
        <v>0</v>
      </c>
      <c r="B2250" s="12" t="s">
        <v>461</v>
      </c>
      <c r="C2250" s="1">
        <f>IFERROR(VLOOKUP(1225,'PEDIDO 28'!$C$2:$E$230,3,0),0)</f>
        <v>0</v>
      </c>
      <c r="D2250" s="1">
        <f>IFERROR(VLOOKUP(1226,'PEDIDO 28'!$C$2:$E$230,3,0),0)</f>
        <v>0</v>
      </c>
      <c r="E2250" s="1">
        <f>IFERROR(VLOOKUP(1227,'PEDIDO 28'!$C$2:$E$230,3,0),0)</f>
        <v>0</v>
      </c>
      <c r="F2250" s="1">
        <f>IFERROR(VLOOKUP(1228,'PEDIDO 28'!$C$2:$E$230,3,0),0)</f>
        <v>0</v>
      </c>
      <c r="G2250" s="18">
        <f t="shared" si="58"/>
        <v>0</v>
      </c>
    </row>
    <row r="2251" spans="1:7" ht="15.75" x14ac:dyDescent="0.25">
      <c r="A2251" s="15">
        <f>'PEDIDO 28'!$B$2</f>
        <v>0</v>
      </c>
      <c r="B2251" s="12" t="s">
        <v>462</v>
      </c>
      <c r="C2251" s="1">
        <f>IFERROR(VLOOKUP(1221,'PEDIDO 28'!$C$2:$E$230,3,0),0)</f>
        <v>0</v>
      </c>
      <c r="D2251" s="1">
        <f>IFERROR(VLOOKUP(1222,'PEDIDO 28'!$C$2:$E$230,3,0),0)</f>
        <v>0</v>
      </c>
      <c r="E2251" s="1">
        <f>IFERROR(VLOOKUP(1223,'PEDIDO 28'!$C$2:$E$230,3,0),0)</f>
        <v>0</v>
      </c>
      <c r="F2251" s="1">
        <f>IFERROR(VLOOKUP(1224,'PEDIDO 28'!$C$2:$E$230,3,0),0)</f>
        <v>0</v>
      </c>
      <c r="G2251" s="18">
        <f t="shared" si="58"/>
        <v>0</v>
      </c>
    </row>
    <row r="2252" spans="1:7" ht="15.75" x14ac:dyDescent="0.25">
      <c r="A2252" s="15">
        <f>'PEDIDO 28'!$B$2</f>
        <v>0</v>
      </c>
      <c r="B2252" s="12" t="s">
        <v>460</v>
      </c>
      <c r="C2252" s="1">
        <f>IFERROR(VLOOKUP(1229,'PEDIDO 28'!$C$2:$E$230,3,0),0)</f>
        <v>0</v>
      </c>
      <c r="D2252" s="1">
        <f>IFERROR(VLOOKUP(1230,'PEDIDO 28'!$C$2:$E$230,3,0),0)</f>
        <v>0</v>
      </c>
      <c r="E2252" s="1">
        <f>IFERROR(VLOOKUP(1231,'PEDIDO 28'!$C$2:$E$230,3,0),0)</f>
        <v>0</v>
      </c>
      <c r="F2252" s="1">
        <f>IFERROR(VLOOKUP(1232,'PEDIDO 28'!$C$2:$E$230,3,0),0)</f>
        <v>0</v>
      </c>
      <c r="G2252" s="18">
        <f t="shared" si="58"/>
        <v>0</v>
      </c>
    </row>
    <row r="2253" spans="1:7" ht="15.75" x14ac:dyDescent="0.25">
      <c r="A2253" s="15">
        <f>'PEDIDO 28'!$B$2</f>
        <v>0</v>
      </c>
      <c r="B2253" s="12" t="s">
        <v>463</v>
      </c>
      <c r="C2253" s="1">
        <f>IFERROR(VLOOKUP(1233,'PEDIDO 28'!$C$2:$E$230,3,0),0)</f>
        <v>0</v>
      </c>
      <c r="D2253" s="1">
        <f>IFERROR(VLOOKUP(1234,'PEDIDO 28'!$C$2:$E$230,3,0),0)</f>
        <v>0</v>
      </c>
      <c r="E2253" s="1">
        <f>IFERROR(VLOOKUP(1235,'PEDIDO 28'!$C$2:$E$230,3,0),0)</f>
        <v>0</v>
      </c>
      <c r="F2253" s="1">
        <f>IFERROR(VLOOKUP(1236,'PEDIDO 28'!$C$2:$E$230,3,0),0)</f>
        <v>0</v>
      </c>
      <c r="G2253" s="18">
        <f t="shared" si="58"/>
        <v>0</v>
      </c>
    </row>
    <row r="2254" spans="1:7" ht="15.75" x14ac:dyDescent="0.25">
      <c r="A2254" s="15">
        <f>'PEDIDO 28'!$B$2</f>
        <v>0</v>
      </c>
      <c r="B2254" s="12" t="s">
        <v>464</v>
      </c>
      <c r="C2254" s="1">
        <f>IFERROR(VLOOKUP(1237,'PEDIDO 28'!$C$2:$E$230,3,0),0)</f>
        <v>0</v>
      </c>
      <c r="D2254" s="1">
        <f>IFERROR(VLOOKUP(1238,'PEDIDO 28'!$C$2:$E$230,3,0),0)</f>
        <v>0</v>
      </c>
      <c r="E2254" s="1">
        <f>IFERROR(VLOOKUP(1239,'PEDIDO 28'!$C$2:$E$230,3,0),0)</f>
        <v>0</v>
      </c>
      <c r="F2254" s="1">
        <f>IFERROR(VLOOKUP(1240,'PEDIDO 28'!$C$2:$E$230,3,0),0)</f>
        <v>0</v>
      </c>
      <c r="G2254" s="18">
        <f t="shared" ref="G2254:G2266" si="59">SUM(C2254+D2254+E2254+F2254)</f>
        <v>0</v>
      </c>
    </row>
    <row r="2255" spans="1:7" ht="15.75" x14ac:dyDescent="0.25">
      <c r="A2255" s="15">
        <f>'PEDIDO 28'!$B$2</f>
        <v>0</v>
      </c>
      <c r="B2255" s="12" t="s">
        <v>465</v>
      </c>
      <c r="C2255" s="1">
        <f>IFERROR(VLOOKUP(1241,'PEDIDO 28'!$C$2:$E$230,3,0),0)</f>
        <v>0</v>
      </c>
      <c r="D2255" s="1">
        <f>IFERROR(VLOOKUP(1242,'PEDIDO 28'!$C$2:$E$230,3,0),0)</f>
        <v>0</v>
      </c>
      <c r="E2255" s="1">
        <f>IFERROR(VLOOKUP(1243,'PEDIDO 28'!$C$2:$E$230,3,0),0)</f>
        <v>0</v>
      </c>
      <c r="F2255" s="1">
        <f>IFERROR(VLOOKUP(1244,'PEDIDO 28'!$C$2:$E$230,3,0),0)</f>
        <v>0</v>
      </c>
      <c r="G2255" s="18">
        <f t="shared" si="59"/>
        <v>0</v>
      </c>
    </row>
    <row r="2256" spans="1:7" ht="15.75" x14ac:dyDescent="0.25">
      <c r="A2256" s="15">
        <f>'PEDIDO 28'!$B$2</f>
        <v>0</v>
      </c>
      <c r="B2256" s="12" t="s">
        <v>466</v>
      </c>
      <c r="C2256" s="1">
        <f>IFERROR(VLOOKUP(1245,'PEDIDO 28'!$C$2:$E$230,3,0),0)</f>
        <v>0</v>
      </c>
      <c r="D2256" s="1">
        <f>IFERROR(VLOOKUP(1246,'PEDIDO 28'!$C$2:$E$230,3,0),0)</f>
        <v>0</v>
      </c>
      <c r="E2256" s="1">
        <f>IFERROR(VLOOKUP(1247,'PEDIDO 28'!$C$2:$E$230,3,0),0)</f>
        <v>0</v>
      </c>
      <c r="F2256" s="1">
        <f>IFERROR(VLOOKUP(1248,'PEDIDO 28'!$C$2:$E$230,3,0),0)</f>
        <v>0</v>
      </c>
      <c r="G2256" s="18">
        <f t="shared" si="59"/>
        <v>0</v>
      </c>
    </row>
    <row r="2257" spans="1:7" ht="15.75" x14ac:dyDescent="0.25">
      <c r="A2257" s="15">
        <f>'PEDIDO 28'!$B$2</f>
        <v>0</v>
      </c>
      <c r="B2257" s="12" t="s">
        <v>467</v>
      </c>
      <c r="C2257" s="1">
        <f>IFERROR(VLOOKUP(25714,'PEDIDO 28'!$C$2:$E$230,3,0),0)</f>
        <v>0</v>
      </c>
      <c r="D2257" s="1"/>
      <c r="E2257" s="1"/>
      <c r="F2257" s="1"/>
      <c r="G2257" s="18">
        <f t="shared" si="59"/>
        <v>0</v>
      </c>
    </row>
    <row r="2258" spans="1:7" ht="15.75" x14ac:dyDescent="0.25">
      <c r="A2258" s="15">
        <f>'PEDIDO 28'!$B$2</f>
        <v>0</v>
      </c>
      <c r="B2258" s="12" t="s">
        <v>468</v>
      </c>
      <c r="C2258" s="1">
        <f>IFERROR(VLOOKUP(25712,'PEDIDO 28'!$C$2:$E$230,3,0),0)</f>
        <v>0</v>
      </c>
      <c r="D2258" s="1"/>
      <c r="E2258" s="1"/>
      <c r="F2258" s="1"/>
      <c r="G2258" s="18">
        <f t="shared" si="59"/>
        <v>0</v>
      </c>
    </row>
    <row r="2259" spans="1:7" ht="15.75" x14ac:dyDescent="0.25">
      <c r="A2259" s="15">
        <f>'PEDIDO 28'!$B$2</f>
        <v>0</v>
      </c>
      <c r="B2259" s="12" t="s">
        <v>469</v>
      </c>
      <c r="C2259" s="1">
        <f>IFERROR(VLOOKUP(25713,'PEDIDO 28'!$C$2:$E$230,3,0),0)</f>
        <v>0</v>
      </c>
      <c r="D2259" s="1"/>
      <c r="E2259" s="1"/>
      <c r="F2259" s="1"/>
      <c r="G2259" s="18">
        <f t="shared" si="59"/>
        <v>0</v>
      </c>
    </row>
    <row r="2260" spans="1:7" ht="15.75" x14ac:dyDescent="0.25">
      <c r="A2260" s="15">
        <f>'PEDIDO 28'!$B$2</f>
        <v>0</v>
      </c>
      <c r="B2260" s="12" t="s">
        <v>470</v>
      </c>
      <c r="C2260" s="1">
        <f>IFERROR(VLOOKUP(1260,'PEDIDO 28'!$C$2:$E$230,3,0),0)</f>
        <v>0</v>
      </c>
      <c r="D2260" s="1"/>
      <c r="E2260" s="1"/>
      <c r="F2260" s="1"/>
      <c r="G2260" s="18">
        <f t="shared" si="59"/>
        <v>0</v>
      </c>
    </row>
    <row r="2261" spans="1:7" ht="15.75" x14ac:dyDescent="0.25">
      <c r="A2261" s="15">
        <f>'PEDIDO 28'!$B$2</f>
        <v>0</v>
      </c>
      <c r="B2261" s="12" t="s">
        <v>471</v>
      </c>
      <c r="C2261" s="1">
        <f>IFERROR(VLOOKUP(1261,'PEDIDO 28'!$C$2:$E$230,3,0),0)</f>
        <v>0</v>
      </c>
      <c r="D2261" s="1"/>
      <c r="E2261" s="1"/>
      <c r="F2261" s="1"/>
      <c r="G2261" s="18">
        <f t="shared" si="59"/>
        <v>0</v>
      </c>
    </row>
    <row r="2262" spans="1:7" ht="15.75" x14ac:dyDescent="0.25">
      <c r="A2262" s="15">
        <f>'PEDIDO 28'!$B$2</f>
        <v>0</v>
      </c>
      <c r="B2262" s="12" t="s">
        <v>472</v>
      </c>
      <c r="C2262" s="1">
        <f>IFERROR(VLOOKUP(1262,'PEDIDO 28'!$C$2:$E$230,3,0),0)</f>
        <v>0</v>
      </c>
      <c r="D2262" s="1"/>
      <c r="E2262" s="1"/>
      <c r="F2262" s="1"/>
      <c r="G2262" s="18">
        <f t="shared" si="59"/>
        <v>0</v>
      </c>
    </row>
    <row r="2263" spans="1:7" ht="15.75" x14ac:dyDescent="0.25">
      <c r="A2263" s="15">
        <f>'PEDIDO 28'!$B$2</f>
        <v>0</v>
      </c>
      <c r="B2263" s="12" t="s">
        <v>473</v>
      </c>
      <c r="C2263" s="1">
        <f>IFERROR(VLOOKUP(1263,'PEDIDO 28'!$C$2:$E$230,3,0),0)</f>
        <v>0</v>
      </c>
      <c r="D2263" s="1"/>
      <c r="E2263" s="1"/>
      <c r="F2263" s="1"/>
      <c r="G2263" s="18">
        <f t="shared" si="59"/>
        <v>0</v>
      </c>
    </row>
    <row r="2264" spans="1:7" ht="15.75" x14ac:dyDescent="0.25">
      <c r="A2264" s="15">
        <f>'PEDIDO 28'!$B$2</f>
        <v>0</v>
      </c>
      <c r="B2264" s="12" t="s">
        <v>474</v>
      </c>
      <c r="C2264" s="1">
        <f>IFERROR(VLOOKUP(1264,'PEDIDO 28'!$C$2:$E$230,3,0),0)</f>
        <v>0</v>
      </c>
      <c r="D2264" s="1"/>
      <c r="E2264" s="1"/>
      <c r="F2264" s="1"/>
      <c r="G2264" s="18">
        <f t="shared" si="59"/>
        <v>0</v>
      </c>
    </row>
    <row r="2265" spans="1:7" ht="15.75" x14ac:dyDescent="0.25">
      <c r="A2265" s="15">
        <f>'PEDIDO 28'!$B$2</f>
        <v>0</v>
      </c>
      <c r="B2265" s="12" t="s">
        <v>475</v>
      </c>
      <c r="C2265" s="1">
        <f>IFERROR(VLOOKUP(1265,'PEDIDO 28'!$C$2:$E$230,3,0),0)</f>
        <v>0</v>
      </c>
      <c r="D2265" s="1"/>
      <c r="E2265" s="1"/>
      <c r="F2265" s="1"/>
      <c r="G2265" s="18">
        <f t="shared" si="59"/>
        <v>0</v>
      </c>
    </row>
    <row r="2266" spans="1:7" ht="15.75" x14ac:dyDescent="0.25">
      <c r="A2266" s="15">
        <f>'PEDIDO 28'!$B$2</f>
        <v>0</v>
      </c>
      <c r="B2266" s="12" t="s">
        <v>476</v>
      </c>
      <c r="C2266" s="1">
        <f>IFERROR(VLOOKUP(1266,'PEDIDO 28'!$C$2:$E$230,3,0),0)</f>
        <v>0</v>
      </c>
      <c r="D2266" s="1"/>
      <c r="E2266" s="1"/>
      <c r="F2266" s="1"/>
      <c r="G2266" s="18">
        <f t="shared" si="59"/>
        <v>0</v>
      </c>
    </row>
    <row r="2267" spans="1:7" ht="15.75" x14ac:dyDescent="0.25">
      <c r="A2267" s="15">
        <f>'PEDIDO 28'!$B$2</f>
        <v>0</v>
      </c>
      <c r="B2267" s="12" t="s">
        <v>477</v>
      </c>
      <c r="C2267" s="1">
        <f>IFERROR(VLOOKUP(1268,'PEDIDO 28'!$C$2:$E$230,3,0),0)</f>
        <v>0</v>
      </c>
      <c r="D2267" s="1">
        <f>IFERROR(VLOOKUP(1269,'PEDIDO 28'!$C$2:$E$230,3,0),0)</f>
        <v>0</v>
      </c>
      <c r="E2267" s="1">
        <f>IFERROR(VLOOKUP(1270,'PEDIDO 28'!$C$2:$E$230,3,0),0)</f>
        <v>0</v>
      </c>
      <c r="F2267" s="1">
        <f>IFERROR(VLOOKUP(1271,'PEDIDO 28'!$C$2:$E$230,3,0),0)</f>
        <v>0</v>
      </c>
      <c r="G2267" s="18">
        <f t="shared" ref="G2267" si="60">SUM(C2267+D2267+E2267+F2267)</f>
        <v>0</v>
      </c>
    </row>
    <row r="2270" spans="1:7" ht="15.75" x14ac:dyDescent="0.25">
      <c r="A2270" s="15">
        <f>'PEDIDO 29'!$B$2</f>
        <v>0</v>
      </c>
      <c r="B2270" s="12" t="s">
        <v>399</v>
      </c>
      <c r="C2270" s="1">
        <f>IFERROR(VLOOKUP(1,'PEDIDO 29'!$C$2:$E$230,3,0),0)</f>
        <v>0</v>
      </c>
      <c r="D2270" s="1">
        <f>IFERROR(VLOOKUP(2,'PEDIDO 29'!$C$2:$E$230,3,0),0)</f>
        <v>0</v>
      </c>
      <c r="E2270" s="1">
        <f>IFERROR(VLOOKUP(3,'PEDIDO 29'!$C$2:$E$230,3,0),0)</f>
        <v>0</v>
      </c>
      <c r="F2270" s="1">
        <f>IFERROR(VLOOKUP(282,'PEDIDO 29'!$C$2:$E$230,3,0),0)</f>
        <v>0</v>
      </c>
      <c r="G2270" s="18">
        <f>SUM(C2270+D2270+E2270+F2270)</f>
        <v>0</v>
      </c>
    </row>
    <row r="2271" spans="1:7" ht="15.75" x14ac:dyDescent="0.25">
      <c r="A2271" s="15">
        <f>'PEDIDO 29'!$B$2</f>
        <v>0</v>
      </c>
      <c r="B2271" s="12" t="s">
        <v>400</v>
      </c>
      <c r="C2271" s="1">
        <f>IFERROR(VLOOKUP(5,'PEDIDO 29'!$C$2:$E$230,3,0),0)</f>
        <v>0</v>
      </c>
      <c r="D2271" s="1">
        <f>IFERROR(VLOOKUP(6,'PEDIDO 29'!$C$2:$E$230,3,0),0)</f>
        <v>0</v>
      </c>
      <c r="E2271" s="1">
        <f>IFERROR(VLOOKUP(7,'PEDIDO 29'!$C$2:$E$230,3,0),0)</f>
        <v>0</v>
      </c>
      <c r="F2271" s="1">
        <f>IFERROR(VLOOKUP(258,'PEDIDO 29'!$C$2:$E$230,3,0),0)</f>
        <v>0</v>
      </c>
      <c r="G2271" s="18">
        <f t="shared" ref="G2271:G2334" si="61">SUM(C2271+D2271+E2271+F2271)</f>
        <v>0</v>
      </c>
    </row>
    <row r="2272" spans="1:7" ht="15.75" x14ac:dyDescent="0.25">
      <c r="A2272" s="15">
        <f>'PEDIDO 29'!$B$2</f>
        <v>0</v>
      </c>
      <c r="B2272" s="12" t="s">
        <v>401</v>
      </c>
      <c r="C2272" s="1">
        <f>IFERROR(VLOOKUP(13,'PEDIDO 29'!$C$2:$E$230,3,0),0)</f>
        <v>0</v>
      </c>
      <c r="D2272" s="1">
        <f>IFERROR(VLOOKUP(14,'PEDIDO 29'!$C$2:$E$230,3,0),0)</f>
        <v>0</v>
      </c>
      <c r="E2272" s="1">
        <f>IFERROR(VLOOKUP(15,'PEDIDO 29'!$C$2:$E$230,3,0),0)</f>
        <v>0</v>
      </c>
      <c r="F2272" s="1">
        <f>IFERROR(VLOOKUP(289,'PEDIDO 29'!$C$2:$E$230,3,0),0)</f>
        <v>0</v>
      </c>
      <c r="G2272" s="18">
        <f t="shared" si="61"/>
        <v>0</v>
      </c>
    </row>
    <row r="2273" spans="1:7" ht="15.75" x14ac:dyDescent="0.25">
      <c r="A2273" s="15">
        <f>'PEDIDO 29'!$B$2</f>
        <v>0</v>
      </c>
      <c r="B2273" s="12" t="s">
        <v>402</v>
      </c>
      <c r="C2273" s="1">
        <f>IFERROR(VLOOKUP(267,'PEDIDO 29'!$C$2:$E$230,3,0),0)</f>
        <v>0</v>
      </c>
      <c r="D2273" s="1">
        <f>IFERROR(VLOOKUP(268,'PEDIDO 29'!$C$2:$E$230,3,0),0)</f>
        <v>0</v>
      </c>
      <c r="E2273" s="1">
        <f>IFERROR(VLOOKUP(270,'PEDIDO 29'!$C$2:$E$230,3,0),0)</f>
        <v>0</v>
      </c>
      <c r="F2273" s="1">
        <f>IFERROR(VLOOKUP(269,'PEDIDO 29'!$C$2:$E$230,3,0),0)</f>
        <v>0</v>
      </c>
      <c r="G2273" s="18">
        <f t="shared" si="61"/>
        <v>0</v>
      </c>
    </row>
    <row r="2274" spans="1:7" ht="15.75" x14ac:dyDescent="0.25">
      <c r="A2274" s="15">
        <f>'PEDIDO 29'!$B$2</f>
        <v>0</v>
      </c>
      <c r="B2274" s="12" t="s">
        <v>403</v>
      </c>
      <c r="C2274" s="1">
        <f>IFERROR(VLOOKUP(17,'PEDIDO 29'!$C$2:$E$230,3,0),0)</f>
        <v>0</v>
      </c>
      <c r="D2274" s="1">
        <f>IFERROR(VLOOKUP(18,'PEDIDO 29'!$C$2:$E$230,3,0),0)</f>
        <v>0</v>
      </c>
      <c r="E2274" s="1">
        <f>IFERROR(VLOOKUP(19,'PEDIDO 29'!$C$2:$E$230,3,0),0)</f>
        <v>0</v>
      </c>
      <c r="F2274" s="1">
        <f>IFERROR(VLOOKUP(290,'PEDIDO 29'!$C$2:$E$230,3,0),0)</f>
        <v>0</v>
      </c>
      <c r="G2274" s="18">
        <f t="shared" si="61"/>
        <v>0</v>
      </c>
    </row>
    <row r="2275" spans="1:7" ht="15.75" x14ac:dyDescent="0.25">
      <c r="A2275" s="15">
        <f>'PEDIDO 29'!$B$2</f>
        <v>0</v>
      </c>
      <c r="B2275" s="12" t="s">
        <v>404</v>
      </c>
      <c r="C2275" s="1">
        <f>IFERROR(VLOOKUP(23,'PEDIDO 29'!$C$2:$E$230,3,0),0)</f>
        <v>0</v>
      </c>
      <c r="D2275" s="1">
        <f>IFERROR(VLOOKUP(24,'PEDIDO 29'!$C$2:$E$230,3,0),0)</f>
        <v>0</v>
      </c>
      <c r="E2275" s="1">
        <f>IFERROR(VLOOKUP(25,'PEDIDO 29'!$C$2:$E$230,3,0),0)</f>
        <v>0</v>
      </c>
      <c r="F2275" s="1">
        <f>IFERROR(VLOOKUP(291,'PEDIDO 29'!$C$2:$E$230,3,0),0)</f>
        <v>0</v>
      </c>
      <c r="G2275" s="18">
        <f t="shared" si="61"/>
        <v>0</v>
      </c>
    </row>
    <row r="2276" spans="1:7" ht="15.75" x14ac:dyDescent="0.25">
      <c r="A2276" s="15">
        <f>'PEDIDO 29'!$B$2</f>
        <v>0</v>
      </c>
      <c r="B2276" s="12" t="s">
        <v>405</v>
      </c>
      <c r="C2276" s="1">
        <f>IFERROR(VLOOKUP(27,'PEDIDO 29'!$C$2:$E$230,3,0),0)</f>
        <v>0</v>
      </c>
      <c r="D2276" s="1">
        <f>IFERROR(VLOOKUP(28,'PEDIDO 29'!$C$2:$E$230,3,0),0)</f>
        <v>0</v>
      </c>
      <c r="E2276" s="1">
        <f>IFERROR(VLOOKUP(29,'PEDIDO 29'!$C$2:$E$230,3,0),0)</f>
        <v>0</v>
      </c>
      <c r="F2276" s="1">
        <f>IFERROR(VLOOKUP(292,'PEDIDO 29'!$C$2:$E$230,3,0),0)</f>
        <v>0</v>
      </c>
      <c r="G2276" s="18">
        <f t="shared" si="61"/>
        <v>0</v>
      </c>
    </row>
    <row r="2277" spans="1:7" ht="15.75" x14ac:dyDescent="0.25">
      <c r="A2277" s="15">
        <f>'PEDIDO 29'!$B$2</f>
        <v>0</v>
      </c>
      <c r="B2277" s="12" t="s">
        <v>406</v>
      </c>
      <c r="C2277" s="1">
        <f>IFERROR(VLOOKUP(227,'PEDIDO 29'!$C$2:$E$230,3,0),0)</f>
        <v>0</v>
      </c>
      <c r="D2277" s="1">
        <f>IFERROR(VLOOKUP(228,'PEDIDO 29'!$C$2:$E$230,3,0),0)</f>
        <v>0</v>
      </c>
      <c r="E2277" s="1">
        <f>IFERROR(VLOOKUP(229,'PEDIDO 29'!$C$2:$E$230,3,0),0)</f>
        <v>0</v>
      </c>
      <c r="F2277" s="1">
        <f>IFERROR(VLOOKUP(230,'PEDIDO 29'!$C$2:$E$230,3,0),0)</f>
        <v>0</v>
      </c>
      <c r="G2277" s="18">
        <f t="shared" si="61"/>
        <v>0</v>
      </c>
    </row>
    <row r="2278" spans="1:7" ht="15.75" x14ac:dyDescent="0.25">
      <c r="A2278" s="15">
        <f>'PEDIDO 29'!$B$2</f>
        <v>0</v>
      </c>
      <c r="B2278" s="12" t="s">
        <v>407</v>
      </c>
      <c r="C2278" s="1">
        <f>IFERROR(VLOOKUP(231,'PEDIDO 29'!$C$2:$E$230,3,0),0)</f>
        <v>0</v>
      </c>
      <c r="D2278" s="1">
        <f>IFERROR(VLOOKUP(232,'PEDIDO 29'!$C$2:$E$230,3,0),0)</f>
        <v>0</v>
      </c>
      <c r="E2278" s="1">
        <f>IFERROR(VLOOKUP(234,'PEDIDO 29'!$C$2:$E$230,3,0),0)</f>
        <v>0</v>
      </c>
      <c r="F2278" s="1">
        <f>IFERROR(VLOOKUP(233,'PEDIDO 29'!$C$2:$E$230,3,0),0)</f>
        <v>0</v>
      </c>
      <c r="G2278" s="18">
        <f t="shared" si="61"/>
        <v>0</v>
      </c>
    </row>
    <row r="2279" spans="1:7" ht="15.75" x14ac:dyDescent="0.25">
      <c r="A2279" s="15">
        <f>'PEDIDO 29'!$B$2</f>
        <v>0</v>
      </c>
      <c r="B2279" s="12" t="s">
        <v>408</v>
      </c>
      <c r="C2279" s="1">
        <f>IFERROR(VLOOKUP(237,'PEDIDO 29'!$C$2:$E$230,3,0),0)</f>
        <v>0</v>
      </c>
      <c r="D2279" s="1">
        <f>IFERROR(VLOOKUP(238,'PEDIDO 29'!$C$2:$E$230,3,0),0)</f>
        <v>0</v>
      </c>
      <c r="E2279" s="1">
        <f>IFERROR(VLOOKUP(240,'PEDIDO 29'!$C$2:$E$230,3,0),0)</f>
        <v>0</v>
      </c>
      <c r="F2279" s="1">
        <f>IFERROR(VLOOKUP(239,'PEDIDO 29'!$C$2:$E$230,3,0),0)</f>
        <v>0</v>
      </c>
      <c r="G2279" s="18">
        <f t="shared" si="61"/>
        <v>0</v>
      </c>
    </row>
    <row r="2280" spans="1:7" ht="15.75" x14ac:dyDescent="0.25">
      <c r="A2280" s="15">
        <f>'PEDIDO 29'!$B$2</f>
        <v>0</v>
      </c>
      <c r="B2280" s="12" t="s">
        <v>409</v>
      </c>
      <c r="C2280" s="1">
        <f>IFERROR(VLOOKUP(25707,'PEDIDO 29'!$C$2:$E$230,3,0),0)</f>
        <v>0</v>
      </c>
      <c r="D2280" s="1">
        <f>IFERROR(VLOOKUP(25708,'PEDIDO 29'!$C$2:$E$230,3,0),0)</f>
        <v>0</v>
      </c>
      <c r="E2280" s="1">
        <f>IFERROR(VLOOKUP(25710,'PEDIDO 29'!$C$2:$E$230,3,0),0)</f>
        <v>0</v>
      </c>
      <c r="F2280" s="1">
        <f>IFERROR(VLOOKUP(25709,'PEDIDO 29'!$C$2:$E$230,3,0),0)</f>
        <v>0</v>
      </c>
      <c r="G2280" s="18">
        <f t="shared" si="61"/>
        <v>0</v>
      </c>
    </row>
    <row r="2281" spans="1:7" ht="15.75" x14ac:dyDescent="0.25">
      <c r="A2281" s="15">
        <f>'PEDIDO 29'!$B$2</f>
        <v>0</v>
      </c>
      <c r="B2281" s="12" t="s">
        <v>410</v>
      </c>
      <c r="C2281" s="1">
        <f>IFERROR(VLOOKUP(25711,'PEDIDO 29'!$C$2:$E$230,3,0),0)</f>
        <v>0</v>
      </c>
      <c r="D2281" s="1"/>
      <c r="E2281" s="1"/>
      <c r="F2281" s="1"/>
      <c r="G2281" s="18">
        <f t="shared" si="61"/>
        <v>0</v>
      </c>
    </row>
    <row r="2282" spans="1:7" ht="15.75" x14ac:dyDescent="0.25">
      <c r="A2282" s="15">
        <f>'PEDIDO 29'!$B$2</f>
        <v>0</v>
      </c>
      <c r="B2282" s="12" t="s">
        <v>411</v>
      </c>
      <c r="C2282" s="1">
        <f>IFERROR(VLOOKUP(35,'PEDIDO 29'!$C$2:$E$230,3,0),0)</f>
        <v>0</v>
      </c>
      <c r="D2282" s="1">
        <f>IFERROR(VLOOKUP(36,'PEDIDO 29'!$C$2:$E$230,3,0),0)</f>
        <v>0</v>
      </c>
      <c r="E2282" s="1">
        <f>IFERROR(VLOOKUP(37,'PEDIDO 29'!$C$2:$E$230,3,0),0)</f>
        <v>0</v>
      </c>
      <c r="F2282" s="1">
        <f>IFERROR(VLOOKUP(294,'PEDIDO 29'!$C$2:$E$230,3,0),0)</f>
        <v>0</v>
      </c>
      <c r="G2282" s="18">
        <f t="shared" si="61"/>
        <v>0</v>
      </c>
    </row>
    <row r="2283" spans="1:7" ht="15.75" x14ac:dyDescent="0.25">
      <c r="A2283" s="15">
        <f>'PEDIDO 29'!$B$2</f>
        <v>0</v>
      </c>
      <c r="B2283" s="12" t="s">
        <v>412</v>
      </c>
      <c r="C2283" s="1">
        <f>IFERROR(VLOOKUP(39,'PEDIDO 29'!$C$2:$E$230,3,0),0)</f>
        <v>0</v>
      </c>
      <c r="D2283" s="1">
        <f>IFERROR(VLOOKUP(40,'PEDIDO 29'!$C$2:$E$230,3,0),0)</f>
        <v>0</v>
      </c>
      <c r="E2283" s="1">
        <f>IFERROR(VLOOKUP(42,'PEDIDO 29'!$C$2:$E$230,3,0),0)</f>
        <v>0</v>
      </c>
      <c r="F2283" s="1">
        <f>IFERROR(VLOOKUP(295,'PEDIDO 29'!$C$2:$E$230,3,0),0)</f>
        <v>0</v>
      </c>
      <c r="G2283" s="18">
        <f t="shared" si="61"/>
        <v>0</v>
      </c>
    </row>
    <row r="2284" spans="1:7" ht="15.75" x14ac:dyDescent="0.25">
      <c r="A2284" s="15">
        <f>'PEDIDO 29'!$B$2</f>
        <v>0</v>
      </c>
      <c r="B2284" s="12" t="s">
        <v>413</v>
      </c>
      <c r="C2284" s="1">
        <f>IFERROR(VLOOKUP(44,'PEDIDO 29'!$C$2:$E$230,3,0),0)</f>
        <v>0</v>
      </c>
      <c r="D2284" s="1">
        <f>IFERROR(VLOOKUP(45,'PEDIDO 29'!$C$2:$E$230,3,0),0)</f>
        <v>0</v>
      </c>
      <c r="E2284" s="1">
        <f>IFERROR(VLOOKUP(46,'PEDIDO 29'!$C$2:$E$230,3,0),0)</f>
        <v>0</v>
      </c>
      <c r="F2284" s="1">
        <f>IFERROR(VLOOKUP(283,'PEDIDO 29'!$C$2:$E$230,3,0),0)</f>
        <v>0</v>
      </c>
      <c r="G2284" s="18">
        <f t="shared" si="61"/>
        <v>0</v>
      </c>
    </row>
    <row r="2285" spans="1:7" ht="15.75" x14ac:dyDescent="0.25">
      <c r="A2285" s="15">
        <f>'PEDIDO 29'!$B$2</f>
        <v>0</v>
      </c>
      <c r="B2285" s="12" t="s">
        <v>414</v>
      </c>
      <c r="C2285" s="1">
        <f>IFERROR(VLOOKUP(48,'PEDIDO 29'!$C$2:$E$230,3,0),0)</f>
        <v>0</v>
      </c>
      <c r="D2285" s="1">
        <f>IFERROR(VLOOKUP(49,'PEDIDO 29'!$C$2:$E$230,3,0),0)</f>
        <v>0</v>
      </c>
      <c r="E2285" s="1">
        <f>IFERROR(VLOOKUP(50,'PEDIDO 29'!$C$2:$E$230,3,0),0)</f>
        <v>0</v>
      </c>
      <c r="F2285" s="1">
        <f>IFERROR(VLOOKUP(298,'PEDIDO 29'!$C$2:$E$230,3,0),0)</f>
        <v>0</v>
      </c>
      <c r="G2285" s="18">
        <f t="shared" si="61"/>
        <v>0</v>
      </c>
    </row>
    <row r="2286" spans="1:7" ht="15.75" x14ac:dyDescent="0.25">
      <c r="A2286" s="15">
        <f>'PEDIDO 29'!$B$2</f>
        <v>0</v>
      </c>
      <c r="B2286" s="12" t="s">
        <v>415</v>
      </c>
      <c r="C2286" s="1">
        <f>IFERROR(VLOOKUP(52,'PEDIDO 29'!$C$2:$E$230,3,0),0)</f>
        <v>0</v>
      </c>
      <c r="D2286" s="1">
        <f>IFERROR(VLOOKUP(53,'PEDIDO 29'!$C$2:$E$230,3,0),0)</f>
        <v>0</v>
      </c>
      <c r="E2286" s="1">
        <f>IFERROR(VLOOKUP(54,'PEDIDO 29'!$C$2:$E$230,3,0),0)</f>
        <v>0</v>
      </c>
      <c r="F2286" s="1">
        <f>IFERROR(VLOOKUP(299,'PEDIDO 29'!$C$2:$E$230,3,0),0)</f>
        <v>0</v>
      </c>
      <c r="G2286" s="18">
        <f t="shared" si="61"/>
        <v>0</v>
      </c>
    </row>
    <row r="2287" spans="1:7" ht="15.75" x14ac:dyDescent="0.25">
      <c r="A2287" s="15">
        <f>'PEDIDO 29'!$B$2</f>
        <v>0</v>
      </c>
      <c r="B2287" s="12" t="s">
        <v>416</v>
      </c>
      <c r="C2287" s="1">
        <f>IFERROR(VLOOKUP(56,'PEDIDO 29'!$C$2:$E$230,3,0),0)</f>
        <v>0</v>
      </c>
      <c r="D2287" s="1">
        <f>IFERROR(VLOOKUP(61,'PEDIDO 29'!$C$2:$E$230,3,0),0)</f>
        <v>0</v>
      </c>
      <c r="E2287" s="1">
        <f>IFERROR(VLOOKUP(58,'PEDIDO 29'!$C$2:$E$230,3,0),0)</f>
        <v>0</v>
      </c>
      <c r="F2287" s="1">
        <f>IFERROR(VLOOKUP(300,'PEDIDO 29'!$C$2:$E$230,3,0),0)</f>
        <v>0</v>
      </c>
      <c r="G2287" s="18">
        <f t="shared" si="61"/>
        <v>0</v>
      </c>
    </row>
    <row r="2288" spans="1:7" ht="15.75" x14ac:dyDescent="0.25">
      <c r="A2288" s="15">
        <f>'PEDIDO 29'!$B$2</f>
        <v>0</v>
      </c>
      <c r="B2288" s="12" t="s">
        <v>417</v>
      </c>
      <c r="C2288" s="1">
        <f>IFERROR(VLOOKUP(60,'PEDIDO 29'!$C$2:$E$230,3,0),0)</f>
        <v>0</v>
      </c>
      <c r="D2288" s="1">
        <f>IFERROR(VLOOKUP(120,'PEDIDO 29'!$C$2:$E$230,3,0),0)</f>
        <v>0</v>
      </c>
      <c r="E2288" s="1">
        <f>IFERROR(VLOOKUP(62,'PEDIDO 29'!$C$2:$E$230,3,0),0)</f>
        <v>0</v>
      </c>
      <c r="F2288" s="1">
        <f>IFERROR(VLOOKUP(301,'PEDIDO 29'!$C$2:$E$230,3,0),0)</f>
        <v>0</v>
      </c>
      <c r="G2288" s="18">
        <f t="shared" si="61"/>
        <v>0</v>
      </c>
    </row>
    <row r="2289" spans="1:7" ht="15.75" x14ac:dyDescent="0.25">
      <c r="A2289" s="15">
        <f>'PEDIDO 29'!$B$2</f>
        <v>0</v>
      </c>
      <c r="B2289" s="12" t="s">
        <v>426</v>
      </c>
      <c r="C2289" s="1">
        <f>IFERROR(VLOOKUP(112,'PEDIDO 29'!$C$2:$E$230,3,0),0)</f>
        <v>0</v>
      </c>
      <c r="D2289" s="1">
        <f>IFERROR(VLOOKUP(113,'PEDIDO 29'!$C$2:$E$230,3,0),0)</f>
        <v>0</v>
      </c>
      <c r="E2289" s="1">
        <f>IFERROR(VLOOKUP(114,'PEDIDO 29'!$C$2:$E$230,3,0),0)</f>
        <v>0</v>
      </c>
      <c r="F2289" s="1">
        <f>IFERROR(VLOOKUP(296,'PEDIDO 29'!$C$2:$E$230,3,0),0)</f>
        <v>0</v>
      </c>
      <c r="G2289" s="18">
        <f t="shared" si="61"/>
        <v>0</v>
      </c>
    </row>
    <row r="2290" spans="1:7" ht="15.75" x14ac:dyDescent="0.25">
      <c r="A2290" s="15">
        <f>'PEDIDO 29'!$B$2</f>
        <v>0</v>
      </c>
      <c r="B2290" s="12" t="s">
        <v>427</v>
      </c>
      <c r="C2290" s="1">
        <f>IFERROR(VLOOKUP(116,'PEDIDO 29'!$C$2:$E$230,3,0),0)</f>
        <v>0</v>
      </c>
      <c r="D2290" s="1">
        <f>IFERROR(VLOOKUP(117,'PEDIDO 29'!$C$2:$E$230,3,0),0)</f>
        <v>0</v>
      </c>
      <c r="E2290" s="1">
        <f>IFERROR(VLOOKUP(118,'PEDIDO 29'!$C$2:$E$230,3,0),0)</f>
        <v>0</v>
      </c>
      <c r="F2290" s="1">
        <f>IFERROR(VLOOKUP(293,'PEDIDO 29'!$C$2:$E$230,3,0),0)</f>
        <v>0</v>
      </c>
      <c r="G2290" s="18">
        <f t="shared" si="61"/>
        <v>0</v>
      </c>
    </row>
    <row r="2291" spans="1:7" ht="15.75" x14ac:dyDescent="0.25">
      <c r="A2291" s="15">
        <f>'PEDIDO 29'!$B$2</f>
        <v>0</v>
      </c>
      <c r="B2291" s="12" t="s">
        <v>418</v>
      </c>
      <c r="C2291" s="1">
        <f>IFERROR(VLOOKUP(963,'PEDIDO 29'!$C$2:$E$230,3,0),0)</f>
        <v>0</v>
      </c>
      <c r="D2291" s="1">
        <f>IFERROR(VLOOKUP(965,'PEDIDO 29'!$C$2:$E$230,3,0),0)</f>
        <v>0</v>
      </c>
      <c r="E2291" s="1">
        <f>IFERROR(VLOOKUP(966,'PEDIDO 29'!$C$2:$E$230,3,0),0)</f>
        <v>0</v>
      </c>
      <c r="F2291" s="1">
        <f>IFERROR(VLOOKUP(964,'PEDIDO 29'!$C$2:$E$230,3,0),0)</f>
        <v>0</v>
      </c>
      <c r="G2291" s="18">
        <f t="shared" si="61"/>
        <v>0</v>
      </c>
    </row>
    <row r="2292" spans="1:7" ht="15.75" x14ac:dyDescent="0.25">
      <c r="A2292" s="15">
        <f>'PEDIDO 29'!$B$2</f>
        <v>0</v>
      </c>
      <c r="B2292" s="12" t="s">
        <v>419</v>
      </c>
      <c r="C2292" s="1">
        <f>IFERROR(VLOOKUP(2042,'PEDIDO 29'!$C$2:$E$230,3,0),0)</f>
        <v>0</v>
      </c>
      <c r="D2292" s="1">
        <f>IFERROR(VLOOKUP(2041,'PEDIDO 29'!$C$2:$E$230,3,0),0)</f>
        <v>0</v>
      </c>
      <c r="E2292" s="1">
        <f>IFERROR(VLOOKUP(2043,'PEDIDO 29'!$C$2:$E$230,3,0),0)</f>
        <v>0</v>
      </c>
      <c r="F2292" s="1">
        <f>IFERROR(VLOOKUP(2040,'PEDIDO 29'!$C$2:$E$230,3,0),0)</f>
        <v>0</v>
      </c>
      <c r="G2292" s="18">
        <f t="shared" si="61"/>
        <v>0</v>
      </c>
    </row>
    <row r="2293" spans="1:7" ht="15.75" x14ac:dyDescent="0.25">
      <c r="A2293" s="15">
        <f>'PEDIDO 29'!$B$2</f>
        <v>0</v>
      </c>
      <c r="B2293" s="12" t="s">
        <v>420</v>
      </c>
      <c r="C2293" s="1">
        <f>IFERROR(VLOOKUP(2045,'PEDIDO 29'!$C$2:$E$230,3,0),0)</f>
        <v>0</v>
      </c>
      <c r="D2293" s="1">
        <f>IFERROR(VLOOKUP(2046,'PEDIDO 29'!$C$2:$E$230,3,0),0)</f>
        <v>0</v>
      </c>
      <c r="E2293" s="1">
        <f>IFERROR(VLOOKUP(2047,'PEDIDO 29'!$C$2:$E$230,3,0),0)</f>
        <v>0</v>
      </c>
      <c r="F2293" s="1">
        <f>IFERROR(VLOOKUP(2048,'PEDIDO 29'!$C$2:$E$230,3,0),0)</f>
        <v>0</v>
      </c>
      <c r="G2293" s="18">
        <f t="shared" si="61"/>
        <v>0</v>
      </c>
    </row>
    <row r="2294" spans="1:7" ht="15.75" x14ac:dyDescent="0.25">
      <c r="A2294" s="15">
        <f>'PEDIDO 29'!$B$2</f>
        <v>0</v>
      </c>
      <c r="B2294" s="12" t="s">
        <v>421</v>
      </c>
      <c r="C2294" s="1">
        <f>IFERROR(VLOOKUP(2050,'PEDIDO 29'!$C$2:$E$230,3,0),0)</f>
        <v>0</v>
      </c>
      <c r="D2294" s="1">
        <f>IFERROR(VLOOKUP(2051,'PEDIDO 29'!$C$2:$E$230,3,0),0)</f>
        <v>0</v>
      </c>
      <c r="E2294" s="1">
        <f>IFERROR(VLOOKUP(2052,'PEDIDO 29'!$C$2:$E$230,3,0),0)</f>
        <v>0</v>
      </c>
      <c r="F2294" s="1">
        <f>IFERROR(VLOOKUP(2053,'PEDIDO 29'!$C$2:$E$230,3,0),0)</f>
        <v>0</v>
      </c>
      <c r="G2294" s="18">
        <f t="shared" si="61"/>
        <v>0</v>
      </c>
    </row>
    <row r="2295" spans="1:7" ht="15.75" x14ac:dyDescent="0.25">
      <c r="A2295" s="15">
        <f>'PEDIDO 29'!$B$2</f>
        <v>0</v>
      </c>
      <c r="B2295" s="12" t="s">
        <v>422</v>
      </c>
      <c r="C2295" s="1">
        <f>IFERROR(VLOOKUP(216,'PEDIDO 29'!$C$2:$E$230,3,0),0)</f>
        <v>0</v>
      </c>
      <c r="D2295" s="1">
        <f>IFERROR(VLOOKUP(217,'PEDIDO 29'!$C$2:$E$230,3,0),0)</f>
        <v>0</v>
      </c>
      <c r="E2295" s="1">
        <f>IFERROR(VLOOKUP(218,'PEDIDO 29'!$C$2:$E$230,3,0),0)</f>
        <v>0</v>
      </c>
      <c r="F2295" s="1">
        <f>IFERROR(VLOOKUP(305,'PEDIDO 29'!$C$2:$E$230,3,0),0)</f>
        <v>0</v>
      </c>
      <c r="G2295" s="18">
        <f t="shared" si="61"/>
        <v>0</v>
      </c>
    </row>
    <row r="2296" spans="1:7" ht="15.75" x14ac:dyDescent="0.25">
      <c r="A2296" s="15">
        <f>'PEDIDO 29'!$B$2</f>
        <v>0</v>
      </c>
      <c r="B2296" s="12" t="s">
        <v>423</v>
      </c>
      <c r="C2296" s="1">
        <f>IFERROR(VLOOKUP(100,'PEDIDO 29'!$C$2:$E$230,3,0),0)</f>
        <v>0</v>
      </c>
      <c r="D2296" s="1">
        <f>IFERROR(VLOOKUP(101,'PEDIDO 29'!$C$2:$E$230,3,0),0)</f>
        <v>0</v>
      </c>
      <c r="E2296" s="1">
        <f>IFERROR(VLOOKUP(102,'PEDIDO 29'!$C$2:$E$230,3,0),0)</f>
        <v>0</v>
      </c>
      <c r="F2296" s="1">
        <f>IFERROR(VLOOKUP(306,'PEDIDO 29'!$C$2:$E$230,3,0),0)</f>
        <v>0</v>
      </c>
      <c r="G2296" s="18">
        <f t="shared" si="61"/>
        <v>0</v>
      </c>
    </row>
    <row r="2297" spans="1:7" ht="15.75" x14ac:dyDescent="0.25">
      <c r="A2297" s="15">
        <f>'PEDIDO 29'!$B$2</f>
        <v>0</v>
      </c>
      <c r="B2297" s="12" t="s">
        <v>424</v>
      </c>
      <c r="C2297" s="1">
        <f>IFERROR(VLOOKUP(104,'PEDIDO 29'!$C$2:$E$230,3,0),0)</f>
        <v>0</v>
      </c>
      <c r="D2297" s="1">
        <f>IFERROR(VLOOKUP(105,'PEDIDO 29'!$C$2:$E$230,3,0),0)</f>
        <v>0</v>
      </c>
      <c r="E2297" s="1">
        <f>IFERROR(VLOOKUP(106,'PEDIDO 29'!$C$2:$E$230,3,0),0)</f>
        <v>0</v>
      </c>
      <c r="F2297" s="1">
        <f>IFERROR(VLOOKUP(307,'PEDIDO 29'!$C$2:$E$230,3,0),0)</f>
        <v>0</v>
      </c>
      <c r="G2297" s="18">
        <f t="shared" si="61"/>
        <v>0</v>
      </c>
    </row>
    <row r="2298" spans="1:7" ht="15.75" x14ac:dyDescent="0.25">
      <c r="A2298" s="15">
        <f>'PEDIDO 29'!$B$2</f>
        <v>0</v>
      </c>
      <c r="B2298" s="12" t="s">
        <v>425</v>
      </c>
      <c r="C2298" s="1">
        <f>IFERROR(VLOOKUP(400,'PEDIDO 29'!$C$2:$E$230,3,0),0)</f>
        <v>0</v>
      </c>
      <c r="D2298" s="1">
        <f>IFERROR(VLOOKUP(401,'PEDIDO 29'!$C$2:$E$230,3,0),0)</f>
        <v>0</v>
      </c>
      <c r="E2298" s="1">
        <f>IFERROR(VLOOKUP(402,'PEDIDO 29'!$C$2:$E$230,3,0),0)</f>
        <v>0</v>
      </c>
      <c r="F2298" s="1">
        <f>IFERROR(VLOOKUP(403,'PEDIDO 29'!$C$2:$E$230,3,0),0)</f>
        <v>0</v>
      </c>
      <c r="G2298" s="18">
        <f t="shared" si="61"/>
        <v>0</v>
      </c>
    </row>
    <row r="2299" spans="1:7" ht="15.75" x14ac:dyDescent="0.25">
      <c r="A2299" s="15">
        <f>'PEDIDO 29'!$B$2</f>
        <v>0</v>
      </c>
      <c r="B2299" s="12" t="s">
        <v>428</v>
      </c>
      <c r="C2299" s="1">
        <f>IFERROR(VLOOKUP(22,'PEDIDO 29'!$C$2:$E$230,3,0),0)</f>
        <v>0</v>
      </c>
      <c r="D2299" s="1"/>
      <c r="E2299" s="1"/>
      <c r="F2299" s="1"/>
      <c r="G2299" s="18">
        <f t="shared" si="61"/>
        <v>0</v>
      </c>
    </row>
    <row r="2300" spans="1:7" ht="15.75" x14ac:dyDescent="0.25">
      <c r="A2300" s="15">
        <f>'PEDIDO 29'!$B$2</f>
        <v>0</v>
      </c>
      <c r="B2300" s="12" t="s">
        <v>429</v>
      </c>
      <c r="C2300" s="1">
        <f>IFERROR(VLOOKUP(21,'PEDIDO 29'!$C$2:$E$230,3,0),0)</f>
        <v>0</v>
      </c>
      <c r="D2300" s="1"/>
      <c r="E2300" s="1"/>
      <c r="F2300" s="1"/>
      <c r="G2300" s="18">
        <f t="shared" si="61"/>
        <v>0</v>
      </c>
    </row>
    <row r="2301" spans="1:7" ht="15.75" x14ac:dyDescent="0.25">
      <c r="A2301" s="15">
        <f>'PEDIDO 29'!$B$2</f>
        <v>0</v>
      </c>
      <c r="B2301" s="12" t="s">
        <v>430</v>
      </c>
      <c r="C2301" s="1">
        <f>IFERROR(VLOOKUP(1125,'PEDIDO 29'!$C$2:$E$230,3,0),0)</f>
        <v>0</v>
      </c>
      <c r="D2301" s="1">
        <f>IFERROR(VLOOKUP(1126,'PEDIDO 29'!$C$2:$E$230,3,0),0)</f>
        <v>0</v>
      </c>
      <c r="E2301" s="1">
        <f>IFERROR(VLOOKUP(1127,'PEDIDO 29'!$C$2:$E$230,3,0),0)</f>
        <v>0</v>
      </c>
      <c r="F2301" s="1">
        <f>IFERROR(VLOOKUP(1128,'PEDIDO 29'!$C$2:$E$230,3,0),0)</f>
        <v>0</v>
      </c>
      <c r="G2301" s="18">
        <f t="shared" si="61"/>
        <v>0</v>
      </c>
    </row>
    <row r="2302" spans="1:7" ht="15.75" x14ac:dyDescent="0.25">
      <c r="A2302" s="15">
        <f>'PEDIDO 29'!$B$2</f>
        <v>0</v>
      </c>
      <c r="B2302" s="12" t="s">
        <v>431</v>
      </c>
      <c r="C2302" s="1">
        <f>IFERROR(VLOOKUP(1133,'PEDIDO 29'!$C$2:$E$230,3,0),0)</f>
        <v>0</v>
      </c>
      <c r="D2302" s="1">
        <f>IFERROR(VLOOKUP(1134,'PEDIDO 29'!$C$2:$E$230,3,0),0)</f>
        <v>0</v>
      </c>
      <c r="E2302" s="1">
        <f>IFERROR(VLOOKUP(1135,'PEDIDO 29'!$C$2:$E$230,3,0),0)</f>
        <v>0</v>
      </c>
      <c r="F2302" s="1">
        <f>IFERROR(VLOOKUP(1136,'PEDIDO 29'!$C$2:$E$230,3,0),0)</f>
        <v>0</v>
      </c>
      <c r="G2302" s="18">
        <f t="shared" si="61"/>
        <v>0</v>
      </c>
    </row>
    <row r="2303" spans="1:7" ht="15.75" x14ac:dyDescent="0.25">
      <c r="A2303" s="15">
        <f>'PEDIDO 29'!$B$2</f>
        <v>0</v>
      </c>
      <c r="B2303" s="12" t="s">
        <v>432</v>
      </c>
      <c r="C2303" s="1">
        <f>IFERROR(VLOOKUP(1105,'PEDIDO 29'!$C$2:$E$230,3,0),0)</f>
        <v>0</v>
      </c>
      <c r="D2303" s="1">
        <f>IFERROR(VLOOKUP(1106,'PEDIDO 29'!$C$2:$E$230,3,0),0)</f>
        <v>0</v>
      </c>
      <c r="E2303" s="1">
        <f>IFERROR(VLOOKUP(1107,'PEDIDO 29'!$C$2:$E$230,3,0),0)</f>
        <v>0</v>
      </c>
      <c r="F2303" s="1">
        <f>IFERROR(VLOOKUP(1108,'PEDIDO 29'!$C$2:$E$230,3,0),0)</f>
        <v>0</v>
      </c>
      <c r="G2303" s="18">
        <f t="shared" si="61"/>
        <v>0</v>
      </c>
    </row>
    <row r="2304" spans="1:7" ht="15.75" x14ac:dyDescent="0.25">
      <c r="A2304" s="15">
        <f>'PEDIDO 29'!$B$2</f>
        <v>0</v>
      </c>
      <c r="B2304" s="12" t="s">
        <v>433</v>
      </c>
      <c r="C2304" s="1">
        <f>IFERROR(VLOOKUP(1109,'PEDIDO 29'!$C$2:$E$230,3,0),0)</f>
        <v>0</v>
      </c>
      <c r="D2304" s="1">
        <f>IFERROR(VLOOKUP(1110,'PEDIDO 29'!$C$2:$E$230,3,0),0)</f>
        <v>0</v>
      </c>
      <c r="E2304" s="1">
        <f>IFERROR(VLOOKUP(1111,'PEDIDO 29'!$C$2:$E$230,3,0),0)</f>
        <v>0</v>
      </c>
      <c r="F2304" s="1">
        <f>IFERROR(VLOOKUP(1112,'PEDIDO 29'!$C$2:$E$230,3,0),0)</f>
        <v>0</v>
      </c>
      <c r="G2304" s="18">
        <f t="shared" si="61"/>
        <v>0</v>
      </c>
    </row>
    <row r="2305" spans="1:7" ht="15.75" x14ac:dyDescent="0.25">
      <c r="A2305" s="15">
        <f>'PEDIDO 29'!$B$2</f>
        <v>0</v>
      </c>
      <c r="B2305" s="12" t="s">
        <v>434</v>
      </c>
      <c r="C2305" s="1">
        <f>IFERROR(VLOOKUP(1113,'PEDIDO 29'!$C$2:$E$230,3,0),0)</f>
        <v>0</v>
      </c>
      <c r="D2305" s="1">
        <f>IFERROR(VLOOKUP(1114,'PEDIDO 29'!$C$2:$E$230,3,0),0)</f>
        <v>0</v>
      </c>
      <c r="E2305" s="1">
        <f>IFERROR(VLOOKUP(1115,'PEDIDO 29'!$C$2:$E$230,3,0),0)</f>
        <v>0</v>
      </c>
      <c r="F2305" s="1">
        <f>IFERROR(VLOOKUP(1116,'PEDIDO 29'!$C$2:$E$230,3,0),0)</f>
        <v>0</v>
      </c>
      <c r="G2305" s="18">
        <f t="shared" si="61"/>
        <v>0</v>
      </c>
    </row>
    <row r="2306" spans="1:7" ht="15.75" x14ac:dyDescent="0.25">
      <c r="A2306" s="15">
        <f>'PEDIDO 29'!$B$2</f>
        <v>0</v>
      </c>
      <c r="B2306" s="12" t="s">
        <v>435</v>
      </c>
      <c r="C2306" s="1">
        <f>IFERROR(VLOOKUP(1117,'PEDIDO 29'!$C$2:$E$230,3,0),0)</f>
        <v>0</v>
      </c>
      <c r="D2306" s="1">
        <f>IFERROR(VLOOKUP(1118,'PEDIDO 29'!$C$2:$E$230,3,0),0)</f>
        <v>0</v>
      </c>
      <c r="E2306" s="1">
        <f>IFERROR(VLOOKUP(1119,'PEDIDO 29'!$C$2:$E$230,3,0),0)</f>
        <v>0</v>
      </c>
      <c r="F2306" s="1">
        <f>IFERROR(VLOOKUP(1120,'PEDIDO 29'!$C$2:$E$230,3,0),0)</f>
        <v>0</v>
      </c>
      <c r="G2306" s="18">
        <f t="shared" si="61"/>
        <v>0</v>
      </c>
    </row>
    <row r="2307" spans="1:7" ht="15.75" x14ac:dyDescent="0.25">
      <c r="A2307" s="15">
        <f>'PEDIDO 29'!$B$2</f>
        <v>0</v>
      </c>
      <c r="B2307" s="12" t="s">
        <v>436</v>
      </c>
      <c r="C2307" s="1">
        <f>IFERROR(VLOOKUP(1121,'PEDIDO 29'!$C$2:$E$230,3,0),0)</f>
        <v>0</v>
      </c>
      <c r="D2307" s="1">
        <f>IFERROR(VLOOKUP(1122,'PEDIDO 29'!$C$2:$E$230,3,0),0)</f>
        <v>0</v>
      </c>
      <c r="E2307" s="1">
        <f>IFERROR(VLOOKUP(1123,'PEDIDO 29'!$C$2:$E$230,3,0),0)</f>
        <v>0</v>
      </c>
      <c r="F2307" s="1">
        <f>IFERROR(VLOOKUP(1124,'PEDIDO 29'!$C$2:$E$230,3,0),0)</f>
        <v>0</v>
      </c>
      <c r="G2307" s="18">
        <f t="shared" si="61"/>
        <v>0</v>
      </c>
    </row>
    <row r="2308" spans="1:7" ht="15.75" x14ac:dyDescent="0.25">
      <c r="A2308" s="15">
        <f>'PEDIDO 29'!$B$2</f>
        <v>0</v>
      </c>
      <c r="B2308" s="12" t="s">
        <v>437</v>
      </c>
      <c r="C2308" s="1">
        <f>IFERROR(VLOOKUP(1129,'PEDIDO 29'!$C$2:$E$230,3,0),0)</f>
        <v>0</v>
      </c>
      <c r="D2308" s="1">
        <f>IFERROR(VLOOKUP(1130,'PEDIDO 29'!$C$2:$E$230,3,0),0)</f>
        <v>0</v>
      </c>
      <c r="E2308" s="1">
        <f>IFERROR(VLOOKUP(1131,'PEDIDO 29'!$C$2:$E$230,3,0),0)</f>
        <v>0</v>
      </c>
      <c r="F2308" s="1">
        <f>IFERROR(VLOOKUP(1132,'PEDIDO 29'!$C$2:$E$230,3,0),0)</f>
        <v>0</v>
      </c>
      <c r="G2308" s="18">
        <f t="shared" si="61"/>
        <v>0</v>
      </c>
    </row>
    <row r="2309" spans="1:7" ht="15.75" x14ac:dyDescent="0.25">
      <c r="A2309" s="15">
        <f>'PEDIDO 29'!$B$2</f>
        <v>0</v>
      </c>
      <c r="B2309" s="12" t="s">
        <v>438</v>
      </c>
      <c r="C2309" s="1">
        <f>IFERROR(VLOOKUP(1137,'PEDIDO 29'!$C$2:$E$230,3,0),0)</f>
        <v>0</v>
      </c>
      <c r="D2309" s="1">
        <f>IFERROR(VLOOKUP(1138,'PEDIDO 29'!$C$2:$E$230,3,0),0)</f>
        <v>0</v>
      </c>
      <c r="E2309" s="1">
        <f>IFERROR(VLOOKUP(1139,'PEDIDO 29'!$C$2:$E$230,3,0),0)</f>
        <v>0</v>
      </c>
      <c r="F2309" s="1">
        <f>IFERROR(VLOOKUP(1140,'PEDIDO 29'!$C$2:$E$230,3,0),0)</f>
        <v>0</v>
      </c>
      <c r="G2309" s="18">
        <f t="shared" si="61"/>
        <v>0</v>
      </c>
    </row>
    <row r="2310" spans="1:7" ht="15.75" x14ac:dyDescent="0.25">
      <c r="A2310" s="15">
        <f>'PEDIDO 29'!$B$2</f>
        <v>0</v>
      </c>
      <c r="B2310" s="12" t="s">
        <v>439</v>
      </c>
      <c r="C2310" s="1">
        <f>IFERROR(VLOOKUP(1141,'PEDIDO 29'!$C$2:$E$230,3,0),0)</f>
        <v>0</v>
      </c>
      <c r="D2310" s="1">
        <f>IFERROR(VLOOKUP(1142,'PEDIDO 29'!$C$2:$E$230,3,0),0)</f>
        <v>0</v>
      </c>
      <c r="E2310" s="1">
        <f>IFERROR(VLOOKUP(1143,'PEDIDO 29'!$C$2:$E$230,3,0),0)</f>
        <v>0</v>
      </c>
      <c r="F2310" s="1">
        <f>IFERROR(VLOOKUP(1144,'PEDIDO 29'!$C$2:$E$230,3,0),0)</f>
        <v>0</v>
      </c>
      <c r="G2310" s="18">
        <f t="shared" si="61"/>
        <v>0</v>
      </c>
    </row>
    <row r="2311" spans="1:7" ht="15.75" x14ac:dyDescent="0.25">
      <c r="A2311" s="15">
        <f>'PEDIDO 29'!$B$2</f>
        <v>0</v>
      </c>
      <c r="B2311" s="12" t="s">
        <v>440</v>
      </c>
      <c r="C2311" s="1">
        <f>IFERROR(VLOOKUP(1145,'PEDIDO 29'!$C$2:$E$230,3,0),0)</f>
        <v>0</v>
      </c>
      <c r="D2311" s="1">
        <f>IFERROR(VLOOKUP(1146,'PEDIDO 29'!$C$2:$E$230,3,0),0)</f>
        <v>0</v>
      </c>
      <c r="E2311" s="1">
        <f>IFERROR(VLOOKUP(1147,'PEDIDO 29'!$C$2:$E$230,3,0),0)</f>
        <v>0</v>
      </c>
      <c r="F2311" s="1">
        <f>IFERROR(VLOOKUP(1148,'PEDIDO 29'!$C$2:$E$230,3,0),0)</f>
        <v>0</v>
      </c>
      <c r="G2311" s="18">
        <f t="shared" si="61"/>
        <v>0</v>
      </c>
    </row>
    <row r="2312" spans="1:7" ht="15.75" x14ac:dyDescent="0.25">
      <c r="A2312" s="15">
        <f>'PEDIDO 29'!$B$2</f>
        <v>0</v>
      </c>
      <c r="B2312" s="12" t="s">
        <v>441</v>
      </c>
      <c r="C2312" s="1">
        <f>IFERROR(VLOOKUP(1149,'PEDIDO 29'!$C$2:$E$230,3,0),0)</f>
        <v>0</v>
      </c>
      <c r="D2312" s="1">
        <f>IFERROR(VLOOKUP(1150,'PEDIDO 29'!$C$2:$E$230,3,0),0)</f>
        <v>0</v>
      </c>
      <c r="E2312" s="1">
        <f>IFERROR(VLOOKUP(1151,'PEDIDO 29'!$C$2:$E$230,3,0),0)</f>
        <v>0</v>
      </c>
      <c r="F2312" s="1">
        <f>IFERROR(VLOOKUP(1152,'PEDIDO 29'!$C$2:$E$230,3,0),0)</f>
        <v>0</v>
      </c>
      <c r="G2312" s="18">
        <f t="shared" si="61"/>
        <v>0</v>
      </c>
    </row>
    <row r="2313" spans="1:7" ht="15.75" x14ac:dyDescent="0.25">
      <c r="A2313" s="15">
        <f>'PEDIDO 29'!$B$2</f>
        <v>0</v>
      </c>
      <c r="B2313" s="12" t="s">
        <v>442</v>
      </c>
      <c r="C2313" s="1">
        <f>IFERROR(VLOOKUP(1153,'PEDIDO 29'!$C$2:$E$230,3,0),0)</f>
        <v>0</v>
      </c>
      <c r="D2313" s="1">
        <f>IFERROR(VLOOKUP(1154,'PEDIDO 29'!$C$2:$E$230,3,0),0)</f>
        <v>0</v>
      </c>
      <c r="E2313" s="1">
        <f>IFERROR(VLOOKUP(1155,'PEDIDO 29'!$C$2:$E$230,3,0),0)</f>
        <v>0</v>
      </c>
      <c r="F2313" s="1">
        <f>IFERROR(VLOOKUP(1156,'PEDIDO 29'!$C$2:$E$230,3,0),0)</f>
        <v>0</v>
      </c>
      <c r="G2313" s="18">
        <f t="shared" si="61"/>
        <v>0</v>
      </c>
    </row>
    <row r="2314" spans="1:7" ht="15.75" x14ac:dyDescent="0.25">
      <c r="A2314" s="15">
        <f>'PEDIDO 29'!$B$2</f>
        <v>0</v>
      </c>
      <c r="B2314" s="12" t="s">
        <v>443</v>
      </c>
      <c r="C2314" s="1">
        <f>IFERROR(VLOOKUP(1157,'PEDIDO 29'!$C$2:$E$230,3,0),0)</f>
        <v>0</v>
      </c>
      <c r="D2314" s="1">
        <f>IFERROR(VLOOKUP(1158,'PEDIDO 29'!$C$2:$E$230,3,0),0)</f>
        <v>0</v>
      </c>
      <c r="E2314" s="1">
        <f>IFERROR(VLOOKUP(1159,'PEDIDO 29'!$C$2:$E$230,3,0),0)</f>
        <v>0</v>
      </c>
      <c r="F2314" s="1">
        <f>IFERROR(VLOOKUP(1160,'PEDIDO 29'!$C$2:$E$230,3,0),0)</f>
        <v>0</v>
      </c>
      <c r="G2314" s="18">
        <f t="shared" si="61"/>
        <v>0</v>
      </c>
    </row>
    <row r="2315" spans="1:7" ht="15.75" x14ac:dyDescent="0.25">
      <c r="A2315" s="15">
        <f>'PEDIDO 29'!$B$2</f>
        <v>0</v>
      </c>
      <c r="B2315" s="12" t="s">
        <v>444</v>
      </c>
      <c r="C2315" s="1">
        <f>IFERROR(VLOOKUP(1161,'PEDIDO 29'!$C$2:$E$230,3,0),0)</f>
        <v>0</v>
      </c>
      <c r="D2315" s="1">
        <f>IFERROR(VLOOKUP(1162,'PEDIDO 29'!$C$2:$E$230,3,0),0)</f>
        <v>0</v>
      </c>
      <c r="E2315" s="1">
        <f>IFERROR(VLOOKUP(1163,'PEDIDO 29'!$C$2:$E$230,3,0),0)</f>
        <v>0</v>
      </c>
      <c r="F2315" s="1">
        <f>IFERROR(VLOOKUP(1164,'PEDIDO 29'!$C$2:$E$230,3,0),0)</f>
        <v>0</v>
      </c>
      <c r="G2315" s="18">
        <f t="shared" si="61"/>
        <v>0</v>
      </c>
    </row>
    <row r="2316" spans="1:7" ht="15.75" x14ac:dyDescent="0.25">
      <c r="A2316" s="15">
        <f>'PEDIDO 29'!$B$2</f>
        <v>0</v>
      </c>
      <c r="B2316" s="12" t="s">
        <v>445</v>
      </c>
      <c r="C2316" s="1">
        <f>IFERROR(VLOOKUP(1165,'PEDIDO 29'!$C$2:$E$230,3,0),0)</f>
        <v>0</v>
      </c>
      <c r="D2316" s="1">
        <f>IFERROR(VLOOKUP(1166,'PEDIDO 29'!$C$2:$E$230,3,0),0)</f>
        <v>0</v>
      </c>
      <c r="E2316" s="1">
        <f>IFERROR(VLOOKUP(1167,'PEDIDO 29'!$C$2:$E$230,3,0),0)</f>
        <v>0</v>
      </c>
      <c r="F2316" s="1">
        <f>IFERROR(VLOOKUP(1168,'PEDIDO 29'!$C$2:$E$230,3,0),0)</f>
        <v>0</v>
      </c>
      <c r="G2316" s="18">
        <f t="shared" si="61"/>
        <v>0</v>
      </c>
    </row>
    <row r="2317" spans="1:7" ht="15.75" x14ac:dyDescent="0.25">
      <c r="A2317" s="15">
        <f>'PEDIDO 29'!$B$2</f>
        <v>0</v>
      </c>
      <c r="B2317" s="12" t="s">
        <v>446</v>
      </c>
      <c r="C2317" s="1">
        <f>IFERROR(VLOOKUP(1169,'PEDIDO 29'!$C$2:$E$230,3,0),0)</f>
        <v>0</v>
      </c>
      <c r="D2317" s="1">
        <f>IFERROR(VLOOKUP(1170,'PEDIDO 29'!$C$2:$E$230,3,0),0)</f>
        <v>0</v>
      </c>
      <c r="E2317" s="1">
        <f>IFERROR(VLOOKUP(1171,'PEDIDO 29'!$C$2:$E$230,3,0),0)</f>
        <v>0</v>
      </c>
      <c r="F2317" s="1">
        <f>IFERROR(VLOOKUP(1172,'PEDIDO 29'!$C$2:$E$230,3,0),0)</f>
        <v>0</v>
      </c>
      <c r="G2317" s="18">
        <f t="shared" si="61"/>
        <v>0</v>
      </c>
    </row>
    <row r="2318" spans="1:7" ht="15.75" x14ac:dyDescent="0.25">
      <c r="A2318" s="15">
        <f>'PEDIDO 29'!$B$2</f>
        <v>0</v>
      </c>
      <c r="B2318" s="12" t="s">
        <v>447</v>
      </c>
      <c r="C2318" s="1">
        <f>IFERROR(VLOOKUP(1173,'PEDIDO 29'!$C$2:$E$230,3,0),0)</f>
        <v>0</v>
      </c>
      <c r="D2318" s="1">
        <f>IFERROR(VLOOKUP(1174,'PEDIDO 29'!$C$2:$E$230,3,0),0)</f>
        <v>0</v>
      </c>
      <c r="E2318" s="1">
        <f>IFERROR(VLOOKUP(1175,'PEDIDO 29'!$C$2:$E$230,3,0),0)</f>
        <v>0</v>
      </c>
      <c r="F2318" s="1">
        <f>IFERROR(VLOOKUP(1176,'PEDIDO 29'!$C$2:$E$230,3,0),0)</f>
        <v>0</v>
      </c>
      <c r="G2318" s="18">
        <f t="shared" si="61"/>
        <v>0</v>
      </c>
    </row>
    <row r="2319" spans="1:7" ht="15.75" x14ac:dyDescent="0.25">
      <c r="A2319" s="15">
        <f>'PEDIDO 29'!$B$2</f>
        <v>0</v>
      </c>
      <c r="B2319" s="12" t="s">
        <v>448</v>
      </c>
      <c r="C2319" s="1">
        <f>IFERROR(VLOOKUP(1249,'PEDIDO 29'!$C$2:$E$230,3,0),0)</f>
        <v>0</v>
      </c>
      <c r="D2319" s="1">
        <f>IFERROR(VLOOKUP(1250,'PEDIDO 29'!$C$2:$E$230,3,0),0)</f>
        <v>0</v>
      </c>
      <c r="E2319" s="1">
        <f>IFERROR(VLOOKUP(1251,'PEDIDO 29'!$C$2:$E$230,3,0),0)</f>
        <v>0</v>
      </c>
      <c r="F2319" s="1">
        <f>IFERROR(VLOOKUP(1252,'PEDIDO 29'!$C$2:$E$230,3,0),0)</f>
        <v>0</v>
      </c>
      <c r="G2319" s="18">
        <f t="shared" si="61"/>
        <v>0</v>
      </c>
    </row>
    <row r="2320" spans="1:7" ht="15.75" x14ac:dyDescent="0.25">
      <c r="A2320" s="15">
        <f>'PEDIDO 29'!$B$2</f>
        <v>0</v>
      </c>
      <c r="B2320" s="12" t="s">
        <v>449</v>
      </c>
      <c r="C2320" s="1">
        <f>IFERROR(VLOOKUP(1177,'PEDIDO 29'!$C$2:$E$230,3,0),0)</f>
        <v>0</v>
      </c>
      <c r="D2320" s="1">
        <f>IFERROR(VLOOKUP(1178,'PEDIDO 29'!$C$2:$E$230,3,0),0)</f>
        <v>0</v>
      </c>
      <c r="E2320" s="1">
        <f>IFERROR(VLOOKUP(1179,'PEDIDO 29'!$C$2:$E$230,3,0),0)</f>
        <v>0</v>
      </c>
      <c r="F2320" s="1">
        <f>IFERROR(VLOOKUP(1180,'PEDIDO 29'!$C$2:$E$230,3,0),0)</f>
        <v>0</v>
      </c>
      <c r="G2320" s="18">
        <f t="shared" si="61"/>
        <v>0</v>
      </c>
    </row>
    <row r="2321" spans="1:7" ht="15.75" x14ac:dyDescent="0.25">
      <c r="A2321" s="15">
        <f>'PEDIDO 29'!$B$2</f>
        <v>0</v>
      </c>
      <c r="B2321" s="12" t="s">
        <v>450</v>
      </c>
      <c r="C2321" s="1">
        <f>IFERROR(VLOOKUP(1181,'PEDIDO 29'!$C$2:$E$230,3,0),0)</f>
        <v>0</v>
      </c>
      <c r="D2321" s="1">
        <f>IFERROR(VLOOKUP(1182,'PEDIDO 29'!$C$2:$E$230,3,0),0)</f>
        <v>0</v>
      </c>
      <c r="E2321" s="1">
        <f>IFERROR(VLOOKUP(1183,'PEDIDO 29'!$C$2:$E$230,3,0),0)</f>
        <v>0</v>
      </c>
      <c r="F2321" s="1">
        <f>IFERROR(VLOOKUP(1184,'PEDIDO 29'!$C$2:$E$230,3,0),0)</f>
        <v>0</v>
      </c>
      <c r="G2321" s="18">
        <f t="shared" si="61"/>
        <v>0</v>
      </c>
    </row>
    <row r="2322" spans="1:7" ht="15.75" x14ac:dyDescent="0.25">
      <c r="A2322" s="15">
        <f>'PEDIDO 29'!$B$2</f>
        <v>0</v>
      </c>
      <c r="B2322" s="12" t="s">
        <v>451</v>
      </c>
      <c r="C2322" s="1">
        <f>IFERROR(VLOOKUP(1185,'PEDIDO 29'!$C$2:$E$230,3,0),0)</f>
        <v>0</v>
      </c>
      <c r="D2322" s="1">
        <f>IFERROR(VLOOKUP(1186,'PEDIDO 29'!$C$2:$E$230,3,0),0)</f>
        <v>0</v>
      </c>
      <c r="E2322" s="1">
        <f>IFERROR(VLOOKUP(1187,'PEDIDO 29'!$C$2:$E$230,3,0),0)</f>
        <v>0</v>
      </c>
      <c r="F2322" s="1">
        <f>IFERROR(VLOOKUP(1188,'PEDIDO 29'!$C$2:$E$230,3,0),0)</f>
        <v>0</v>
      </c>
      <c r="G2322" s="18">
        <f t="shared" si="61"/>
        <v>0</v>
      </c>
    </row>
    <row r="2323" spans="1:7" ht="15.75" x14ac:dyDescent="0.25">
      <c r="A2323" s="15">
        <f>'PEDIDO 29'!$B$2</f>
        <v>0</v>
      </c>
      <c r="B2323" s="12" t="s">
        <v>452</v>
      </c>
      <c r="C2323" s="1">
        <f>IFERROR(VLOOKUP(1189,'PEDIDO 29'!$C$2:$E$230,3,0),0)</f>
        <v>0</v>
      </c>
      <c r="D2323" s="1">
        <f>IFERROR(VLOOKUP(1190,'PEDIDO 29'!$C$2:$E$230,3,0),0)</f>
        <v>0</v>
      </c>
      <c r="E2323" s="1">
        <f>IFERROR(VLOOKUP(1191,'PEDIDO 29'!$C$2:$E$230,3,0),0)</f>
        <v>0</v>
      </c>
      <c r="F2323" s="1">
        <f>IFERROR(VLOOKUP(1192,'PEDIDO 29'!$C$2:$E$230,3,0),0)</f>
        <v>0</v>
      </c>
      <c r="G2323" s="18">
        <f t="shared" si="61"/>
        <v>0</v>
      </c>
    </row>
    <row r="2324" spans="1:7" ht="15.75" x14ac:dyDescent="0.25">
      <c r="A2324" s="15">
        <f>'PEDIDO 29'!$B$2</f>
        <v>0</v>
      </c>
      <c r="B2324" s="12" t="s">
        <v>453</v>
      </c>
      <c r="C2324" s="1">
        <f>IFERROR(VLOOKUP(1193,'PEDIDO 29'!$C$2:$E$230,3,0),0)</f>
        <v>0</v>
      </c>
      <c r="D2324" s="1">
        <f>IFERROR(VLOOKUP(1194,'PEDIDO 29'!$C$2:$E$230,3,0),0)</f>
        <v>0</v>
      </c>
      <c r="E2324" s="1">
        <f>IFERROR(VLOOKUP(1195,'PEDIDO 29'!$C$2:$E$230,3,0),0)</f>
        <v>0</v>
      </c>
      <c r="F2324" s="1">
        <f>IFERROR(VLOOKUP(1196,'PEDIDO 29'!$C$2:$E$230,3,0),0)</f>
        <v>0</v>
      </c>
      <c r="G2324" s="18">
        <f t="shared" si="61"/>
        <v>0</v>
      </c>
    </row>
    <row r="2325" spans="1:7" ht="15.75" x14ac:dyDescent="0.25">
      <c r="A2325" s="15">
        <f>'PEDIDO 29'!$B$2</f>
        <v>0</v>
      </c>
      <c r="B2325" s="12" t="s">
        <v>454</v>
      </c>
      <c r="C2325" s="1">
        <f>IFERROR(VLOOKUP(1197,'PEDIDO 29'!$C$2:$E$230,3,0),0)</f>
        <v>0</v>
      </c>
      <c r="D2325" s="1">
        <f>IFERROR(VLOOKUP(1198,'PEDIDO 29'!$C$2:$E$230,3,0),0)</f>
        <v>0</v>
      </c>
      <c r="E2325" s="1">
        <f>IFERROR(VLOOKUP(1199,'PEDIDO 29'!$C$2:$E$230,3,0),0)</f>
        <v>0</v>
      </c>
      <c r="F2325" s="1">
        <f>IFERROR(VLOOKUP(1200,'PEDIDO 29'!$C$2:$E$230,3,0),0)</f>
        <v>0</v>
      </c>
      <c r="G2325" s="18">
        <f t="shared" si="61"/>
        <v>0</v>
      </c>
    </row>
    <row r="2326" spans="1:7" ht="15.75" x14ac:dyDescent="0.25">
      <c r="A2326" s="15">
        <f>'PEDIDO 29'!$B$2</f>
        <v>0</v>
      </c>
      <c r="B2326" s="12" t="s">
        <v>455</v>
      </c>
      <c r="C2326" s="1">
        <f>IFERROR(VLOOKUP(1201,'PEDIDO 29'!$C$2:$E$230,3,0),0)</f>
        <v>0</v>
      </c>
      <c r="D2326" s="1">
        <f>IFERROR(VLOOKUP(1202,'PEDIDO 29'!$C$2:$E$230,3,0),0)</f>
        <v>0</v>
      </c>
      <c r="E2326" s="1">
        <f>IFERROR(VLOOKUP(1203,'PEDIDO 29'!$C$2:$E$230,3,0),0)</f>
        <v>0</v>
      </c>
      <c r="F2326" s="1">
        <f>IFERROR(VLOOKUP(1204,'PEDIDO 29'!$C$2:$E$230,3,0),0)</f>
        <v>0</v>
      </c>
      <c r="G2326" s="18">
        <f t="shared" si="61"/>
        <v>0</v>
      </c>
    </row>
    <row r="2327" spans="1:7" ht="15.75" x14ac:dyDescent="0.25">
      <c r="A2327" s="15">
        <f>'PEDIDO 29'!$B$2</f>
        <v>0</v>
      </c>
      <c r="B2327" s="12" t="s">
        <v>456</v>
      </c>
      <c r="C2327" s="1">
        <f>IFERROR(VLOOKUP(1205,'PEDIDO 29'!$C$2:$E$230,3,0),0)</f>
        <v>0</v>
      </c>
      <c r="D2327" s="1">
        <f>IFERROR(VLOOKUP(1206,'PEDIDO 29'!$C$2:$E$230,3,0),0)</f>
        <v>0</v>
      </c>
      <c r="E2327" s="1">
        <f>IFERROR(VLOOKUP(1207,'PEDIDO 29'!$C$2:$E$230,3,0),0)</f>
        <v>0</v>
      </c>
      <c r="F2327" s="1">
        <f>IFERROR(VLOOKUP(1208,'PEDIDO 29'!$C$2:$E$230,3,0),0)</f>
        <v>0</v>
      </c>
      <c r="G2327" s="18">
        <f t="shared" si="61"/>
        <v>0</v>
      </c>
    </row>
    <row r="2328" spans="1:7" ht="15.75" x14ac:dyDescent="0.25">
      <c r="A2328" s="15">
        <f>'PEDIDO 29'!$B$2</f>
        <v>0</v>
      </c>
      <c r="B2328" s="12" t="s">
        <v>457</v>
      </c>
      <c r="C2328" s="1">
        <f>IFERROR(VLOOKUP(1213,'PEDIDO 29'!$C$2:$E$230,3,0),0)</f>
        <v>0</v>
      </c>
      <c r="D2328" s="1">
        <f>IFERROR(VLOOKUP(1214,'PEDIDO 29'!$C$2:$E$230,3,0),0)</f>
        <v>0</v>
      </c>
      <c r="E2328" s="1">
        <f>IFERROR(VLOOKUP(1215,'PEDIDO 29'!$C$2:$E$230,3,0),0)</f>
        <v>0</v>
      </c>
      <c r="F2328" s="10">
        <f>IFERROR(VLOOKUP(1216,'PEDIDO 29'!$C$2:$E$230,3,0),0)</f>
        <v>0</v>
      </c>
      <c r="G2328" s="18">
        <f t="shared" si="61"/>
        <v>0</v>
      </c>
    </row>
    <row r="2329" spans="1:7" ht="15.75" x14ac:dyDescent="0.25">
      <c r="A2329" s="15">
        <f>'PEDIDO 29'!$B$2</f>
        <v>0</v>
      </c>
      <c r="B2329" s="12" t="s">
        <v>458</v>
      </c>
      <c r="C2329" s="1">
        <f>IFERROR(VLOOKUP(1209,'PEDIDO 29'!$C$2:$E$230,3,0),0)</f>
        <v>0</v>
      </c>
      <c r="D2329" s="1">
        <f>IFERROR(VLOOKUP(1210,'PEDIDO 29'!$C$2:$E$230,3,0),0)</f>
        <v>0</v>
      </c>
      <c r="E2329" s="1">
        <f>IFERROR(VLOOKUP(1211,'PEDIDO 29'!$C$2:$E$230,3,0),0)</f>
        <v>0</v>
      </c>
      <c r="F2329" s="1">
        <f>IFERROR(VLOOKUP(1212,'PEDIDO 29'!$C$2:$E$230,3,0),0)</f>
        <v>0</v>
      </c>
      <c r="G2329" s="18">
        <f t="shared" si="61"/>
        <v>0</v>
      </c>
    </row>
    <row r="2330" spans="1:7" ht="15.75" x14ac:dyDescent="0.25">
      <c r="A2330" s="15">
        <f>'PEDIDO 29'!$B$2</f>
        <v>0</v>
      </c>
      <c r="B2330" s="12" t="s">
        <v>459</v>
      </c>
      <c r="C2330" s="1">
        <f>IFERROR(VLOOKUP(1217,'PEDIDO 29'!$C$2:$E$230,3,0),0)</f>
        <v>0</v>
      </c>
      <c r="D2330" s="1">
        <f>IFERROR(VLOOKUP(1218,'PEDIDO 29'!$C$2:$E$230,3,0),0)</f>
        <v>0</v>
      </c>
      <c r="E2330" s="1">
        <f>IFERROR(VLOOKUP(1219,'PEDIDO 29'!$C$2:$E$230,3,0),0)</f>
        <v>0</v>
      </c>
      <c r="F2330" s="1">
        <f>IFERROR(VLOOKUP(1220,'PEDIDO 29'!$C$2:$E$230,3,0),0)</f>
        <v>0</v>
      </c>
      <c r="G2330" s="18">
        <f t="shared" si="61"/>
        <v>0</v>
      </c>
    </row>
    <row r="2331" spans="1:7" ht="15.75" x14ac:dyDescent="0.25">
      <c r="A2331" s="15">
        <f>'PEDIDO 29'!$B$2</f>
        <v>0</v>
      </c>
      <c r="B2331" s="12" t="s">
        <v>461</v>
      </c>
      <c r="C2331" s="1">
        <f>IFERROR(VLOOKUP(1225,'PEDIDO 29'!$C$2:$E$230,3,0),0)</f>
        <v>0</v>
      </c>
      <c r="D2331" s="1">
        <f>IFERROR(VLOOKUP(1226,'PEDIDO 29'!$C$2:$E$230,3,0),0)</f>
        <v>0</v>
      </c>
      <c r="E2331" s="1">
        <f>IFERROR(VLOOKUP(1227,'PEDIDO 29'!$C$2:$E$230,3,0),0)</f>
        <v>0</v>
      </c>
      <c r="F2331" s="1">
        <f>IFERROR(VLOOKUP(1228,'PEDIDO 29'!$C$2:$E$230,3,0),0)</f>
        <v>0</v>
      </c>
      <c r="G2331" s="18">
        <f t="shared" si="61"/>
        <v>0</v>
      </c>
    </row>
    <row r="2332" spans="1:7" ht="15.75" x14ac:dyDescent="0.25">
      <c r="A2332" s="15">
        <f>'PEDIDO 29'!$B$2</f>
        <v>0</v>
      </c>
      <c r="B2332" s="12" t="s">
        <v>462</v>
      </c>
      <c r="C2332" s="1">
        <f>IFERROR(VLOOKUP(1221,'PEDIDO 29'!$C$2:$E$230,3,0),0)</f>
        <v>0</v>
      </c>
      <c r="D2332" s="1">
        <f>IFERROR(VLOOKUP(1222,'PEDIDO 29'!$C$2:$E$230,3,0),0)</f>
        <v>0</v>
      </c>
      <c r="E2332" s="1">
        <f>IFERROR(VLOOKUP(1223,'PEDIDO 29'!$C$2:$E$230,3,0),0)</f>
        <v>0</v>
      </c>
      <c r="F2332" s="1">
        <f>IFERROR(VLOOKUP(1224,'PEDIDO 29'!$C$2:$E$230,3,0),0)</f>
        <v>0</v>
      </c>
      <c r="G2332" s="18">
        <f t="shared" si="61"/>
        <v>0</v>
      </c>
    </row>
    <row r="2333" spans="1:7" ht="15.75" x14ac:dyDescent="0.25">
      <c r="A2333" s="15">
        <f>'PEDIDO 29'!$B$2</f>
        <v>0</v>
      </c>
      <c r="B2333" s="12" t="s">
        <v>460</v>
      </c>
      <c r="C2333" s="1">
        <f>IFERROR(VLOOKUP(1229,'PEDIDO 29'!$C$2:$E$230,3,0),0)</f>
        <v>0</v>
      </c>
      <c r="D2333" s="1">
        <f>IFERROR(VLOOKUP(1230,'PEDIDO 29'!$C$2:$E$230,3,0),0)</f>
        <v>0</v>
      </c>
      <c r="E2333" s="1">
        <f>IFERROR(VLOOKUP(1231,'PEDIDO 29'!$C$2:$E$230,3,0),0)</f>
        <v>0</v>
      </c>
      <c r="F2333" s="1">
        <f>IFERROR(VLOOKUP(1232,'PEDIDO 29'!$C$2:$E$230,3,0),0)</f>
        <v>0</v>
      </c>
      <c r="G2333" s="18">
        <f t="shared" si="61"/>
        <v>0</v>
      </c>
    </row>
    <row r="2334" spans="1:7" ht="15.75" x14ac:dyDescent="0.25">
      <c r="A2334" s="15">
        <f>'PEDIDO 29'!$B$2</f>
        <v>0</v>
      </c>
      <c r="B2334" s="12" t="s">
        <v>463</v>
      </c>
      <c r="C2334" s="1">
        <f>IFERROR(VLOOKUP(1233,'PEDIDO 29'!$C$2:$E$230,3,0),0)</f>
        <v>0</v>
      </c>
      <c r="D2334" s="1">
        <f>IFERROR(VLOOKUP(1234,'PEDIDO 29'!$C$2:$E$230,3,0),0)</f>
        <v>0</v>
      </c>
      <c r="E2334" s="1">
        <f>IFERROR(VLOOKUP(1235,'PEDIDO 29'!$C$2:$E$230,3,0),0)</f>
        <v>0</v>
      </c>
      <c r="F2334" s="1">
        <f>IFERROR(VLOOKUP(1236,'PEDIDO 29'!$C$2:$E$230,3,0),0)</f>
        <v>0</v>
      </c>
      <c r="G2334" s="18">
        <f t="shared" si="61"/>
        <v>0</v>
      </c>
    </row>
    <row r="2335" spans="1:7" ht="15.75" x14ac:dyDescent="0.25">
      <c r="A2335" s="15">
        <f>'PEDIDO 29'!$B$2</f>
        <v>0</v>
      </c>
      <c r="B2335" s="12" t="s">
        <v>464</v>
      </c>
      <c r="C2335" s="1">
        <f>IFERROR(VLOOKUP(1237,'PEDIDO 29'!$C$2:$E$230,3,0),0)</f>
        <v>0</v>
      </c>
      <c r="D2335" s="1">
        <f>IFERROR(VLOOKUP(1238,'PEDIDO 29'!$C$2:$E$230,3,0),0)</f>
        <v>0</v>
      </c>
      <c r="E2335" s="1">
        <f>IFERROR(VLOOKUP(1239,'PEDIDO 29'!$C$2:$E$230,3,0),0)</f>
        <v>0</v>
      </c>
      <c r="F2335" s="1">
        <f>IFERROR(VLOOKUP(1240,'PEDIDO 29'!$C$2:$E$230,3,0),0)</f>
        <v>0</v>
      </c>
      <c r="G2335" s="18">
        <f t="shared" ref="G2335:G2347" si="62">SUM(C2335+D2335+E2335+F2335)</f>
        <v>0</v>
      </c>
    </row>
    <row r="2336" spans="1:7" ht="15.75" x14ac:dyDescent="0.25">
      <c r="A2336" s="15">
        <f>'PEDIDO 29'!$B$2</f>
        <v>0</v>
      </c>
      <c r="B2336" s="12" t="s">
        <v>465</v>
      </c>
      <c r="C2336" s="1">
        <f>IFERROR(VLOOKUP(1241,'PEDIDO 29'!$C$2:$E$230,3,0),0)</f>
        <v>0</v>
      </c>
      <c r="D2336" s="1">
        <f>IFERROR(VLOOKUP(1242,'PEDIDO 29'!$C$2:$E$230,3,0),0)</f>
        <v>0</v>
      </c>
      <c r="E2336" s="1">
        <f>IFERROR(VLOOKUP(1243,'PEDIDO 29'!$C$2:$E$230,3,0),0)</f>
        <v>0</v>
      </c>
      <c r="F2336" s="1">
        <f>IFERROR(VLOOKUP(1244,'PEDIDO 29'!$C$2:$E$230,3,0),0)</f>
        <v>0</v>
      </c>
      <c r="G2336" s="18">
        <f t="shared" si="62"/>
        <v>0</v>
      </c>
    </row>
    <row r="2337" spans="1:7" ht="15.75" x14ac:dyDescent="0.25">
      <c r="A2337" s="15">
        <f>'PEDIDO 29'!$B$2</f>
        <v>0</v>
      </c>
      <c r="B2337" s="12" t="s">
        <v>466</v>
      </c>
      <c r="C2337" s="1">
        <f>IFERROR(VLOOKUP(1245,'PEDIDO 29'!$C$2:$E$230,3,0),0)</f>
        <v>0</v>
      </c>
      <c r="D2337" s="1">
        <f>IFERROR(VLOOKUP(1246,'PEDIDO 29'!$C$2:$E$230,3,0),0)</f>
        <v>0</v>
      </c>
      <c r="E2337" s="1">
        <f>IFERROR(VLOOKUP(1247,'PEDIDO 29'!$C$2:$E$230,3,0),0)</f>
        <v>0</v>
      </c>
      <c r="F2337" s="1">
        <f>IFERROR(VLOOKUP(1248,'PEDIDO 29'!$C$2:$E$230,3,0),0)</f>
        <v>0</v>
      </c>
      <c r="G2337" s="18">
        <f t="shared" si="62"/>
        <v>0</v>
      </c>
    </row>
    <row r="2338" spans="1:7" ht="15.75" x14ac:dyDescent="0.25">
      <c r="A2338" s="15">
        <f>'PEDIDO 29'!$B$2</f>
        <v>0</v>
      </c>
      <c r="B2338" s="12" t="s">
        <v>467</v>
      </c>
      <c r="C2338" s="1">
        <f>IFERROR(VLOOKUP(25714,'PEDIDO 29'!$C$2:$E$230,3,0),0)</f>
        <v>0</v>
      </c>
      <c r="D2338" s="1"/>
      <c r="E2338" s="1"/>
      <c r="F2338" s="1"/>
      <c r="G2338" s="18">
        <f t="shared" si="62"/>
        <v>0</v>
      </c>
    </row>
    <row r="2339" spans="1:7" ht="15.75" x14ac:dyDescent="0.25">
      <c r="A2339" s="15">
        <f>'PEDIDO 29'!$B$2</f>
        <v>0</v>
      </c>
      <c r="B2339" s="12" t="s">
        <v>468</v>
      </c>
      <c r="C2339" s="1">
        <f>IFERROR(VLOOKUP(25712,'PEDIDO 29'!$C$2:$E$230,3,0),0)</f>
        <v>0</v>
      </c>
      <c r="D2339" s="1"/>
      <c r="E2339" s="1"/>
      <c r="F2339" s="1"/>
      <c r="G2339" s="18">
        <f t="shared" si="62"/>
        <v>0</v>
      </c>
    </row>
    <row r="2340" spans="1:7" ht="15.75" x14ac:dyDescent="0.25">
      <c r="A2340" s="15">
        <f>'PEDIDO 29'!$B$2</f>
        <v>0</v>
      </c>
      <c r="B2340" s="12" t="s">
        <v>469</v>
      </c>
      <c r="C2340" s="1">
        <f>IFERROR(VLOOKUP(25713,'PEDIDO 29'!$C$2:$E$230,3,0),0)</f>
        <v>0</v>
      </c>
      <c r="D2340" s="1"/>
      <c r="E2340" s="1"/>
      <c r="F2340" s="1"/>
      <c r="G2340" s="18">
        <f t="shared" si="62"/>
        <v>0</v>
      </c>
    </row>
    <row r="2341" spans="1:7" ht="15.75" x14ac:dyDescent="0.25">
      <c r="A2341" s="15">
        <f>'PEDIDO 29'!$B$2</f>
        <v>0</v>
      </c>
      <c r="B2341" s="12" t="s">
        <v>470</v>
      </c>
      <c r="C2341" s="1">
        <f>IFERROR(VLOOKUP(1260,'PEDIDO 29'!$C$2:$E$230,3,0),0)</f>
        <v>0</v>
      </c>
      <c r="D2341" s="1"/>
      <c r="E2341" s="1"/>
      <c r="F2341" s="1"/>
      <c r="G2341" s="18">
        <f t="shared" si="62"/>
        <v>0</v>
      </c>
    </row>
    <row r="2342" spans="1:7" ht="15.75" x14ac:dyDescent="0.25">
      <c r="A2342" s="15">
        <f>'PEDIDO 29'!$B$2</f>
        <v>0</v>
      </c>
      <c r="B2342" s="12" t="s">
        <v>471</v>
      </c>
      <c r="C2342" s="1">
        <f>IFERROR(VLOOKUP(1261,'PEDIDO 29'!$C$2:$E$230,3,0),0)</f>
        <v>0</v>
      </c>
      <c r="D2342" s="1"/>
      <c r="E2342" s="1"/>
      <c r="F2342" s="1"/>
      <c r="G2342" s="18">
        <f t="shared" si="62"/>
        <v>0</v>
      </c>
    </row>
    <row r="2343" spans="1:7" ht="15.75" x14ac:dyDescent="0.25">
      <c r="A2343" s="15">
        <f>'PEDIDO 29'!$B$2</f>
        <v>0</v>
      </c>
      <c r="B2343" s="12" t="s">
        <v>472</v>
      </c>
      <c r="C2343" s="1">
        <f>IFERROR(VLOOKUP(1262,'PEDIDO 29'!$C$2:$E$230,3,0),0)</f>
        <v>0</v>
      </c>
      <c r="D2343" s="1"/>
      <c r="E2343" s="1"/>
      <c r="F2343" s="1"/>
      <c r="G2343" s="18">
        <f t="shared" si="62"/>
        <v>0</v>
      </c>
    </row>
    <row r="2344" spans="1:7" ht="15.75" x14ac:dyDescent="0.25">
      <c r="A2344" s="15">
        <f>'PEDIDO 29'!$B$2</f>
        <v>0</v>
      </c>
      <c r="B2344" s="12" t="s">
        <v>473</v>
      </c>
      <c r="C2344" s="1">
        <f>IFERROR(VLOOKUP(1263,'PEDIDO 29'!$C$2:$E$230,3,0),0)</f>
        <v>0</v>
      </c>
      <c r="D2344" s="1"/>
      <c r="E2344" s="1"/>
      <c r="F2344" s="1"/>
      <c r="G2344" s="18">
        <f t="shared" si="62"/>
        <v>0</v>
      </c>
    </row>
    <row r="2345" spans="1:7" ht="15.75" x14ac:dyDescent="0.25">
      <c r="A2345" s="15">
        <f>'PEDIDO 29'!$B$2</f>
        <v>0</v>
      </c>
      <c r="B2345" s="12" t="s">
        <v>474</v>
      </c>
      <c r="C2345" s="1">
        <f>IFERROR(VLOOKUP(1264,'PEDIDO 29'!$C$2:$E$230,3,0),0)</f>
        <v>0</v>
      </c>
      <c r="D2345" s="1"/>
      <c r="E2345" s="1"/>
      <c r="F2345" s="1"/>
      <c r="G2345" s="18">
        <f t="shared" si="62"/>
        <v>0</v>
      </c>
    </row>
    <row r="2346" spans="1:7" ht="15.75" x14ac:dyDescent="0.25">
      <c r="A2346" s="15">
        <f>'PEDIDO 29'!$B$2</f>
        <v>0</v>
      </c>
      <c r="B2346" s="12" t="s">
        <v>475</v>
      </c>
      <c r="C2346" s="1">
        <f>IFERROR(VLOOKUP(1265,'PEDIDO 29'!$C$2:$E$230,3,0),0)</f>
        <v>0</v>
      </c>
      <c r="D2346" s="1"/>
      <c r="E2346" s="1"/>
      <c r="F2346" s="1"/>
      <c r="G2346" s="18">
        <f t="shared" si="62"/>
        <v>0</v>
      </c>
    </row>
    <row r="2347" spans="1:7" ht="15.75" x14ac:dyDescent="0.25">
      <c r="A2347" s="15">
        <f>'PEDIDO 29'!$B$2</f>
        <v>0</v>
      </c>
      <c r="B2347" s="12" t="s">
        <v>476</v>
      </c>
      <c r="C2347" s="1">
        <f>IFERROR(VLOOKUP(1266,'PEDIDO 29'!$C$2:$E$230,3,0),0)</f>
        <v>0</v>
      </c>
      <c r="D2347" s="1"/>
      <c r="E2347" s="1"/>
      <c r="F2347" s="1"/>
      <c r="G2347" s="18">
        <f t="shared" si="62"/>
        <v>0</v>
      </c>
    </row>
    <row r="2348" spans="1:7" ht="15.75" x14ac:dyDescent="0.25">
      <c r="A2348" s="15">
        <f>'PEDIDO 29'!$B$2</f>
        <v>0</v>
      </c>
      <c r="B2348" s="12" t="s">
        <v>477</v>
      </c>
      <c r="C2348" s="1">
        <f>IFERROR(VLOOKUP(1268,'PEDIDO 29'!$C$2:$E$230,3,0),0)</f>
        <v>0</v>
      </c>
      <c r="D2348" s="1">
        <f>IFERROR(VLOOKUP(1269,'PEDIDO 29'!$C$2:$E$230,3,0),0)</f>
        <v>0</v>
      </c>
      <c r="E2348" s="1">
        <f>IFERROR(VLOOKUP(1270,'PEDIDO 29'!$C$2:$E$230,3,0),0)</f>
        <v>0</v>
      </c>
      <c r="F2348" s="1">
        <f>IFERROR(VLOOKUP(1271,'PEDIDO 29'!$C$2:$E$230,3,0),0)</f>
        <v>0</v>
      </c>
      <c r="G2348" s="18">
        <f t="shared" ref="G2348" si="63">SUM(C2348+D2348+E2348+F2348)</f>
        <v>0</v>
      </c>
    </row>
    <row r="2351" spans="1:7" ht="15.75" x14ac:dyDescent="0.25">
      <c r="A2351" s="15">
        <f>'PEDIDO 30'!$B$2</f>
        <v>0</v>
      </c>
      <c r="B2351" s="12" t="s">
        <v>399</v>
      </c>
      <c r="C2351" s="1">
        <f>IFERROR(VLOOKUP(1,'PEDIDO 30'!$C$2:$E$230,3,0),0)</f>
        <v>0</v>
      </c>
      <c r="D2351" s="1">
        <f>IFERROR(VLOOKUP(2,'PEDIDO 30'!$C$2:$E$230,3,0),0)</f>
        <v>0</v>
      </c>
      <c r="E2351" s="1">
        <f>IFERROR(VLOOKUP(3,'PEDIDO 30'!$C$2:$E$230,3,0),0)</f>
        <v>0</v>
      </c>
      <c r="F2351" s="1">
        <f>IFERROR(VLOOKUP(282,'PEDIDO 30'!$C$2:$E$230,3,0),0)</f>
        <v>0</v>
      </c>
      <c r="G2351" s="18">
        <f>SUM(C2351+D2351+E2351+F2351)</f>
        <v>0</v>
      </c>
    </row>
    <row r="2352" spans="1:7" ht="15.75" x14ac:dyDescent="0.25">
      <c r="A2352" s="15">
        <f>'PEDIDO 30'!$B$2</f>
        <v>0</v>
      </c>
      <c r="B2352" s="12" t="s">
        <v>400</v>
      </c>
      <c r="C2352" s="1">
        <f>IFERROR(VLOOKUP(5,'PEDIDO 30'!$C$2:$E$230,3,0),0)</f>
        <v>0</v>
      </c>
      <c r="D2352" s="1">
        <f>IFERROR(VLOOKUP(6,'PEDIDO 30'!$C$2:$E$230,3,0),0)</f>
        <v>0</v>
      </c>
      <c r="E2352" s="1">
        <f>IFERROR(VLOOKUP(7,'PEDIDO 30'!$C$2:$E$230,3,0),0)</f>
        <v>0</v>
      </c>
      <c r="F2352" s="1">
        <f>IFERROR(VLOOKUP(258,'PEDIDO 30'!$C$2:$E$230,3,0),0)</f>
        <v>0</v>
      </c>
      <c r="G2352" s="18">
        <f t="shared" ref="G2352:G2415" si="64">SUM(C2352+D2352+E2352+F2352)</f>
        <v>0</v>
      </c>
    </row>
    <row r="2353" spans="1:7" ht="15.75" x14ac:dyDescent="0.25">
      <c r="A2353" s="15">
        <f>'PEDIDO 30'!$B$2</f>
        <v>0</v>
      </c>
      <c r="B2353" s="12" t="s">
        <v>401</v>
      </c>
      <c r="C2353" s="1">
        <f>IFERROR(VLOOKUP(13,'PEDIDO 30'!$C$2:$E$230,3,0),0)</f>
        <v>0</v>
      </c>
      <c r="D2353" s="1">
        <f>IFERROR(VLOOKUP(14,'PEDIDO 30'!$C$2:$E$230,3,0),0)</f>
        <v>0</v>
      </c>
      <c r="E2353" s="1">
        <f>IFERROR(VLOOKUP(15,'PEDIDO 30'!$C$2:$E$230,3,0),0)</f>
        <v>0</v>
      </c>
      <c r="F2353" s="1">
        <f>IFERROR(VLOOKUP(289,'PEDIDO 30'!$C$2:$E$230,3,0),0)</f>
        <v>0</v>
      </c>
      <c r="G2353" s="18">
        <f t="shared" si="64"/>
        <v>0</v>
      </c>
    </row>
    <row r="2354" spans="1:7" ht="15.75" x14ac:dyDescent="0.25">
      <c r="A2354" s="15">
        <f>'PEDIDO 30'!$B$2</f>
        <v>0</v>
      </c>
      <c r="B2354" s="12" t="s">
        <v>402</v>
      </c>
      <c r="C2354" s="1">
        <f>IFERROR(VLOOKUP(267,'PEDIDO 30'!$C$2:$E$230,3,0),0)</f>
        <v>0</v>
      </c>
      <c r="D2354" s="1">
        <f>IFERROR(VLOOKUP(268,'PEDIDO 30'!$C$2:$E$230,3,0),0)</f>
        <v>0</v>
      </c>
      <c r="E2354" s="1">
        <f>IFERROR(VLOOKUP(270,'PEDIDO 30'!$C$2:$E$230,3,0),0)</f>
        <v>0</v>
      </c>
      <c r="F2354" s="1">
        <f>IFERROR(VLOOKUP(269,'PEDIDO 30'!$C$2:$E$230,3,0),0)</f>
        <v>0</v>
      </c>
      <c r="G2354" s="18">
        <f t="shared" si="64"/>
        <v>0</v>
      </c>
    </row>
    <row r="2355" spans="1:7" ht="15.75" x14ac:dyDescent="0.25">
      <c r="A2355" s="15">
        <f>'PEDIDO 30'!$B$2</f>
        <v>0</v>
      </c>
      <c r="B2355" s="12" t="s">
        <v>403</v>
      </c>
      <c r="C2355" s="1">
        <f>IFERROR(VLOOKUP(17,'PEDIDO 30'!$C$2:$E$230,3,0),0)</f>
        <v>0</v>
      </c>
      <c r="D2355" s="1">
        <f>IFERROR(VLOOKUP(18,'PEDIDO 30'!$C$2:$E$230,3,0),0)</f>
        <v>0</v>
      </c>
      <c r="E2355" s="1">
        <f>IFERROR(VLOOKUP(19,'PEDIDO 30'!$C$2:$E$230,3,0),0)</f>
        <v>0</v>
      </c>
      <c r="F2355" s="1">
        <f>IFERROR(VLOOKUP(290,'PEDIDO 30'!$C$2:$E$230,3,0),0)</f>
        <v>0</v>
      </c>
      <c r="G2355" s="18">
        <f t="shared" si="64"/>
        <v>0</v>
      </c>
    </row>
    <row r="2356" spans="1:7" ht="15.75" x14ac:dyDescent="0.25">
      <c r="A2356" s="15">
        <f>'PEDIDO 30'!$B$2</f>
        <v>0</v>
      </c>
      <c r="B2356" s="12" t="s">
        <v>404</v>
      </c>
      <c r="C2356" s="1">
        <f>IFERROR(VLOOKUP(23,'PEDIDO 30'!$C$2:$E$230,3,0),0)</f>
        <v>0</v>
      </c>
      <c r="D2356" s="1">
        <f>IFERROR(VLOOKUP(24,'PEDIDO 30'!$C$2:$E$230,3,0),0)</f>
        <v>0</v>
      </c>
      <c r="E2356" s="1">
        <f>IFERROR(VLOOKUP(25,'PEDIDO 30'!$C$2:$E$230,3,0),0)</f>
        <v>0</v>
      </c>
      <c r="F2356" s="1">
        <f>IFERROR(VLOOKUP(291,'PEDIDO 30'!$C$2:$E$230,3,0),0)</f>
        <v>0</v>
      </c>
      <c r="G2356" s="18">
        <f t="shared" si="64"/>
        <v>0</v>
      </c>
    </row>
    <row r="2357" spans="1:7" ht="15.75" x14ac:dyDescent="0.25">
      <c r="A2357" s="15">
        <f>'PEDIDO 30'!$B$2</f>
        <v>0</v>
      </c>
      <c r="B2357" s="12" t="s">
        <v>405</v>
      </c>
      <c r="C2357" s="1">
        <f>IFERROR(VLOOKUP(27,'PEDIDO 30'!$C$2:$E$230,3,0),0)</f>
        <v>0</v>
      </c>
      <c r="D2357" s="1">
        <f>IFERROR(VLOOKUP(28,'PEDIDO 30'!$C$2:$E$230,3,0),0)</f>
        <v>0</v>
      </c>
      <c r="E2357" s="1">
        <f>IFERROR(VLOOKUP(29,'PEDIDO 30'!$C$2:$E$230,3,0),0)</f>
        <v>0</v>
      </c>
      <c r="F2357" s="1">
        <f>IFERROR(VLOOKUP(292,'PEDIDO 30'!$C$2:$E$230,3,0),0)</f>
        <v>0</v>
      </c>
      <c r="G2357" s="18">
        <f t="shared" si="64"/>
        <v>0</v>
      </c>
    </row>
    <row r="2358" spans="1:7" ht="15.75" x14ac:dyDescent="0.25">
      <c r="A2358" s="15">
        <f>'PEDIDO 30'!$B$2</f>
        <v>0</v>
      </c>
      <c r="B2358" s="12" t="s">
        <v>406</v>
      </c>
      <c r="C2358" s="1">
        <f>IFERROR(VLOOKUP(227,'PEDIDO 30'!$C$2:$E$230,3,0),0)</f>
        <v>0</v>
      </c>
      <c r="D2358" s="1">
        <f>IFERROR(VLOOKUP(228,'PEDIDO 30'!$C$2:$E$230,3,0),0)</f>
        <v>0</v>
      </c>
      <c r="E2358" s="1">
        <f>IFERROR(VLOOKUP(229,'PEDIDO 30'!$C$2:$E$230,3,0),0)</f>
        <v>0</v>
      </c>
      <c r="F2358" s="1">
        <f>IFERROR(VLOOKUP(230,'PEDIDO 30'!$C$2:$E$230,3,0),0)</f>
        <v>0</v>
      </c>
      <c r="G2358" s="18">
        <f t="shared" si="64"/>
        <v>0</v>
      </c>
    </row>
    <row r="2359" spans="1:7" ht="15.75" x14ac:dyDescent="0.25">
      <c r="A2359" s="15">
        <f>'PEDIDO 30'!$B$2</f>
        <v>0</v>
      </c>
      <c r="B2359" s="12" t="s">
        <v>407</v>
      </c>
      <c r="C2359" s="1">
        <f>IFERROR(VLOOKUP(231,'PEDIDO 30'!$C$2:$E$230,3,0),0)</f>
        <v>0</v>
      </c>
      <c r="D2359" s="1">
        <f>IFERROR(VLOOKUP(232,'PEDIDO 30'!$C$2:$E$230,3,0),0)</f>
        <v>0</v>
      </c>
      <c r="E2359" s="1">
        <f>IFERROR(VLOOKUP(234,'PEDIDO 30'!$C$2:$E$230,3,0),0)</f>
        <v>0</v>
      </c>
      <c r="F2359" s="1">
        <f>IFERROR(VLOOKUP(233,'PEDIDO 30'!$C$2:$E$230,3,0),0)</f>
        <v>0</v>
      </c>
      <c r="G2359" s="18">
        <f t="shared" si="64"/>
        <v>0</v>
      </c>
    </row>
    <row r="2360" spans="1:7" ht="15.75" x14ac:dyDescent="0.25">
      <c r="A2360" s="15">
        <f>'PEDIDO 30'!$B$2</f>
        <v>0</v>
      </c>
      <c r="B2360" s="12" t="s">
        <v>408</v>
      </c>
      <c r="C2360" s="1">
        <f>IFERROR(VLOOKUP(237,'PEDIDO 30'!$C$2:$E$230,3,0),0)</f>
        <v>0</v>
      </c>
      <c r="D2360" s="1">
        <f>IFERROR(VLOOKUP(238,'PEDIDO 30'!$C$2:$E$230,3,0),0)</f>
        <v>0</v>
      </c>
      <c r="E2360" s="1">
        <f>IFERROR(VLOOKUP(240,'PEDIDO 30'!$C$2:$E$230,3,0),0)</f>
        <v>0</v>
      </c>
      <c r="F2360" s="1">
        <f>IFERROR(VLOOKUP(239,'PEDIDO 30'!$C$2:$E$230,3,0),0)</f>
        <v>0</v>
      </c>
      <c r="G2360" s="18">
        <f t="shared" si="64"/>
        <v>0</v>
      </c>
    </row>
    <row r="2361" spans="1:7" ht="15.75" x14ac:dyDescent="0.25">
      <c r="A2361" s="15">
        <f>'PEDIDO 30'!$B$2</f>
        <v>0</v>
      </c>
      <c r="B2361" s="12" t="s">
        <v>409</v>
      </c>
      <c r="C2361" s="1">
        <f>IFERROR(VLOOKUP(25707,'PEDIDO 30'!$C$2:$E$230,3,0),0)</f>
        <v>0</v>
      </c>
      <c r="D2361" s="1">
        <f>IFERROR(VLOOKUP(25708,'PEDIDO 30'!$C$2:$E$230,3,0),0)</f>
        <v>0</v>
      </c>
      <c r="E2361" s="1">
        <f>IFERROR(VLOOKUP(25710,'PEDIDO 30'!$C$2:$E$230,3,0),0)</f>
        <v>0</v>
      </c>
      <c r="F2361" s="1">
        <f>IFERROR(VLOOKUP(25709,'PEDIDO 30'!$C$2:$E$230,3,0),0)</f>
        <v>0</v>
      </c>
      <c r="G2361" s="18">
        <f t="shared" si="64"/>
        <v>0</v>
      </c>
    </row>
    <row r="2362" spans="1:7" ht="15.75" x14ac:dyDescent="0.25">
      <c r="A2362" s="15">
        <f>'PEDIDO 30'!$B$2</f>
        <v>0</v>
      </c>
      <c r="B2362" s="12" t="s">
        <v>410</v>
      </c>
      <c r="C2362" s="1">
        <f>IFERROR(VLOOKUP(25711,'PEDIDO 30'!$C$2:$E$230,3,0),0)</f>
        <v>0</v>
      </c>
      <c r="D2362" s="1"/>
      <c r="E2362" s="1"/>
      <c r="F2362" s="1"/>
      <c r="G2362" s="18">
        <f t="shared" si="64"/>
        <v>0</v>
      </c>
    </row>
    <row r="2363" spans="1:7" ht="15.75" x14ac:dyDescent="0.25">
      <c r="A2363" s="15">
        <f>'PEDIDO 30'!$B$2</f>
        <v>0</v>
      </c>
      <c r="B2363" s="12" t="s">
        <v>411</v>
      </c>
      <c r="C2363" s="1">
        <f>IFERROR(VLOOKUP(35,'PEDIDO 30'!$C$2:$E$230,3,0),0)</f>
        <v>0</v>
      </c>
      <c r="D2363" s="1">
        <f>IFERROR(VLOOKUP(36,'PEDIDO 30'!$C$2:$E$230,3,0),0)</f>
        <v>0</v>
      </c>
      <c r="E2363" s="1">
        <f>IFERROR(VLOOKUP(37,'PEDIDO 30'!$C$2:$E$230,3,0),0)</f>
        <v>0</v>
      </c>
      <c r="F2363" s="1">
        <f>IFERROR(VLOOKUP(294,'PEDIDO 30'!$C$2:$E$230,3,0),0)</f>
        <v>0</v>
      </c>
      <c r="G2363" s="18">
        <f t="shared" si="64"/>
        <v>0</v>
      </c>
    </row>
    <row r="2364" spans="1:7" ht="15.75" x14ac:dyDescent="0.25">
      <c r="A2364" s="15">
        <f>'PEDIDO 30'!$B$2</f>
        <v>0</v>
      </c>
      <c r="B2364" s="12" t="s">
        <v>412</v>
      </c>
      <c r="C2364" s="1">
        <f>IFERROR(VLOOKUP(39,'PEDIDO 30'!$C$2:$E$230,3,0),0)</f>
        <v>0</v>
      </c>
      <c r="D2364" s="1">
        <f>IFERROR(VLOOKUP(40,'PEDIDO 30'!$C$2:$E$230,3,0),0)</f>
        <v>0</v>
      </c>
      <c r="E2364" s="1">
        <f>IFERROR(VLOOKUP(42,'PEDIDO 30'!$C$2:$E$230,3,0),0)</f>
        <v>0</v>
      </c>
      <c r="F2364" s="1">
        <f>IFERROR(VLOOKUP(295,'PEDIDO 30'!$C$2:$E$230,3,0),0)</f>
        <v>0</v>
      </c>
      <c r="G2364" s="18">
        <f t="shared" si="64"/>
        <v>0</v>
      </c>
    </row>
    <row r="2365" spans="1:7" ht="15.75" x14ac:dyDescent="0.25">
      <c r="A2365" s="15">
        <f>'PEDIDO 30'!$B$2</f>
        <v>0</v>
      </c>
      <c r="B2365" s="12" t="s">
        <v>413</v>
      </c>
      <c r="C2365" s="1">
        <f>IFERROR(VLOOKUP(44,'PEDIDO 30'!$C$2:$E$230,3,0),0)</f>
        <v>0</v>
      </c>
      <c r="D2365" s="1">
        <f>IFERROR(VLOOKUP(45,'PEDIDO 30'!$C$2:$E$230,3,0),0)</f>
        <v>0</v>
      </c>
      <c r="E2365" s="1">
        <f>IFERROR(VLOOKUP(46,'PEDIDO 30'!$C$2:$E$230,3,0),0)</f>
        <v>0</v>
      </c>
      <c r="F2365" s="1">
        <f>IFERROR(VLOOKUP(283,'PEDIDO 30'!$C$2:$E$230,3,0),0)</f>
        <v>0</v>
      </c>
      <c r="G2365" s="18">
        <f t="shared" si="64"/>
        <v>0</v>
      </c>
    </row>
    <row r="2366" spans="1:7" ht="15.75" x14ac:dyDescent="0.25">
      <c r="A2366" s="15">
        <f>'PEDIDO 30'!$B$2</f>
        <v>0</v>
      </c>
      <c r="B2366" s="12" t="s">
        <v>414</v>
      </c>
      <c r="C2366" s="1">
        <f>IFERROR(VLOOKUP(48,'PEDIDO 30'!$C$2:$E$230,3,0),0)</f>
        <v>0</v>
      </c>
      <c r="D2366" s="1">
        <f>IFERROR(VLOOKUP(49,'PEDIDO 30'!$C$2:$E$230,3,0),0)</f>
        <v>0</v>
      </c>
      <c r="E2366" s="1">
        <f>IFERROR(VLOOKUP(50,'PEDIDO 30'!$C$2:$E$230,3,0),0)</f>
        <v>0</v>
      </c>
      <c r="F2366" s="1">
        <f>IFERROR(VLOOKUP(298,'PEDIDO 30'!$C$2:$E$230,3,0),0)</f>
        <v>0</v>
      </c>
      <c r="G2366" s="18">
        <f t="shared" si="64"/>
        <v>0</v>
      </c>
    </row>
    <row r="2367" spans="1:7" ht="15.75" x14ac:dyDescent="0.25">
      <c r="A2367" s="15">
        <f>'PEDIDO 30'!$B$2</f>
        <v>0</v>
      </c>
      <c r="B2367" s="12" t="s">
        <v>415</v>
      </c>
      <c r="C2367" s="1">
        <f>IFERROR(VLOOKUP(52,'PEDIDO 30'!$C$2:$E$230,3,0),0)</f>
        <v>0</v>
      </c>
      <c r="D2367" s="1">
        <f>IFERROR(VLOOKUP(53,'PEDIDO 30'!$C$2:$E$230,3,0),0)</f>
        <v>0</v>
      </c>
      <c r="E2367" s="1">
        <f>IFERROR(VLOOKUP(54,'PEDIDO 30'!$C$2:$E$230,3,0),0)</f>
        <v>0</v>
      </c>
      <c r="F2367" s="1">
        <f>IFERROR(VLOOKUP(299,'PEDIDO 30'!$C$2:$E$230,3,0),0)</f>
        <v>0</v>
      </c>
      <c r="G2367" s="18">
        <f t="shared" si="64"/>
        <v>0</v>
      </c>
    </row>
    <row r="2368" spans="1:7" ht="15.75" x14ac:dyDescent="0.25">
      <c r="A2368" s="15">
        <f>'PEDIDO 30'!$B$2</f>
        <v>0</v>
      </c>
      <c r="B2368" s="12" t="s">
        <v>416</v>
      </c>
      <c r="C2368" s="1">
        <f>IFERROR(VLOOKUP(56,'PEDIDO 30'!$C$2:$E$230,3,0),0)</f>
        <v>0</v>
      </c>
      <c r="D2368" s="1">
        <f>IFERROR(VLOOKUP(61,'PEDIDO 30'!$C$2:$E$230,3,0),0)</f>
        <v>0</v>
      </c>
      <c r="E2368" s="1">
        <f>IFERROR(VLOOKUP(58,'PEDIDO 30'!$C$2:$E$230,3,0),0)</f>
        <v>0</v>
      </c>
      <c r="F2368" s="1">
        <f>IFERROR(VLOOKUP(300,'PEDIDO 30'!$C$2:$E$230,3,0),0)</f>
        <v>0</v>
      </c>
      <c r="G2368" s="18">
        <f t="shared" si="64"/>
        <v>0</v>
      </c>
    </row>
    <row r="2369" spans="1:7" ht="15.75" x14ac:dyDescent="0.25">
      <c r="A2369" s="15">
        <f>'PEDIDO 30'!$B$2</f>
        <v>0</v>
      </c>
      <c r="B2369" s="12" t="s">
        <v>417</v>
      </c>
      <c r="C2369" s="1">
        <f>IFERROR(VLOOKUP(60,'PEDIDO 30'!$C$2:$E$230,3,0),0)</f>
        <v>0</v>
      </c>
      <c r="D2369" s="1">
        <f>IFERROR(VLOOKUP(120,'PEDIDO 30'!$C$2:$E$230,3,0),0)</f>
        <v>0</v>
      </c>
      <c r="E2369" s="1">
        <f>IFERROR(VLOOKUP(62,'PEDIDO 30'!$C$2:$E$230,3,0),0)</f>
        <v>0</v>
      </c>
      <c r="F2369" s="1">
        <f>IFERROR(VLOOKUP(301,'PEDIDO 30'!$C$2:$E$230,3,0),0)</f>
        <v>0</v>
      </c>
      <c r="G2369" s="18">
        <f t="shared" si="64"/>
        <v>0</v>
      </c>
    </row>
    <row r="2370" spans="1:7" ht="15.75" x14ac:dyDescent="0.25">
      <c r="A2370" s="15">
        <f>'PEDIDO 30'!$B$2</f>
        <v>0</v>
      </c>
      <c r="B2370" s="12" t="s">
        <v>426</v>
      </c>
      <c r="C2370" s="1">
        <f>IFERROR(VLOOKUP(112,'PEDIDO 30'!$C$2:$E$230,3,0),0)</f>
        <v>0</v>
      </c>
      <c r="D2370" s="1">
        <f>IFERROR(VLOOKUP(113,'PEDIDO 30'!$C$2:$E$230,3,0),0)</f>
        <v>0</v>
      </c>
      <c r="E2370" s="1">
        <f>IFERROR(VLOOKUP(114,'PEDIDO 30'!$C$2:$E$230,3,0),0)</f>
        <v>0</v>
      </c>
      <c r="F2370" s="1">
        <f>IFERROR(VLOOKUP(296,'PEDIDO 30'!$C$2:$E$230,3,0),0)</f>
        <v>0</v>
      </c>
      <c r="G2370" s="18">
        <f t="shared" si="64"/>
        <v>0</v>
      </c>
    </row>
    <row r="2371" spans="1:7" ht="15.75" x14ac:dyDescent="0.25">
      <c r="A2371" s="15">
        <f>'PEDIDO 30'!$B$2</f>
        <v>0</v>
      </c>
      <c r="B2371" s="12" t="s">
        <v>427</v>
      </c>
      <c r="C2371" s="1">
        <f>IFERROR(VLOOKUP(116,'PEDIDO 30'!$C$2:$E$230,3,0),0)</f>
        <v>0</v>
      </c>
      <c r="D2371" s="1">
        <f>IFERROR(VLOOKUP(117,'PEDIDO 30'!$C$2:$E$230,3,0),0)</f>
        <v>0</v>
      </c>
      <c r="E2371" s="1">
        <f>IFERROR(VLOOKUP(118,'PEDIDO 30'!$C$2:$E$230,3,0),0)</f>
        <v>0</v>
      </c>
      <c r="F2371" s="1">
        <f>IFERROR(VLOOKUP(293,'PEDIDO 30'!$C$2:$E$230,3,0),0)</f>
        <v>0</v>
      </c>
      <c r="G2371" s="18">
        <f t="shared" si="64"/>
        <v>0</v>
      </c>
    </row>
    <row r="2372" spans="1:7" ht="15.75" x14ac:dyDescent="0.25">
      <c r="A2372" s="15">
        <f>'PEDIDO 30'!$B$2</f>
        <v>0</v>
      </c>
      <c r="B2372" s="12" t="s">
        <v>418</v>
      </c>
      <c r="C2372" s="1">
        <f>IFERROR(VLOOKUP(963,'PEDIDO 30'!$C$2:$E$230,3,0),0)</f>
        <v>0</v>
      </c>
      <c r="D2372" s="1">
        <f>IFERROR(VLOOKUP(965,'PEDIDO 30'!$C$2:$E$230,3,0),0)</f>
        <v>0</v>
      </c>
      <c r="E2372" s="1">
        <f>IFERROR(VLOOKUP(966,'PEDIDO 30'!$C$2:$E$230,3,0),0)</f>
        <v>0</v>
      </c>
      <c r="F2372" s="1">
        <f>IFERROR(VLOOKUP(964,'PEDIDO 30'!$C$2:$E$230,3,0),0)</f>
        <v>0</v>
      </c>
      <c r="G2372" s="18">
        <f t="shared" si="64"/>
        <v>0</v>
      </c>
    </row>
    <row r="2373" spans="1:7" ht="15.75" x14ac:dyDescent="0.25">
      <c r="A2373" s="15">
        <f>'PEDIDO 30'!$B$2</f>
        <v>0</v>
      </c>
      <c r="B2373" s="12" t="s">
        <v>419</v>
      </c>
      <c r="C2373" s="1">
        <f>IFERROR(VLOOKUP(2042,'PEDIDO 30'!$C$2:$E$230,3,0),0)</f>
        <v>0</v>
      </c>
      <c r="D2373" s="1">
        <f>IFERROR(VLOOKUP(2041,'PEDIDO 30'!$C$2:$E$230,3,0),0)</f>
        <v>0</v>
      </c>
      <c r="E2373" s="1">
        <f>IFERROR(VLOOKUP(2043,'PEDIDO 30'!$C$2:$E$230,3,0),0)</f>
        <v>0</v>
      </c>
      <c r="F2373" s="1">
        <f>IFERROR(VLOOKUP(2040,'PEDIDO 30'!$C$2:$E$230,3,0),0)</f>
        <v>0</v>
      </c>
      <c r="G2373" s="18">
        <f t="shared" si="64"/>
        <v>0</v>
      </c>
    </row>
    <row r="2374" spans="1:7" ht="15.75" x14ac:dyDescent="0.25">
      <c r="A2374" s="15">
        <f>'PEDIDO 30'!$B$2</f>
        <v>0</v>
      </c>
      <c r="B2374" s="12" t="s">
        <v>420</v>
      </c>
      <c r="C2374" s="1">
        <f>IFERROR(VLOOKUP(2045,'PEDIDO 30'!$C$2:$E$230,3,0),0)</f>
        <v>0</v>
      </c>
      <c r="D2374" s="1">
        <f>IFERROR(VLOOKUP(2046,'PEDIDO 30'!$C$2:$E$230,3,0),0)</f>
        <v>0</v>
      </c>
      <c r="E2374" s="1">
        <f>IFERROR(VLOOKUP(2047,'PEDIDO 30'!$C$2:$E$230,3,0),0)</f>
        <v>0</v>
      </c>
      <c r="F2374" s="1">
        <f>IFERROR(VLOOKUP(2048,'PEDIDO 30'!$C$2:$E$230,3,0),0)</f>
        <v>0</v>
      </c>
      <c r="G2374" s="18">
        <f t="shared" si="64"/>
        <v>0</v>
      </c>
    </row>
    <row r="2375" spans="1:7" ht="15.75" x14ac:dyDescent="0.25">
      <c r="A2375" s="15">
        <f>'PEDIDO 30'!$B$2</f>
        <v>0</v>
      </c>
      <c r="B2375" s="12" t="s">
        <v>421</v>
      </c>
      <c r="C2375" s="1">
        <f>IFERROR(VLOOKUP(2050,'PEDIDO 30'!$C$2:$E$230,3,0),0)</f>
        <v>0</v>
      </c>
      <c r="D2375" s="1">
        <f>IFERROR(VLOOKUP(2051,'PEDIDO 30'!$C$2:$E$230,3,0),0)</f>
        <v>0</v>
      </c>
      <c r="E2375" s="1">
        <f>IFERROR(VLOOKUP(2052,'PEDIDO 30'!$C$2:$E$230,3,0),0)</f>
        <v>0</v>
      </c>
      <c r="F2375" s="1">
        <f>IFERROR(VLOOKUP(2053,'PEDIDO 30'!$C$2:$E$230,3,0),0)</f>
        <v>0</v>
      </c>
      <c r="G2375" s="18">
        <f t="shared" si="64"/>
        <v>0</v>
      </c>
    </row>
    <row r="2376" spans="1:7" ht="15.75" x14ac:dyDescent="0.25">
      <c r="A2376" s="15">
        <f>'PEDIDO 30'!$B$2</f>
        <v>0</v>
      </c>
      <c r="B2376" s="12" t="s">
        <v>422</v>
      </c>
      <c r="C2376" s="1">
        <f>IFERROR(VLOOKUP(216,'PEDIDO 30'!$C$2:$E$230,3,0),0)</f>
        <v>0</v>
      </c>
      <c r="D2376" s="1">
        <f>IFERROR(VLOOKUP(217,'PEDIDO 30'!$C$2:$E$230,3,0),0)</f>
        <v>0</v>
      </c>
      <c r="E2376" s="1">
        <f>IFERROR(VLOOKUP(218,'PEDIDO 30'!$C$2:$E$230,3,0),0)</f>
        <v>0</v>
      </c>
      <c r="F2376" s="1">
        <f>IFERROR(VLOOKUP(305,'PEDIDO 30'!$C$2:$E$230,3,0),0)</f>
        <v>0</v>
      </c>
      <c r="G2376" s="18">
        <f t="shared" si="64"/>
        <v>0</v>
      </c>
    </row>
    <row r="2377" spans="1:7" ht="15.75" x14ac:dyDescent="0.25">
      <c r="A2377" s="15">
        <f>'PEDIDO 30'!$B$2</f>
        <v>0</v>
      </c>
      <c r="B2377" s="12" t="s">
        <v>423</v>
      </c>
      <c r="C2377" s="1">
        <f>IFERROR(VLOOKUP(100,'PEDIDO 30'!$C$2:$E$230,3,0),0)</f>
        <v>0</v>
      </c>
      <c r="D2377" s="1">
        <f>IFERROR(VLOOKUP(101,'PEDIDO 30'!$C$2:$E$230,3,0),0)</f>
        <v>0</v>
      </c>
      <c r="E2377" s="1">
        <f>IFERROR(VLOOKUP(102,'PEDIDO 30'!$C$2:$E$230,3,0),0)</f>
        <v>0</v>
      </c>
      <c r="F2377" s="1">
        <f>IFERROR(VLOOKUP(306,'PEDIDO 30'!$C$2:$E$230,3,0),0)</f>
        <v>0</v>
      </c>
      <c r="G2377" s="18">
        <f t="shared" si="64"/>
        <v>0</v>
      </c>
    </row>
    <row r="2378" spans="1:7" ht="15.75" x14ac:dyDescent="0.25">
      <c r="A2378" s="15">
        <f>'PEDIDO 30'!$B$2</f>
        <v>0</v>
      </c>
      <c r="B2378" s="12" t="s">
        <v>424</v>
      </c>
      <c r="C2378" s="1">
        <f>IFERROR(VLOOKUP(104,'PEDIDO 30'!$C$2:$E$230,3,0),0)</f>
        <v>0</v>
      </c>
      <c r="D2378" s="1">
        <f>IFERROR(VLOOKUP(105,'PEDIDO 30'!$C$2:$E$230,3,0),0)</f>
        <v>0</v>
      </c>
      <c r="E2378" s="1">
        <f>IFERROR(VLOOKUP(106,'PEDIDO 30'!$C$2:$E$230,3,0),0)</f>
        <v>0</v>
      </c>
      <c r="F2378" s="1">
        <f>IFERROR(VLOOKUP(307,'PEDIDO 30'!$C$2:$E$230,3,0),0)</f>
        <v>0</v>
      </c>
      <c r="G2378" s="18">
        <f t="shared" si="64"/>
        <v>0</v>
      </c>
    </row>
    <row r="2379" spans="1:7" ht="15.75" x14ac:dyDescent="0.25">
      <c r="A2379" s="15">
        <f>'PEDIDO 30'!$B$2</f>
        <v>0</v>
      </c>
      <c r="B2379" s="12" t="s">
        <v>425</v>
      </c>
      <c r="C2379" s="1">
        <f>IFERROR(VLOOKUP(400,'PEDIDO 30'!$C$2:$E$230,3,0),0)</f>
        <v>0</v>
      </c>
      <c r="D2379" s="1">
        <f>IFERROR(VLOOKUP(401,'PEDIDO 30'!$C$2:$E$230,3,0),0)</f>
        <v>0</v>
      </c>
      <c r="E2379" s="1">
        <f>IFERROR(VLOOKUP(402,'PEDIDO 30'!$C$2:$E$230,3,0),0)</f>
        <v>0</v>
      </c>
      <c r="F2379" s="1">
        <f>IFERROR(VLOOKUP(403,'PEDIDO 30'!$C$2:$E$230,3,0),0)</f>
        <v>0</v>
      </c>
      <c r="G2379" s="18">
        <f t="shared" si="64"/>
        <v>0</v>
      </c>
    </row>
    <row r="2380" spans="1:7" ht="15.75" x14ac:dyDescent="0.25">
      <c r="A2380" s="15">
        <f>'PEDIDO 30'!$B$2</f>
        <v>0</v>
      </c>
      <c r="B2380" s="12" t="s">
        <v>428</v>
      </c>
      <c r="C2380" s="1">
        <f>IFERROR(VLOOKUP(22,'PEDIDO 30'!$C$2:$E$230,3,0),0)</f>
        <v>0</v>
      </c>
      <c r="D2380" s="1"/>
      <c r="E2380" s="1"/>
      <c r="F2380" s="1"/>
      <c r="G2380" s="18">
        <f t="shared" si="64"/>
        <v>0</v>
      </c>
    </row>
    <row r="2381" spans="1:7" ht="15.75" x14ac:dyDescent="0.25">
      <c r="A2381" s="15">
        <f>'PEDIDO 30'!$B$2</f>
        <v>0</v>
      </c>
      <c r="B2381" s="12" t="s">
        <v>429</v>
      </c>
      <c r="C2381" s="1">
        <f>IFERROR(VLOOKUP(21,'PEDIDO 30'!$C$2:$E$230,3,0),0)</f>
        <v>0</v>
      </c>
      <c r="D2381" s="1"/>
      <c r="E2381" s="1"/>
      <c r="F2381" s="1"/>
      <c r="G2381" s="18">
        <f t="shared" si="64"/>
        <v>0</v>
      </c>
    </row>
    <row r="2382" spans="1:7" ht="15.75" x14ac:dyDescent="0.25">
      <c r="A2382" s="15">
        <f>'PEDIDO 30'!$B$2</f>
        <v>0</v>
      </c>
      <c r="B2382" s="12" t="s">
        <v>430</v>
      </c>
      <c r="C2382" s="1">
        <f>IFERROR(VLOOKUP(1125,'PEDIDO 30'!$C$2:$E$230,3,0),0)</f>
        <v>0</v>
      </c>
      <c r="D2382" s="1">
        <f>IFERROR(VLOOKUP(1126,'PEDIDO 30'!$C$2:$E$230,3,0),0)</f>
        <v>0</v>
      </c>
      <c r="E2382" s="1">
        <f>IFERROR(VLOOKUP(1127,'PEDIDO 30'!$C$2:$E$230,3,0),0)</f>
        <v>0</v>
      </c>
      <c r="F2382" s="1">
        <f>IFERROR(VLOOKUP(1128,'PEDIDO 30'!$C$2:$E$230,3,0),0)</f>
        <v>0</v>
      </c>
      <c r="G2382" s="18">
        <f t="shared" si="64"/>
        <v>0</v>
      </c>
    </row>
    <row r="2383" spans="1:7" ht="15.75" x14ac:dyDescent="0.25">
      <c r="A2383" s="15">
        <f>'PEDIDO 30'!$B$2</f>
        <v>0</v>
      </c>
      <c r="B2383" s="12" t="s">
        <v>431</v>
      </c>
      <c r="C2383" s="1">
        <f>IFERROR(VLOOKUP(1133,'PEDIDO 30'!$C$2:$E$230,3,0),0)</f>
        <v>0</v>
      </c>
      <c r="D2383" s="1">
        <f>IFERROR(VLOOKUP(1134,'PEDIDO 30'!$C$2:$E$230,3,0),0)</f>
        <v>0</v>
      </c>
      <c r="E2383" s="1">
        <f>IFERROR(VLOOKUP(1135,'PEDIDO 30'!$C$2:$E$230,3,0),0)</f>
        <v>0</v>
      </c>
      <c r="F2383" s="1">
        <f>IFERROR(VLOOKUP(1136,'PEDIDO 30'!$C$2:$E$230,3,0),0)</f>
        <v>0</v>
      </c>
      <c r="G2383" s="18">
        <f t="shared" si="64"/>
        <v>0</v>
      </c>
    </row>
    <row r="2384" spans="1:7" ht="15.75" x14ac:dyDescent="0.25">
      <c r="A2384" s="15">
        <f>'PEDIDO 30'!$B$2</f>
        <v>0</v>
      </c>
      <c r="B2384" s="12" t="s">
        <v>432</v>
      </c>
      <c r="C2384" s="1">
        <f>IFERROR(VLOOKUP(1105,'PEDIDO 30'!$C$2:$E$230,3,0),0)</f>
        <v>0</v>
      </c>
      <c r="D2384" s="1">
        <f>IFERROR(VLOOKUP(1106,'PEDIDO 30'!$C$2:$E$230,3,0),0)</f>
        <v>0</v>
      </c>
      <c r="E2384" s="1">
        <f>IFERROR(VLOOKUP(1107,'PEDIDO 30'!$C$2:$E$230,3,0),0)</f>
        <v>0</v>
      </c>
      <c r="F2384" s="1">
        <f>IFERROR(VLOOKUP(1108,'PEDIDO 30'!$C$2:$E$230,3,0),0)</f>
        <v>0</v>
      </c>
      <c r="G2384" s="18">
        <f t="shared" si="64"/>
        <v>0</v>
      </c>
    </row>
    <row r="2385" spans="1:7" ht="15.75" x14ac:dyDescent="0.25">
      <c r="A2385" s="15">
        <f>'PEDIDO 30'!$B$2</f>
        <v>0</v>
      </c>
      <c r="B2385" s="12" t="s">
        <v>433</v>
      </c>
      <c r="C2385" s="1">
        <f>IFERROR(VLOOKUP(1109,'PEDIDO 30'!$C$2:$E$230,3,0),0)</f>
        <v>0</v>
      </c>
      <c r="D2385" s="1">
        <f>IFERROR(VLOOKUP(1110,'PEDIDO 30'!$C$2:$E$230,3,0),0)</f>
        <v>0</v>
      </c>
      <c r="E2385" s="1">
        <f>IFERROR(VLOOKUP(1111,'PEDIDO 30'!$C$2:$E$230,3,0),0)</f>
        <v>0</v>
      </c>
      <c r="F2385" s="1">
        <f>IFERROR(VLOOKUP(1112,'PEDIDO 30'!$C$2:$E$230,3,0),0)</f>
        <v>0</v>
      </c>
      <c r="G2385" s="18">
        <f t="shared" si="64"/>
        <v>0</v>
      </c>
    </row>
    <row r="2386" spans="1:7" ht="15.75" x14ac:dyDescent="0.25">
      <c r="A2386" s="15">
        <f>'PEDIDO 30'!$B$2</f>
        <v>0</v>
      </c>
      <c r="B2386" s="12" t="s">
        <v>434</v>
      </c>
      <c r="C2386" s="1">
        <f>IFERROR(VLOOKUP(1113,'PEDIDO 30'!$C$2:$E$230,3,0),0)</f>
        <v>0</v>
      </c>
      <c r="D2386" s="1">
        <f>IFERROR(VLOOKUP(1114,'PEDIDO 30'!$C$2:$E$230,3,0),0)</f>
        <v>0</v>
      </c>
      <c r="E2386" s="1">
        <f>IFERROR(VLOOKUP(1115,'PEDIDO 30'!$C$2:$E$230,3,0),0)</f>
        <v>0</v>
      </c>
      <c r="F2386" s="1">
        <f>IFERROR(VLOOKUP(1116,'PEDIDO 30'!$C$2:$E$230,3,0),0)</f>
        <v>0</v>
      </c>
      <c r="G2386" s="18">
        <f t="shared" si="64"/>
        <v>0</v>
      </c>
    </row>
    <row r="2387" spans="1:7" ht="15.75" x14ac:dyDescent="0.25">
      <c r="A2387" s="15">
        <f>'PEDIDO 30'!$B$2</f>
        <v>0</v>
      </c>
      <c r="B2387" s="12" t="s">
        <v>435</v>
      </c>
      <c r="C2387" s="1">
        <f>IFERROR(VLOOKUP(1117,'PEDIDO 30'!$C$2:$E$230,3,0),0)</f>
        <v>0</v>
      </c>
      <c r="D2387" s="1">
        <f>IFERROR(VLOOKUP(1118,'PEDIDO 30'!$C$2:$E$230,3,0),0)</f>
        <v>0</v>
      </c>
      <c r="E2387" s="1">
        <f>IFERROR(VLOOKUP(1119,'PEDIDO 30'!$C$2:$E$230,3,0),0)</f>
        <v>0</v>
      </c>
      <c r="F2387" s="1">
        <f>IFERROR(VLOOKUP(1120,'PEDIDO 30'!$C$2:$E$230,3,0),0)</f>
        <v>0</v>
      </c>
      <c r="G2387" s="18">
        <f t="shared" si="64"/>
        <v>0</v>
      </c>
    </row>
    <row r="2388" spans="1:7" ht="15.75" x14ac:dyDescent="0.25">
      <c r="A2388" s="15">
        <f>'PEDIDO 30'!$B$2</f>
        <v>0</v>
      </c>
      <c r="B2388" s="12" t="s">
        <v>436</v>
      </c>
      <c r="C2388" s="1">
        <f>IFERROR(VLOOKUP(1121,'PEDIDO 30'!$C$2:$E$230,3,0),0)</f>
        <v>0</v>
      </c>
      <c r="D2388" s="1">
        <f>IFERROR(VLOOKUP(1122,'PEDIDO 30'!$C$2:$E$230,3,0),0)</f>
        <v>0</v>
      </c>
      <c r="E2388" s="1">
        <f>IFERROR(VLOOKUP(1123,'PEDIDO 30'!$C$2:$E$230,3,0),0)</f>
        <v>0</v>
      </c>
      <c r="F2388" s="1">
        <f>IFERROR(VLOOKUP(1124,'PEDIDO 30'!$C$2:$E$230,3,0),0)</f>
        <v>0</v>
      </c>
      <c r="G2388" s="18">
        <f t="shared" si="64"/>
        <v>0</v>
      </c>
    </row>
    <row r="2389" spans="1:7" ht="15.75" x14ac:dyDescent="0.25">
      <c r="A2389" s="15">
        <f>'PEDIDO 30'!$B$2</f>
        <v>0</v>
      </c>
      <c r="B2389" s="12" t="s">
        <v>437</v>
      </c>
      <c r="C2389" s="1">
        <f>IFERROR(VLOOKUP(1129,'PEDIDO 30'!$C$2:$E$230,3,0),0)</f>
        <v>0</v>
      </c>
      <c r="D2389" s="1">
        <f>IFERROR(VLOOKUP(1130,'PEDIDO 30'!$C$2:$E$230,3,0),0)</f>
        <v>0</v>
      </c>
      <c r="E2389" s="1">
        <f>IFERROR(VLOOKUP(1131,'PEDIDO 30'!$C$2:$E$230,3,0),0)</f>
        <v>0</v>
      </c>
      <c r="F2389" s="1">
        <f>IFERROR(VLOOKUP(1132,'PEDIDO 30'!$C$2:$E$230,3,0),0)</f>
        <v>0</v>
      </c>
      <c r="G2389" s="18">
        <f t="shared" si="64"/>
        <v>0</v>
      </c>
    </row>
    <row r="2390" spans="1:7" ht="15.75" x14ac:dyDescent="0.25">
      <c r="A2390" s="15">
        <f>'PEDIDO 30'!$B$2</f>
        <v>0</v>
      </c>
      <c r="B2390" s="12" t="s">
        <v>438</v>
      </c>
      <c r="C2390" s="1">
        <f>IFERROR(VLOOKUP(1137,'PEDIDO 30'!$C$2:$E$230,3,0),0)</f>
        <v>0</v>
      </c>
      <c r="D2390" s="1">
        <f>IFERROR(VLOOKUP(1138,'PEDIDO 30'!$C$2:$E$230,3,0),0)</f>
        <v>0</v>
      </c>
      <c r="E2390" s="1">
        <f>IFERROR(VLOOKUP(1139,'PEDIDO 30'!$C$2:$E$230,3,0),0)</f>
        <v>0</v>
      </c>
      <c r="F2390" s="1">
        <f>IFERROR(VLOOKUP(1140,'PEDIDO 30'!$C$2:$E$230,3,0),0)</f>
        <v>0</v>
      </c>
      <c r="G2390" s="18">
        <f t="shared" si="64"/>
        <v>0</v>
      </c>
    </row>
    <row r="2391" spans="1:7" ht="15.75" x14ac:dyDescent="0.25">
      <c r="A2391" s="15">
        <f>'PEDIDO 30'!$B$2</f>
        <v>0</v>
      </c>
      <c r="B2391" s="12" t="s">
        <v>439</v>
      </c>
      <c r="C2391" s="1">
        <f>IFERROR(VLOOKUP(1141,'PEDIDO 30'!$C$2:$E$230,3,0),0)</f>
        <v>0</v>
      </c>
      <c r="D2391" s="1">
        <f>IFERROR(VLOOKUP(1142,'PEDIDO 30'!$C$2:$E$230,3,0),0)</f>
        <v>0</v>
      </c>
      <c r="E2391" s="1">
        <f>IFERROR(VLOOKUP(1143,'PEDIDO 30'!$C$2:$E$230,3,0),0)</f>
        <v>0</v>
      </c>
      <c r="F2391" s="1">
        <f>IFERROR(VLOOKUP(1144,'PEDIDO 30'!$C$2:$E$230,3,0),0)</f>
        <v>0</v>
      </c>
      <c r="G2391" s="18">
        <f t="shared" si="64"/>
        <v>0</v>
      </c>
    </row>
    <row r="2392" spans="1:7" ht="15.75" x14ac:dyDescent="0.25">
      <c r="A2392" s="15">
        <f>'PEDIDO 30'!$B$2</f>
        <v>0</v>
      </c>
      <c r="B2392" s="12" t="s">
        <v>440</v>
      </c>
      <c r="C2392" s="1">
        <f>IFERROR(VLOOKUP(1145,'PEDIDO 30'!$C$2:$E$230,3,0),0)</f>
        <v>0</v>
      </c>
      <c r="D2392" s="1">
        <f>IFERROR(VLOOKUP(1146,'PEDIDO 30'!$C$2:$E$230,3,0),0)</f>
        <v>0</v>
      </c>
      <c r="E2392" s="1">
        <f>IFERROR(VLOOKUP(1147,'PEDIDO 30'!$C$2:$E$230,3,0),0)</f>
        <v>0</v>
      </c>
      <c r="F2392" s="1">
        <f>IFERROR(VLOOKUP(1148,'PEDIDO 30'!$C$2:$E$230,3,0),0)</f>
        <v>0</v>
      </c>
      <c r="G2392" s="18">
        <f t="shared" si="64"/>
        <v>0</v>
      </c>
    </row>
    <row r="2393" spans="1:7" ht="15.75" x14ac:dyDescent="0.25">
      <c r="A2393" s="15">
        <f>'PEDIDO 30'!$B$2</f>
        <v>0</v>
      </c>
      <c r="B2393" s="12" t="s">
        <v>441</v>
      </c>
      <c r="C2393" s="1">
        <f>IFERROR(VLOOKUP(1149,'PEDIDO 30'!$C$2:$E$230,3,0),0)</f>
        <v>0</v>
      </c>
      <c r="D2393" s="1">
        <f>IFERROR(VLOOKUP(1150,'PEDIDO 30'!$C$2:$E$230,3,0),0)</f>
        <v>0</v>
      </c>
      <c r="E2393" s="1">
        <f>IFERROR(VLOOKUP(1151,'PEDIDO 30'!$C$2:$E$230,3,0),0)</f>
        <v>0</v>
      </c>
      <c r="F2393" s="1">
        <f>IFERROR(VLOOKUP(1152,'PEDIDO 30'!$C$2:$E$230,3,0),0)</f>
        <v>0</v>
      </c>
      <c r="G2393" s="18">
        <f t="shared" si="64"/>
        <v>0</v>
      </c>
    </row>
    <row r="2394" spans="1:7" ht="15.75" x14ac:dyDescent="0.25">
      <c r="A2394" s="15">
        <f>'PEDIDO 30'!$B$2</f>
        <v>0</v>
      </c>
      <c r="B2394" s="12" t="s">
        <v>442</v>
      </c>
      <c r="C2394" s="1">
        <f>IFERROR(VLOOKUP(1153,'PEDIDO 30'!$C$2:$E$230,3,0),0)</f>
        <v>0</v>
      </c>
      <c r="D2394" s="1">
        <f>IFERROR(VLOOKUP(1154,'PEDIDO 30'!$C$2:$E$230,3,0),0)</f>
        <v>0</v>
      </c>
      <c r="E2394" s="1">
        <f>IFERROR(VLOOKUP(1155,'PEDIDO 30'!$C$2:$E$230,3,0),0)</f>
        <v>0</v>
      </c>
      <c r="F2394" s="1">
        <f>IFERROR(VLOOKUP(1156,'PEDIDO 30'!$C$2:$E$230,3,0),0)</f>
        <v>0</v>
      </c>
      <c r="G2394" s="18">
        <f t="shared" si="64"/>
        <v>0</v>
      </c>
    </row>
    <row r="2395" spans="1:7" ht="15.75" x14ac:dyDescent="0.25">
      <c r="A2395" s="15">
        <f>'PEDIDO 30'!$B$2</f>
        <v>0</v>
      </c>
      <c r="B2395" s="12" t="s">
        <v>443</v>
      </c>
      <c r="C2395" s="1">
        <f>IFERROR(VLOOKUP(1157,'PEDIDO 30'!$C$2:$E$230,3,0),0)</f>
        <v>0</v>
      </c>
      <c r="D2395" s="1">
        <f>IFERROR(VLOOKUP(1158,'PEDIDO 30'!$C$2:$E$230,3,0),0)</f>
        <v>0</v>
      </c>
      <c r="E2395" s="1">
        <f>IFERROR(VLOOKUP(1159,'PEDIDO 30'!$C$2:$E$230,3,0),0)</f>
        <v>0</v>
      </c>
      <c r="F2395" s="1">
        <f>IFERROR(VLOOKUP(1160,'PEDIDO 30'!$C$2:$E$230,3,0),0)</f>
        <v>0</v>
      </c>
      <c r="G2395" s="18">
        <f t="shared" si="64"/>
        <v>0</v>
      </c>
    </row>
    <row r="2396" spans="1:7" ht="15.75" x14ac:dyDescent="0.25">
      <c r="A2396" s="15">
        <f>'PEDIDO 30'!$B$2</f>
        <v>0</v>
      </c>
      <c r="B2396" s="12" t="s">
        <v>444</v>
      </c>
      <c r="C2396" s="1">
        <f>IFERROR(VLOOKUP(1161,'PEDIDO 30'!$C$2:$E$230,3,0),0)</f>
        <v>0</v>
      </c>
      <c r="D2396" s="1">
        <f>IFERROR(VLOOKUP(1162,'PEDIDO 30'!$C$2:$E$230,3,0),0)</f>
        <v>0</v>
      </c>
      <c r="E2396" s="1">
        <f>IFERROR(VLOOKUP(1163,'PEDIDO 30'!$C$2:$E$230,3,0),0)</f>
        <v>0</v>
      </c>
      <c r="F2396" s="1">
        <f>IFERROR(VLOOKUP(1164,'PEDIDO 30'!$C$2:$E$230,3,0),0)</f>
        <v>0</v>
      </c>
      <c r="G2396" s="18">
        <f t="shared" si="64"/>
        <v>0</v>
      </c>
    </row>
    <row r="2397" spans="1:7" ht="15.75" x14ac:dyDescent="0.25">
      <c r="A2397" s="15">
        <f>'PEDIDO 30'!$B$2</f>
        <v>0</v>
      </c>
      <c r="B2397" s="12" t="s">
        <v>445</v>
      </c>
      <c r="C2397" s="1">
        <f>IFERROR(VLOOKUP(1165,'PEDIDO 30'!$C$2:$E$230,3,0),0)</f>
        <v>0</v>
      </c>
      <c r="D2397" s="1">
        <f>IFERROR(VLOOKUP(1166,'PEDIDO 30'!$C$2:$E$230,3,0),0)</f>
        <v>0</v>
      </c>
      <c r="E2397" s="1">
        <f>IFERROR(VLOOKUP(1167,'PEDIDO 30'!$C$2:$E$230,3,0),0)</f>
        <v>0</v>
      </c>
      <c r="F2397" s="1">
        <f>IFERROR(VLOOKUP(1168,'PEDIDO 30'!$C$2:$E$230,3,0),0)</f>
        <v>0</v>
      </c>
      <c r="G2397" s="18">
        <f t="shared" si="64"/>
        <v>0</v>
      </c>
    </row>
    <row r="2398" spans="1:7" ht="15.75" x14ac:dyDescent="0.25">
      <c r="A2398" s="15">
        <f>'PEDIDO 30'!$B$2</f>
        <v>0</v>
      </c>
      <c r="B2398" s="12" t="s">
        <v>446</v>
      </c>
      <c r="C2398" s="1">
        <f>IFERROR(VLOOKUP(1169,'PEDIDO 30'!$C$2:$E$230,3,0),0)</f>
        <v>0</v>
      </c>
      <c r="D2398" s="1">
        <f>IFERROR(VLOOKUP(1170,'PEDIDO 30'!$C$2:$E$230,3,0),0)</f>
        <v>0</v>
      </c>
      <c r="E2398" s="1">
        <f>IFERROR(VLOOKUP(1171,'PEDIDO 30'!$C$2:$E$230,3,0),0)</f>
        <v>0</v>
      </c>
      <c r="F2398" s="1">
        <f>IFERROR(VLOOKUP(1172,'PEDIDO 30'!$C$2:$E$230,3,0),0)</f>
        <v>0</v>
      </c>
      <c r="G2398" s="18">
        <f t="shared" si="64"/>
        <v>0</v>
      </c>
    </row>
    <row r="2399" spans="1:7" ht="15.75" x14ac:dyDescent="0.25">
      <c r="A2399" s="15">
        <f>'PEDIDO 30'!$B$2</f>
        <v>0</v>
      </c>
      <c r="B2399" s="12" t="s">
        <v>447</v>
      </c>
      <c r="C2399" s="1">
        <f>IFERROR(VLOOKUP(1173,'PEDIDO 30'!$C$2:$E$230,3,0),0)</f>
        <v>0</v>
      </c>
      <c r="D2399" s="1">
        <f>IFERROR(VLOOKUP(1174,'PEDIDO 30'!$C$2:$E$230,3,0),0)</f>
        <v>0</v>
      </c>
      <c r="E2399" s="1">
        <f>IFERROR(VLOOKUP(1175,'PEDIDO 30'!$C$2:$E$230,3,0),0)</f>
        <v>0</v>
      </c>
      <c r="F2399" s="1">
        <f>IFERROR(VLOOKUP(1176,'PEDIDO 30'!$C$2:$E$230,3,0),0)</f>
        <v>0</v>
      </c>
      <c r="G2399" s="18">
        <f t="shared" si="64"/>
        <v>0</v>
      </c>
    </row>
    <row r="2400" spans="1:7" ht="15.75" x14ac:dyDescent="0.25">
      <c r="A2400" s="15">
        <f>'PEDIDO 30'!$B$2</f>
        <v>0</v>
      </c>
      <c r="B2400" s="12" t="s">
        <v>448</v>
      </c>
      <c r="C2400" s="1">
        <f>IFERROR(VLOOKUP(1249,'PEDIDO 30'!$C$2:$E$230,3,0),0)</f>
        <v>0</v>
      </c>
      <c r="D2400" s="1">
        <f>IFERROR(VLOOKUP(1250,'PEDIDO 30'!$C$2:$E$230,3,0),0)</f>
        <v>0</v>
      </c>
      <c r="E2400" s="1">
        <f>IFERROR(VLOOKUP(1251,'PEDIDO 30'!$C$2:$E$230,3,0),0)</f>
        <v>0</v>
      </c>
      <c r="F2400" s="1">
        <f>IFERROR(VLOOKUP(1252,'PEDIDO 30'!$C$2:$E$230,3,0),0)</f>
        <v>0</v>
      </c>
      <c r="G2400" s="18">
        <f t="shared" si="64"/>
        <v>0</v>
      </c>
    </row>
    <row r="2401" spans="1:7" ht="15.75" x14ac:dyDescent="0.25">
      <c r="A2401" s="15">
        <f>'PEDIDO 30'!$B$2</f>
        <v>0</v>
      </c>
      <c r="B2401" s="12" t="s">
        <v>449</v>
      </c>
      <c r="C2401" s="1">
        <f>IFERROR(VLOOKUP(1177,'PEDIDO 30'!$C$2:$E$230,3,0),0)</f>
        <v>0</v>
      </c>
      <c r="D2401" s="1">
        <f>IFERROR(VLOOKUP(1178,'PEDIDO 30'!$C$2:$E$230,3,0),0)</f>
        <v>0</v>
      </c>
      <c r="E2401" s="1">
        <f>IFERROR(VLOOKUP(1179,'PEDIDO 30'!$C$2:$E$230,3,0),0)</f>
        <v>0</v>
      </c>
      <c r="F2401" s="1">
        <f>IFERROR(VLOOKUP(1180,'PEDIDO 30'!$C$2:$E$230,3,0),0)</f>
        <v>0</v>
      </c>
      <c r="G2401" s="18">
        <f t="shared" si="64"/>
        <v>0</v>
      </c>
    </row>
    <row r="2402" spans="1:7" ht="15.75" x14ac:dyDescent="0.25">
      <c r="A2402" s="15">
        <f>'PEDIDO 30'!$B$2</f>
        <v>0</v>
      </c>
      <c r="B2402" s="12" t="s">
        <v>450</v>
      </c>
      <c r="C2402" s="1">
        <f>IFERROR(VLOOKUP(1181,'PEDIDO 30'!$C$2:$E$230,3,0),0)</f>
        <v>0</v>
      </c>
      <c r="D2402" s="1">
        <f>IFERROR(VLOOKUP(1182,'PEDIDO 30'!$C$2:$E$230,3,0),0)</f>
        <v>0</v>
      </c>
      <c r="E2402" s="1">
        <f>IFERROR(VLOOKUP(1183,'PEDIDO 30'!$C$2:$E$230,3,0),0)</f>
        <v>0</v>
      </c>
      <c r="F2402" s="1">
        <f>IFERROR(VLOOKUP(1184,'PEDIDO 30'!$C$2:$E$230,3,0),0)</f>
        <v>0</v>
      </c>
      <c r="G2402" s="18">
        <f t="shared" si="64"/>
        <v>0</v>
      </c>
    </row>
    <row r="2403" spans="1:7" ht="15.75" x14ac:dyDescent="0.25">
      <c r="A2403" s="15">
        <f>'PEDIDO 30'!$B$2</f>
        <v>0</v>
      </c>
      <c r="B2403" s="12" t="s">
        <v>451</v>
      </c>
      <c r="C2403" s="1">
        <f>IFERROR(VLOOKUP(1185,'PEDIDO 30'!$C$2:$E$230,3,0),0)</f>
        <v>0</v>
      </c>
      <c r="D2403" s="1">
        <f>IFERROR(VLOOKUP(1186,'PEDIDO 30'!$C$2:$E$230,3,0),0)</f>
        <v>0</v>
      </c>
      <c r="E2403" s="1">
        <f>IFERROR(VLOOKUP(1187,'PEDIDO 30'!$C$2:$E$230,3,0),0)</f>
        <v>0</v>
      </c>
      <c r="F2403" s="1">
        <f>IFERROR(VLOOKUP(1188,'PEDIDO 30'!$C$2:$E$230,3,0),0)</f>
        <v>0</v>
      </c>
      <c r="G2403" s="18">
        <f t="shared" si="64"/>
        <v>0</v>
      </c>
    </row>
    <row r="2404" spans="1:7" ht="15.75" x14ac:dyDescent="0.25">
      <c r="A2404" s="15">
        <f>'PEDIDO 30'!$B$2</f>
        <v>0</v>
      </c>
      <c r="B2404" s="12" t="s">
        <v>452</v>
      </c>
      <c r="C2404" s="1">
        <f>IFERROR(VLOOKUP(1189,'PEDIDO 30'!$C$2:$E$230,3,0),0)</f>
        <v>0</v>
      </c>
      <c r="D2404" s="1">
        <f>IFERROR(VLOOKUP(1190,'PEDIDO 30'!$C$2:$E$230,3,0),0)</f>
        <v>0</v>
      </c>
      <c r="E2404" s="1">
        <f>IFERROR(VLOOKUP(1191,'PEDIDO 30'!$C$2:$E$230,3,0),0)</f>
        <v>0</v>
      </c>
      <c r="F2404" s="1">
        <f>IFERROR(VLOOKUP(1192,'PEDIDO 30'!$C$2:$E$230,3,0),0)</f>
        <v>0</v>
      </c>
      <c r="G2404" s="18">
        <f t="shared" si="64"/>
        <v>0</v>
      </c>
    </row>
    <row r="2405" spans="1:7" ht="15.75" x14ac:dyDescent="0.25">
      <c r="A2405" s="15">
        <f>'PEDIDO 30'!$B$2</f>
        <v>0</v>
      </c>
      <c r="B2405" s="12" t="s">
        <v>453</v>
      </c>
      <c r="C2405" s="1">
        <f>IFERROR(VLOOKUP(1193,'PEDIDO 30'!$C$2:$E$230,3,0),0)</f>
        <v>0</v>
      </c>
      <c r="D2405" s="1">
        <f>IFERROR(VLOOKUP(1194,'PEDIDO 30'!$C$2:$E$230,3,0),0)</f>
        <v>0</v>
      </c>
      <c r="E2405" s="1">
        <f>IFERROR(VLOOKUP(1195,'PEDIDO 30'!$C$2:$E$230,3,0),0)</f>
        <v>0</v>
      </c>
      <c r="F2405" s="1">
        <f>IFERROR(VLOOKUP(1196,'PEDIDO 30'!$C$2:$E$230,3,0),0)</f>
        <v>0</v>
      </c>
      <c r="G2405" s="18">
        <f t="shared" si="64"/>
        <v>0</v>
      </c>
    </row>
    <row r="2406" spans="1:7" ht="15.75" x14ac:dyDescent="0.25">
      <c r="A2406" s="15">
        <f>'PEDIDO 30'!$B$2</f>
        <v>0</v>
      </c>
      <c r="B2406" s="12" t="s">
        <v>454</v>
      </c>
      <c r="C2406" s="1">
        <f>IFERROR(VLOOKUP(1197,'PEDIDO 30'!$C$2:$E$230,3,0),0)</f>
        <v>0</v>
      </c>
      <c r="D2406" s="1">
        <f>IFERROR(VLOOKUP(1198,'PEDIDO 30'!$C$2:$E$230,3,0),0)</f>
        <v>0</v>
      </c>
      <c r="E2406" s="1">
        <f>IFERROR(VLOOKUP(1199,'PEDIDO 30'!$C$2:$E$230,3,0),0)</f>
        <v>0</v>
      </c>
      <c r="F2406" s="1">
        <f>IFERROR(VLOOKUP(1200,'PEDIDO 30'!$C$2:$E$230,3,0),0)</f>
        <v>0</v>
      </c>
      <c r="G2406" s="18">
        <f t="shared" si="64"/>
        <v>0</v>
      </c>
    </row>
    <row r="2407" spans="1:7" ht="15.75" x14ac:dyDescent="0.25">
      <c r="A2407" s="15">
        <f>'PEDIDO 30'!$B$2</f>
        <v>0</v>
      </c>
      <c r="B2407" s="12" t="s">
        <v>455</v>
      </c>
      <c r="C2407" s="1">
        <f>IFERROR(VLOOKUP(1201,'PEDIDO 30'!$C$2:$E$230,3,0),0)</f>
        <v>0</v>
      </c>
      <c r="D2407" s="1">
        <f>IFERROR(VLOOKUP(1202,'PEDIDO 30'!$C$2:$E$230,3,0),0)</f>
        <v>0</v>
      </c>
      <c r="E2407" s="1">
        <f>IFERROR(VLOOKUP(1203,'PEDIDO 30'!$C$2:$E$230,3,0),0)</f>
        <v>0</v>
      </c>
      <c r="F2407" s="1">
        <f>IFERROR(VLOOKUP(1204,'PEDIDO 30'!$C$2:$E$230,3,0),0)</f>
        <v>0</v>
      </c>
      <c r="G2407" s="18">
        <f t="shared" si="64"/>
        <v>0</v>
      </c>
    </row>
    <row r="2408" spans="1:7" ht="15.75" x14ac:dyDescent="0.25">
      <c r="A2408" s="15">
        <f>'PEDIDO 30'!$B$2</f>
        <v>0</v>
      </c>
      <c r="B2408" s="12" t="s">
        <v>456</v>
      </c>
      <c r="C2408" s="1">
        <f>IFERROR(VLOOKUP(1205,'PEDIDO 30'!$C$2:$E$230,3,0),0)</f>
        <v>0</v>
      </c>
      <c r="D2408" s="1">
        <f>IFERROR(VLOOKUP(1206,'PEDIDO 30'!$C$2:$E$230,3,0),0)</f>
        <v>0</v>
      </c>
      <c r="E2408" s="1">
        <f>IFERROR(VLOOKUP(1207,'PEDIDO 30'!$C$2:$E$230,3,0),0)</f>
        <v>0</v>
      </c>
      <c r="F2408" s="1">
        <f>IFERROR(VLOOKUP(1208,'PEDIDO 30'!$C$2:$E$230,3,0),0)</f>
        <v>0</v>
      </c>
      <c r="G2408" s="18">
        <f t="shared" si="64"/>
        <v>0</v>
      </c>
    </row>
    <row r="2409" spans="1:7" ht="15.75" x14ac:dyDescent="0.25">
      <c r="A2409" s="15">
        <f>'PEDIDO 30'!$B$2</f>
        <v>0</v>
      </c>
      <c r="B2409" s="12" t="s">
        <v>457</v>
      </c>
      <c r="C2409" s="1">
        <f>IFERROR(VLOOKUP(1213,'PEDIDO 30'!$C$2:$E$230,3,0),0)</f>
        <v>0</v>
      </c>
      <c r="D2409" s="1">
        <f>IFERROR(VLOOKUP(1214,'PEDIDO 30'!$C$2:$E$230,3,0),0)</f>
        <v>0</v>
      </c>
      <c r="E2409" s="1">
        <f>IFERROR(VLOOKUP(1215,'PEDIDO 30'!$C$2:$E$230,3,0),0)</f>
        <v>0</v>
      </c>
      <c r="F2409" s="10">
        <f>IFERROR(VLOOKUP(1216,'PEDIDO 30'!$C$2:$E$230,3,0),0)</f>
        <v>0</v>
      </c>
      <c r="G2409" s="18">
        <f t="shared" si="64"/>
        <v>0</v>
      </c>
    </row>
    <row r="2410" spans="1:7" ht="15.75" x14ac:dyDescent="0.25">
      <c r="A2410" s="15">
        <f>'PEDIDO 30'!$B$2</f>
        <v>0</v>
      </c>
      <c r="B2410" s="12" t="s">
        <v>458</v>
      </c>
      <c r="C2410" s="1">
        <f>IFERROR(VLOOKUP(1209,'PEDIDO 30'!$C$2:$E$230,3,0),0)</f>
        <v>0</v>
      </c>
      <c r="D2410" s="1">
        <f>IFERROR(VLOOKUP(1210,'PEDIDO 30'!$C$2:$E$230,3,0),0)</f>
        <v>0</v>
      </c>
      <c r="E2410" s="1">
        <f>IFERROR(VLOOKUP(1211,'PEDIDO 30'!$C$2:$E$230,3,0),0)</f>
        <v>0</v>
      </c>
      <c r="F2410" s="1">
        <f>IFERROR(VLOOKUP(1212,'PEDIDO 30'!$C$2:$E$230,3,0),0)</f>
        <v>0</v>
      </c>
      <c r="G2410" s="18">
        <f t="shared" si="64"/>
        <v>0</v>
      </c>
    </row>
    <row r="2411" spans="1:7" ht="15.75" x14ac:dyDescent="0.25">
      <c r="A2411" s="15">
        <f>'PEDIDO 30'!$B$2</f>
        <v>0</v>
      </c>
      <c r="B2411" s="12" t="s">
        <v>459</v>
      </c>
      <c r="C2411" s="1">
        <f>IFERROR(VLOOKUP(1217,'PEDIDO 30'!$C$2:$E$230,3,0),0)</f>
        <v>0</v>
      </c>
      <c r="D2411" s="1">
        <f>IFERROR(VLOOKUP(1218,'PEDIDO 30'!$C$2:$E$230,3,0),0)</f>
        <v>0</v>
      </c>
      <c r="E2411" s="1">
        <f>IFERROR(VLOOKUP(1219,'PEDIDO 30'!$C$2:$E$230,3,0),0)</f>
        <v>0</v>
      </c>
      <c r="F2411" s="1">
        <f>IFERROR(VLOOKUP(1220,'PEDIDO 30'!$C$2:$E$230,3,0),0)</f>
        <v>0</v>
      </c>
      <c r="G2411" s="18">
        <f t="shared" si="64"/>
        <v>0</v>
      </c>
    </row>
    <row r="2412" spans="1:7" ht="15.75" x14ac:dyDescent="0.25">
      <c r="A2412" s="15">
        <f>'PEDIDO 30'!$B$2</f>
        <v>0</v>
      </c>
      <c r="B2412" s="12" t="s">
        <v>461</v>
      </c>
      <c r="C2412" s="1">
        <f>IFERROR(VLOOKUP(1225,'PEDIDO 30'!$C$2:$E$230,3,0),0)</f>
        <v>0</v>
      </c>
      <c r="D2412" s="1">
        <f>IFERROR(VLOOKUP(1226,'PEDIDO 30'!$C$2:$E$230,3,0),0)</f>
        <v>0</v>
      </c>
      <c r="E2412" s="1">
        <f>IFERROR(VLOOKUP(1227,'PEDIDO 30'!$C$2:$E$230,3,0),0)</f>
        <v>0</v>
      </c>
      <c r="F2412" s="1">
        <f>IFERROR(VLOOKUP(1228,'PEDIDO 30'!$C$2:$E$230,3,0),0)</f>
        <v>0</v>
      </c>
      <c r="G2412" s="18">
        <f t="shared" si="64"/>
        <v>0</v>
      </c>
    </row>
    <row r="2413" spans="1:7" ht="15.75" x14ac:dyDescent="0.25">
      <c r="A2413" s="15">
        <f>'PEDIDO 30'!$B$2</f>
        <v>0</v>
      </c>
      <c r="B2413" s="12" t="s">
        <v>462</v>
      </c>
      <c r="C2413" s="1">
        <f>IFERROR(VLOOKUP(1221,'PEDIDO 30'!$C$2:$E$230,3,0),0)</f>
        <v>0</v>
      </c>
      <c r="D2413" s="1">
        <f>IFERROR(VLOOKUP(1222,'PEDIDO 30'!$C$2:$E$230,3,0),0)</f>
        <v>0</v>
      </c>
      <c r="E2413" s="1">
        <f>IFERROR(VLOOKUP(1223,'PEDIDO 30'!$C$2:$E$230,3,0),0)</f>
        <v>0</v>
      </c>
      <c r="F2413" s="1">
        <f>IFERROR(VLOOKUP(1224,'PEDIDO 30'!$C$2:$E$230,3,0),0)</f>
        <v>0</v>
      </c>
      <c r="G2413" s="18">
        <f t="shared" si="64"/>
        <v>0</v>
      </c>
    </row>
    <row r="2414" spans="1:7" ht="15.75" x14ac:dyDescent="0.25">
      <c r="A2414" s="15">
        <f>'PEDIDO 30'!$B$2</f>
        <v>0</v>
      </c>
      <c r="B2414" s="12" t="s">
        <v>460</v>
      </c>
      <c r="C2414" s="1">
        <f>IFERROR(VLOOKUP(1229,'PEDIDO 30'!$C$2:$E$230,3,0),0)</f>
        <v>0</v>
      </c>
      <c r="D2414" s="1">
        <f>IFERROR(VLOOKUP(1230,'PEDIDO 30'!$C$2:$E$230,3,0),0)</f>
        <v>0</v>
      </c>
      <c r="E2414" s="1">
        <f>IFERROR(VLOOKUP(1231,'PEDIDO 30'!$C$2:$E$230,3,0),0)</f>
        <v>0</v>
      </c>
      <c r="F2414" s="1">
        <f>IFERROR(VLOOKUP(1232,'PEDIDO 30'!$C$2:$E$230,3,0),0)</f>
        <v>0</v>
      </c>
      <c r="G2414" s="18">
        <f t="shared" si="64"/>
        <v>0</v>
      </c>
    </row>
    <row r="2415" spans="1:7" ht="15.75" x14ac:dyDescent="0.25">
      <c r="A2415" s="15">
        <f>'PEDIDO 30'!$B$2</f>
        <v>0</v>
      </c>
      <c r="B2415" s="12" t="s">
        <v>463</v>
      </c>
      <c r="C2415" s="1">
        <f>IFERROR(VLOOKUP(1233,'PEDIDO 30'!$C$2:$E$230,3,0),0)</f>
        <v>0</v>
      </c>
      <c r="D2415" s="1">
        <f>IFERROR(VLOOKUP(1234,'PEDIDO 30'!$C$2:$E$230,3,0),0)</f>
        <v>0</v>
      </c>
      <c r="E2415" s="1">
        <f>IFERROR(VLOOKUP(1235,'PEDIDO 30'!$C$2:$E$230,3,0),0)</f>
        <v>0</v>
      </c>
      <c r="F2415" s="1">
        <f>IFERROR(VLOOKUP(1236,'PEDIDO 30'!$C$2:$E$230,3,0),0)</f>
        <v>0</v>
      </c>
      <c r="G2415" s="18">
        <f t="shared" si="64"/>
        <v>0</v>
      </c>
    </row>
    <row r="2416" spans="1:7" ht="15.75" x14ac:dyDescent="0.25">
      <c r="A2416" s="15">
        <f>'PEDIDO 30'!$B$2</f>
        <v>0</v>
      </c>
      <c r="B2416" s="12" t="s">
        <v>464</v>
      </c>
      <c r="C2416" s="1">
        <f>IFERROR(VLOOKUP(1237,'PEDIDO 30'!$C$2:$E$230,3,0),0)</f>
        <v>0</v>
      </c>
      <c r="D2416" s="1">
        <f>IFERROR(VLOOKUP(1238,'PEDIDO 30'!$C$2:$E$230,3,0),0)</f>
        <v>0</v>
      </c>
      <c r="E2416" s="1">
        <f>IFERROR(VLOOKUP(1239,'PEDIDO 30'!$C$2:$E$230,3,0),0)</f>
        <v>0</v>
      </c>
      <c r="F2416" s="1">
        <f>IFERROR(VLOOKUP(1240,'PEDIDO 30'!$C$2:$E$230,3,0),0)</f>
        <v>0</v>
      </c>
      <c r="G2416" s="18">
        <f t="shared" ref="G2416:G2428" si="65">SUM(C2416+D2416+E2416+F2416)</f>
        <v>0</v>
      </c>
    </row>
    <row r="2417" spans="1:7" ht="15.75" x14ac:dyDescent="0.25">
      <c r="A2417" s="15">
        <f>'PEDIDO 30'!$B$2</f>
        <v>0</v>
      </c>
      <c r="B2417" s="12" t="s">
        <v>465</v>
      </c>
      <c r="C2417" s="1">
        <f>IFERROR(VLOOKUP(1241,'PEDIDO 30'!$C$2:$E$230,3,0),0)</f>
        <v>0</v>
      </c>
      <c r="D2417" s="1">
        <f>IFERROR(VLOOKUP(1242,'PEDIDO 30'!$C$2:$E$230,3,0),0)</f>
        <v>0</v>
      </c>
      <c r="E2417" s="1">
        <f>IFERROR(VLOOKUP(1243,'PEDIDO 30'!$C$2:$E$230,3,0),0)</f>
        <v>0</v>
      </c>
      <c r="F2417" s="1">
        <f>IFERROR(VLOOKUP(1244,'PEDIDO 30'!$C$2:$E$230,3,0),0)</f>
        <v>0</v>
      </c>
      <c r="G2417" s="18">
        <f t="shared" si="65"/>
        <v>0</v>
      </c>
    </row>
    <row r="2418" spans="1:7" ht="15.75" x14ac:dyDescent="0.25">
      <c r="A2418" s="15">
        <f>'PEDIDO 30'!$B$2</f>
        <v>0</v>
      </c>
      <c r="B2418" s="12" t="s">
        <v>466</v>
      </c>
      <c r="C2418" s="1">
        <f>IFERROR(VLOOKUP(1245,'PEDIDO 30'!$C$2:$E$230,3,0),0)</f>
        <v>0</v>
      </c>
      <c r="D2418" s="1">
        <f>IFERROR(VLOOKUP(1246,'PEDIDO 30'!$C$2:$E$230,3,0),0)</f>
        <v>0</v>
      </c>
      <c r="E2418" s="1">
        <f>IFERROR(VLOOKUP(1247,'PEDIDO 30'!$C$2:$E$230,3,0),0)</f>
        <v>0</v>
      </c>
      <c r="F2418" s="1">
        <f>IFERROR(VLOOKUP(1248,'PEDIDO 30'!$C$2:$E$230,3,0),0)</f>
        <v>0</v>
      </c>
      <c r="G2418" s="18">
        <f t="shared" si="65"/>
        <v>0</v>
      </c>
    </row>
    <row r="2419" spans="1:7" ht="15.75" x14ac:dyDescent="0.25">
      <c r="A2419" s="15">
        <f>'PEDIDO 30'!$B$2</f>
        <v>0</v>
      </c>
      <c r="B2419" s="12" t="s">
        <v>467</v>
      </c>
      <c r="C2419" s="1">
        <f>IFERROR(VLOOKUP(25714,'PEDIDO 30'!$C$2:$E$230,3,0),0)</f>
        <v>0</v>
      </c>
      <c r="D2419" s="1"/>
      <c r="E2419" s="1"/>
      <c r="F2419" s="1"/>
      <c r="G2419" s="18">
        <f t="shared" si="65"/>
        <v>0</v>
      </c>
    </row>
    <row r="2420" spans="1:7" ht="15.75" x14ac:dyDescent="0.25">
      <c r="A2420" s="15">
        <f>'PEDIDO 30'!$B$2</f>
        <v>0</v>
      </c>
      <c r="B2420" s="12" t="s">
        <v>468</v>
      </c>
      <c r="C2420" s="1">
        <f>IFERROR(VLOOKUP(25712,'PEDIDO 30'!$C$2:$E$230,3,0),0)</f>
        <v>0</v>
      </c>
      <c r="D2420" s="1"/>
      <c r="E2420" s="1"/>
      <c r="F2420" s="1"/>
      <c r="G2420" s="18">
        <f t="shared" si="65"/>
        <v>0</v>
      </c>
    </row>
    <row r="2421" spans="1:7" ht="15.75" x14ac:dyDescent="0.25">
      <c r="A2421" s="15">
        <f>'PEDIDO 30'!$B$2</f>
        <v>0</v>
      </c>
      <c r="B2421" s="12" t="s">
        <v>469</v>
      </c>
      <c r="C2421" s="1">
        <f>IFERROR(VLOOKUP(25713,'PEDIDO 30'!$C$2:$E$230,3,0),0)</f>
        <v>0</v>
      </c>
      <c r="D2421" s="1"/>
      <c r="E2421" s="1"/>
      <c r="F2421" s="1"/>
      <c r="G2421" s="18">
        <f t="shared" si="65"/>
        <v>0</v>
      </c>
    </row>
    <row r="2422" spans="1:7" ht="15.75" x14ac:dyDescent="0.25">
      <c r="A2422" s="15">
        <f>'PEDIDO 30'!$B$2</f>
        <v>0</v>
      </c>
      <c r="B2422" s="12" t="s">
        <v>470</v>
      </c>
      <c r="C2422" s="1">
        <f>IFERROR(VLOOKUP(1260,'PEDIDO 30'!$C$2:$E$230,3,0),0)</f>
        <v>0</v>
      </c>
      <c r="D2422" s="1"/>
      <c r="E2422" s="1"/>
      <c r="F2422" s="1"/>
      <c r="G2422" s="18">
        <f t="shared" si="65"/>
        <v>0</v>
      </c>
    </row>
    <row r="2423" spans="1:7" ht="15.75" x14ac:dyDescent="0.25">
      <c r="A2423" s="15">
        <f>'PEDIDO 30'!$B$2</f>
        <v>0</v>
      </c>
      <c r="B2423" s="12" t="s">
        <v>471</v>
      </c>
      <c r="C2423" s="1">
        <f>IFERROR(VLOOKUP(1261,'PEDIDO 30'!$C$2:$E$230,3,0),0)</f>
        <v>0</v>
      </c>
      <c r="D2423" s="1"/>
      <c r="E2423" s="1"/>
      <c r="F2423" s="1"/>
      <c r="G2423" s="18">
        <f t="shared" si="65"/>
        <v>0</v>
      </c>
    </row>
    <row r="2424" spans="1:7" ht="15.75" x14ac:dyDescent="0.25">
      <c r="A2424" s="15">
        <f>'PEDIDO 30'!$B$2</f>
        <v>0</v>
      </c>
      <c r="B2424" s="12" t="s">
        <v>472</v>
      </c>
      <c r="C2424" s="1">
        <f>IFERROR(VLOOKUP(1262,'PEDIDO 30'!$C$2:$E$230,3,0),0)</f>
        <v>0</v>
      </c>
      <c r="D2424" s="1"/>
      <c r="E2424" s="1"/>
      <c r="F2424" s="1"/>
      <c r="G2424" s="18">
        <f t="shared" si="65"/>
        <v>0</v>
      </c>
    </row>
    <row r="2425" spans="1:7" ht="15.75" x14ac:dyDescent="0.25">
      <c r="A2425" s="15">
        <f>'PEDIDO 30'!$B$2</f>
        <v>0</v>
      </c>
      <c r="B2425" s="12" t="s">
        <v>473</v>
      </c>
      <c r="C2425" s="1">
        <f>IFERROR(VLOOKUP(1263,'PEDIDO 30'!$C$2:$E$230,3,0),0)</f>
        <v>0</v>
      </c>
      <c r="D2425" s="1"/>
      <c r="E2425" s="1"/>
      <c r="F2425" s="1"/>
      <c r="G2425" s="18">
        <f t="shared" si="65"/>
        <v>0</v>
      </c>
    </row>
    <row r="2426" spans="1:7" ht="15.75" x14ac:dyDescent="0.25">
      <c r="A2426" s="15">
        <f>'PEDIDO 30'!$B$2</f>
        <v>0</v>
      </c>
      <c r="B2426" s="12" t="s">
        <v>474</v>
      </c>
      <c r="C2426" s="1">
        <f>IFERROR(VLOOKUP(1264,'PEDIDO 30'!$C$2:$E$230,3,0),0)</f>
        <v>0</v>
      </c>
      <c r="D2426" s="1"/>
      <c r="E2426" s="1"/>
      <c r="F2426" s="1"/>
      <c r="G2426" s="18">
        <f t="shared" si="65"/>
        <v>0</v>
      </c>
    </row>
    <row r="2427" spans="1:7" ht="15.75" x14ac:dyDescent="0.25">
      <c r="A2427" s="15">
        <f>'PEDIDO 30'!$B$2</f>
        <v>0</v>
      </c>
      <c r="B2427" s="12" t="s">
        <v>475</v>
      </c>
      <c r="C2427" s="1">
        <f>IFERROR(VLOOKUP(1265,'PEDIDO 30'!$C$2:$E$230,3,0),0)</f>
        <v>0</v>
      </c>
      <c r="D2427" s="1"/>
      <c r="E2427" s="1"/>
      <c r="F2427" s="1"/>
      <c r="G2427" s="18">
        <f t="shared" si="65"/>
        <v>0</v>
      </c>
    </row>
    <row r="2428" spans="1:7" ht="15.75" x14ac:dyDescent="0.25">
      <c r="A2428" s="15">
        <f>'PEDIDO 30'!$B$2</f>
        <v>0</v>
      </c>
      <c r="B2428" s="12" t="s">
        <v>476</v>
      </c>
      <c r="C2428" s="1">
        <f>IFERROR(VLOOKUP(1266,'PEDIDO 30'!$C$2:$E$230,3,0),0)</f>
        <v>0</v>
      </c>
      <c r="D2428" s="1"/>
      <c r="E2428" s="1"/>
      <c r="F2428" s="1"/>
      <c r="G2428" s="18">
        <f t="shared" si="65"/>
        <v>0</v>
      </c>
    </row>
    <row r="2429" spans="1:7" ht="15.75" x14ac:dyDescent="0.25">
      <c r="A2429" s="15">
        <f>'PEDIDO 30'!$B$2</f>
        <v>0</v>
      </c>
      <c r="B2429" s="12" t="s">
        <v>477</v>
      </c>
      <c r="C2429" s="1">
        <f>IFERROR(VLOOKUP(1268,'PEDIDO 30'!$C$2:$E$230,3,0),0)</f>
        <v>0</v>
      </c>
      <c r="D2429" s="1">
        <f>IFERROR(VLOOKUP(1269,'PEDIDO 30'!$C$2:$E$230,3,0),0)</f>
        <v>0</v>
      </c>
      <c r="E2429" s="1">
        <f>IFERROR(VLOOKUP(1270,'PEDIDO 30'!$C$2:$E$230,3,0),0)</f>
        <v>0</v>
      </c>
      <c r="F2429" s="1">
        <f>IFERROR(VLOOKUP(1271,'PEDIDO 30'!$C$2:$E$230,3,0),0)</f>
        <v>0</v>
      </c>
      <c r="G2429" s="18">
        <f t="shared" ref="G2429" si="66">SUM(C2429+D2429+E2429+F2429)</f>
        <v>0</v>
      </c>
    </row>
    <row r="2432" spans="1:7" ht="15.75" x14ac:dyDescent="0.25">
      <c r="A2432" s="15">
        <f>'PEDIDO 31'!$B$2</f>
        <v>0</v>
      </c>
      <c r="B2432" s="12" t="s">
        <v>399</v>
      </c>
      <c r="C2432" s="1">
        <f>IFERROR(VLOOKUP(1,'PEDIDO 31'!$C$2:$E$230,3,0),0)</f>
        <v>0</v>
      </c>
      <c r="D2432" s="1">
        <f>IFERROR(VLOOKUP(2,'PEDIDO 31'!$C$2:$E$230,3,0),0)</f>
        <v>0</v>
      </c>
      <c r="E2432" s="1">
        <f>IFERROR(VLOOKUP(3,'PEDIDO 31'!$C$2:$E$230,3,0),0)</f>
        <v>0</v>
      </c>
      <c r="F2432" s="1">
        <f>IFERROR(VLOOKUP(282,'PEDIDO 31'!$C$2:$E$230,3,0),0)</f>
        <v>0</v>
      </c>
      <c r="G2432" s="18">
        <f>SUM(C2432+D2432+E2432+F2432)</f>
        <v>0</v>
      </c>
    </row>
    <row r="2433" spans="1:7" ht="15.75" x14ac:dyDescent="0.25">
      <c r="A2433" s="15">
        <f>'PEDIDO 31'!$B$2</f>
        <v>0</v>
      </c>
      <c r="B2433" s="12" t="s">
        <v>400</v>
      </c>
      <c r="C2433" s="1">
        <f>IFERROR(VLOOKUP(5,'PEDIDO 31'!$C$2:$E$230,3,0),0)</f>
        <v>0</v>
      </c>
      <c r="D2433" s="1">
        <f>IFERROR(VLOOKUP(6,'PEDIDO 31'!$C$2:$E$230,3,0),0)</f>
        <v>0</v>
      </c>
      <c r="E2433" s="1">
        <f>IFERROR(VLOOKUP(7,'PEDIDO 31'!$C$2:$E$230,3,0),0)</f>
        <v>0</v>
      </c>
      <c r="F2433" s="1">
        <f>IFERROR(VLOOKUP(258,'PEDIDO 31'!$C$2:$E$230,3,0),0)</f>
        <v>0</v>
      </c>
      <c r="G2433" s="18">
        <f t="shared" ref="G2433:G2496" si="67">SUM(C2433+D2433+E2433+F2433)</f>
        <v>0</v>
      </c>
    </row>
    <row r="2434" spans="1:7" ht="15.75" x14ac:dyDescent="0.25">
      <c r="A2434" s="15">
        <f>'PEDIDO 31'!$B$2</f>
        <v>0</v>
      </c>
      <c r="B2434" s="12" t="s">
        <v>401</v>
      </c>
      <c r="C2434" s="1">
        <f>IFERROR(VLOOKUP(13,'PEDIDO 31'!$C$2:$E$230,3,0),0)</f>
        <v>0</v>
      </c>
      <c r="D2434" s="1">
        <f>IFERROR(VLOOKUP(14,'PEDIDO 31'!$C$2:$E$230,3,0),0)</f>
        <v>0</v>
      </c>
      <c r="E2434" s="1">
        <f>IFERROR(VLOOKUP(15,'PEDIDO 31'!$C$2:$E$230,3,0),0)</f>
        <v>0</v>
      </c>
      <c r="F2434" s="1">
        <f>IFERROR(VLOOKUP(289,'PEDIDO 31'!$C$2:$E$230,3,0),0)</f>
        <v>0</v>
      </c>
      <c r="G2434" s="18">
        <f t="shared" si="67"/>
        <v>0</v>
      </c>
    </row>
    <row r="2435" spans="1:7" ht="15.75" x14ac:dyDescent="0.25">
      <c r="A2435" s="15">
        <f>'PEDIDO 31'!$B$2</f>
        <v>0</v>
      </c>
      <c r="B2435" s="12" t="s">
        <v>402</v>
      </c>
      <c r="C2435" s="1">
        <f>IFERROR(VLOOKUP(267,'PEDIDO 31'!$C$2:$E$230,3,0),0)</f>
        <v>0</v>
      </c>
      <c r="D2435" s="1">
        <f>IFERROR(VLOOKUP(268,'PEDIDO 31'!$C$2:$E$230,3,0),0)</f>
        <v>0</v>
      </c>
      <c r="E2435" s="1">
        <f>IFERROR(VLOOKUP(270,'PEDIDO 31'!$C$2:$E$230,3,0),0)</f>
        <v>0</v>
      </c>
      <c r="F2435" s="1">
        <f>IFERROR(VLOOKUP(269,'PEDIDO 31'!$C$2:$E$230,3,0),0)</f>
        <v>0</v>
      </c>
      <c r="G2435" s="18">
        <f t="shared" si="67"/>
        <v>0</v>
      </c>
    </row>
    <row r="2436" spans="1:7" ht="15.75" x14ac:dyDescent="0.25">
      <c r="A2436" s="15">
        <f>'PEDIDO 31'!$B$2</f>
        <v>0</v>
      </c>
      <c r="B2436" s="12" t="s">
        <v>403</v>
      </c>
      <c r="C2436" s="1">
        <f>IFERROR(VLOOKUP(17,'PEDIDO 31'!$C$2:$E$230,3,0),0)</f>
        <v>0</v>
      </c>
      <c r="D2436" s="1">
        <f>IFERROR(VLOOKUP(18,'PEDIDO 31'!$C$2:$E$230,3,0),0)</f>
        <v>0</v>
      </c>
      <c r="E2436" s="1">
        <f>IFERROR(VLOOKUP(19,'PEDIDO 31'!$C$2:$E$230,3,0),0)</f>
        <v>0</v>
      </c>
      <c r="F2436" s="1">
        <f>IFERROR(VLOOKUP(290,'PEDIDO 31'!$C$2:$E$230,3,0),0)</f>
        <v>0</v>
      </c>
      <c r="G2436" s="18">
        <f t="shared" si="67"/>
        <v>0</v>
      </c>
    </row>
    <row r="2437" spans="1:7" ht="15.75" x14ac:dyDescent="0.25">
      <c r="A2437" s="15">
        <f>'PEDIDO 31'!$B$2</f>
        <v>0</v>
      </c>
      <c r="B2437" s="12" t="s">
        <v>404</v>
      </c>
      <c r="C2437" s="1">
        <f>IFERROR(VLOOKUP(23,'PEDIDO 31'!$C$2:$E$230,3,0),0)</f>
        <v>0</v>
      </c>
      <c r="D2437" s="1">
        <f>IFERROR(VLOOKUP(24,'PEDIDO 31'!$C$2:$E$230,3,0),0)</f>
        <v>0</v>
      </c>
      <c r="E2437" s="1">
        <f>IFERROR(VLOOKUP(25,'PEDIDO 31'!$C$2:$E$230,3,0),0)</f>
        <v>0</v>
      </c>
      <c r="F2437" s="1">
        <f>IFERROR(VLOOKUP(291,'PEDIDO 31'!$C$2:$E$230,3,0),0)</f>
        <v>0</v>
      </c>
      <c r="G2437" s="18">
        <f t="shared" si="67"/>
        <v>0</v>
      </c>
    </row>
    <row r="2438" spans="1:7" ht="15.75" x14ac:dyDescent="0.25">
      <c r="A2438" s="15">
        <f>'PEDIDO 31'!$B$2</f>
        <v>0</v>
      </c>
      <c r="B2438" s="12" t="s">
        <v>405</v>
      </c>
      <c r="C2438" s="1">
        <f>IFERROR(VLOOKUP(27,'PEDIDO 31'!$C$2:$E$230,3,0),0)</f>
        <v>0</v>
      </c>
      <c r="D2438" s="1">
        <f>IFERROR(VLOOKUP(28,'PEDIDO 31'!$C$2:$E$230,3,0),0)</f>
        <v>0</v>
      </c>
      <c r="E2438" s="1">
        <f>IFERROR(VLOOKUP(29,'PEDIDO 31'!$C$2:$E$230,3,0),0)</f>
        <v>0</v>
      </c>
      <c r="F2438" s="1">
        <f>IFERROR(VLOOKUP(292,'PEDIDO 31'!$C$2:$E$230,3,0),0)</f>
        <v>0</v>
      </c>
      <c r="G2438" s="18">
        <f t="shared" si="67"/>
        <v>0</v>
      </c>
    </row>
    <row r="2439" spans="1:7" ht="15.75" x14ac:dyDescent="0.25">
      <c r="A2439" s="15">
        <f>'PEDIDO 31'!$B$2</f>
        <v>0</v>
      </c>
      <c r="B2439" s="12" t="s">
        <v>406</v>
      </c>
      <c r="C2439" s="1">
        <f>IFERROR(VLOOKUP(227,'PEDIDO 31'!$C$2:$E$230,3,0),0)</f>
        <v>0</v>
      </c>
      <c r="D2439" s="1">
        <f>IFERROR(VLOOKUP(228,'PEDIDO 31'!$C$2:$E$230,3,0),0)</f>
        <v>0</v>
      </c>
      <c r="E2439" s="1">
        <f>IFERROR(VLOOKUP(229,'PEDIDO 31'!$C$2:$E$230,3,0),0)</f>
        <v>0</v>
      </c>
      <c r="F2439" s="1">
        <f>IFERROR(VLOOKUP(230,'PEDIDO 31'!$C$2:$E$230,3,0),0)</f>
        <v>0</v>
      </c>
      <c r="G2439" s="18">
        <f t="shared" si="67"/>
        <v>0</v>
      </c>
    </row>
    <row r="2440" spans="1:7" ht="15.75" x14ac:dyDescent="0.25">
      <c r="A2440" s="15">
        <f>'PEDIDO 31'!$B$2</f>
        <v>0</v>
      </c>
      <c r="B2440" s="12" t="s">
        <v>407</v>
      </c>
      <c r="C2440" s="1">
        <f>IFERROR(VLOOKUP(231,'PEDIDO 31'!$C$2:$E$230,3,0),0)</f>
        <v>0</v>
      </c>
      <c r="D2440" s="1">
        <f>IFERROR(VLOOKUP(232,'PEDIDO 31'!$C$2:$E$230,3,0),0)</f>
        <v>0</v>
      </c>
      <c r="E2440" s="1">
        <f>IFERROR(VLOOKUP(234,'PEDIDO 31'!$C$2:$E$230,3,0),0)</f>
        <v>0</v>
      </c>
      <c r="F2440" s="1">
        <f>IFERROR(VLOOKUP(233,'PEDIDO 31'!$C$2:$E$230,3,0),0)</f>
        <v>0</v>
      </c>
      <c r="G2440" s="18">
        <f t="shared" si="67"/>
        <v>0</v>
      </c>
    </row>
    <row r="2441" spans="1:7" ht="15.75" x14ac:dyDescent="0.25">
      <c r="A2441" s="15">
        <f>'PEDIDO 31'!$B$2</f>
        <v>0</v>
      </c>
      <c r="B2441" s="12" t="s">
        <v>408</v>
      </c>
      <c r="C2441" s="1">
        <f>IFERROR(VLOOKUP(237,'PEDIDO 31'!$C$2:$E$230,3,0),0)</f>
        <v>0</v>
      </c>
      <c r="D2441" s="1">
        <f>IFERROR(VLOOKUP(238,'PEDIDO 31'!$C$2:$E$230,3,0),0)</f>
        <v>0</v>
      </c>
      <c r="E2441" s="1">
        <f>IFERROR(VLOOKUP(240,'PEDIDO 31'!$C$2:$E$230,3,0),0)</f>
        <v>0</v>
      </c>
      <c r="F2441" s="1">
        <f>IFERROR(VLOOKUP(239,'PEDIDO 31'!$C$2:$E$230,3,0),0)</f>
        <v>0</v>
      </c>
      <c r="G2441" s="18">
        <f t="shared" si="67"/>
        <v>0</v>
      </c>
    </row>
    <row r="2442" spans="1:7" ht="15.75" x14ac:dyDescent="0.25">
      <c r="A2442" s="15">
        <f>'PEDIDO 31'!$B$2</f>
        <v>0</v>
      </c>
      <c r="B2442" s="12" t="s">
        <v>409</v>
      </c>
      <c r="C2442" s="1">
        <f>IFERROR(VLOOKUP(25707,'PEDIDO 31'!$C$2:$E$230,3,0),0)</f>
        <v>0</v>
      </c>
      <c r="D2442" s="1">
        <f>IFERROR(VLOOKUP(25708,'PEDIDO 31'!$C$2:$E$230,3,0),0)</f>
        <v>0</v>
      </c>
      <c r="E2442" s="1">
        <f>IFERROR(VLOOKUP(25710,'PEDIDO 31'!$C$2:$E$230,3,0),0)</f>
        <v>0</v>
      </c>
      <c r="F2442" s="1">
        <f>IFERROR(VLOOKUP(25709,'PEDIDO 31'!$C$2:$E$230,3,0),0)</f>
        <v>0</v>
      </c>
      <c r="G2442" s="18">
        <f t="shared" si="67"/>
        <v>0</v>
      </c>
    </row>
    <row r="2443" spans="1:7" ht="15.75" x14ac:dyDescent="0.25">
      <c r="A2443" s="15">
        <f>'PEDIDO 31'!$B$2</f>
        <v>0</v>
      </c>
      <c r="B2443" s="12" t="s">
        <v>410</v>
      </c>
      <c r="C2443" s="1">
        <f>IFERROR(VLOOKUP(25711,'PEDIDO 31'!$C$2:$E$230,3,0),0)</f>
        <v>0</v>
      </c>
      <c r="D2443" s="1"/>
      <c r="E2443" s="1"/>
      <c r="F2443" s="1"/>
      <c r="G2443" s="18">
        <f t="shared" si="67"/>
        <v>0</v>
      </c>
    </row>
    <row r="2444" spans="1:7" ht="15.75" x14ac:dyDescent="0.25">
      <c r="A2444" s="15">
        <f>'PEDIDO 31'!$B$2</f>
        <v>0</v>
      </c>
      <c r="B2444" s="12" t="s">
        <v>411</v>
      </c>
      <c r="C2444" s="1">
        <f>IFERROR(VLOOKUP(35,'PEDIDO 31'!$C$2:$E$230,3,0),0)</f>
        <v>0</v>
      </c>
      <c r="D2444" s="1">
        <f>IFERROR(VLOOKUP(36,'PEDIDO 31'!$C$2:$E$230,3,0),0)</f>
        <v>0</v>
      </c>
      <c r="E2444" s="1">
        <f>IFERROR(VLOOKUP(37,'PEDIDO 31'!$C$2:$E$230,3,0),0)</f>
        <v>0</v>
      </c>
      <c r="F2444" s="1">
        <f>IFERROR(VLOOKUP(294,'PEDIDO 31'!$C$2:$E$230,3,0),0)</f>
        <v>0</v>
      </c>
      <c r="G2444" s="18">
        <f t="shared" si="67"/>
        <v>0</v>
      </c>
    </row>
    <row r="2445" spans="1:7" ht="15.75" x14ac:dyDescent="0.25">
      <c r="A2445" s="15">
        <f>'PEDIDO 31'!$B$2</f>
        <v>0</v>
      </c>
      <c r="B2445" s="12" t="s">
        <v>412</v>
      </c>
      <c r="C2445" s="1">
        <f>IFERROR(VLOOKUP(39,'PEDIDO 31'!$C$2:$E$230,3,0),0)</f>
        <v>0</v>
      </c>
      <c r="D2445" s="1">
        <f>IFERROR(VLOOKUP(40,'PEDIDO 31'!$C$2:$E$230,3,0),0)</f>
        <v>0</v>
      </c>
      <c r="E2445" s="1">
        <f>IFERROR(VLOOKUP(42,'PEDIDO 31'!$C$2:$E$230,3,0),0)</f>
        <v>0</v>
      </c>
      <c r="F2445" s="1">
        <f>IFERROR(VLOOKUP(295,'PEDIDO 31'!$C$2:$E$230,3,0),0)</f>
        <v>0</v>
      </c>
      <c r="G2445" s="18">
        <f t="shared" si="67"/>
        <v>0</v>
      </c>
    </row>
    <row r="2446" spans="1:7" ht="15.75" x14ac:dyDescent="0.25">
      <c r="A2446" s="15">
        <f>'PEDIDO 31'!$B$2</f>
        <v>0</v>
      </c>
      <c r="B2446" s="12" t="s">
        <v>413</v>
      </c>
      <c r="C2446" s="1">
        <f>IFERROR(VLOOKUP(44,'PEDIDO 31'!$C$2:$E$230,3,0),0)</f>
        <v>0</v>
      </c>
      <c r="D2446" s="1">
        <f>IFERROR(VLOOKUP(45,'PEDIDO 31'!$C$2:$E$230,3,0),0)</f>
        <v>0</v>
      </c>
      <c r="E2446" s="1">
        <f>IFERROR(VLOOKUP(46,'PEDIDO 31'!$C$2:$E$230,3,0),0)</f>
        <v>0</v>
      </c>
      <c r="F2446" s="1">
        <f>IFERROR(VLOOKUP(283,'PEDIDO 31'!$C$2:$E$230,3,0),0)</f>
        <v>0</v>
      </c>
      <c r="G2446" s="18">
        <f t="shared" si="67"/>
        <v>0</v>
      </c>
    </row>
    <row r="2447" spans="1:7" ht="15.75" x14ac:dyDescent="0.25">
      <c r="A2447" s="15">
        <f>'PEDIDO 31'!$B$2</f>
        <v>0</v>
      </c>
      <c r="B2447" s="12" t="s">
        <v>414</v>
      </c>
      <c r="C2447" s="1">
        <f>IFERROR(VLOOKUP(48,'PEDIDO 31'!$C$2:$E$230,3,0),0)</f>
        <v>0</v>
      </c>
      <c r="D2447" s="1">
        <f>IFERROR(VLOOKUP(49,'PEDIDO 31'!$C$2:$E$230,3,0),0)</f>
        <v>0</v>
      </c>
      <c r="E2447" s="1">
        <f>IFERROR(VLOOKUP(50,'PEDIDO 31'!$C$2:$E$230,3,0),0)</f>
        <v>0</v>
      </c>
      <c r="F2447" s="1">
        <f>IFERROR(VLOOKUP(298,'PEDIDO 31'!$C$2:$E$230,3,0),0)</f>
        <v>0</v>
      </c>
      <c r="G2447" s="18">
        <f t="shared" si="67"/>
        <v>0</v>
      </c>
    </row>
    <row r="2448" spans="1:7" ht="15.75" x14ac:dyDescent="0.25">
      <c r="A2448" s="15">
        <f>'PEDIDO 31'!$B$2</f>
        <v>0</v>
      </c>
      <c r="B2448" s="12" t="s">
        <v>415</v>
      </c>
      <c r="C2448" s="1">
        <f>IFERROR(VLOOKUP(52,'PEDIDO 31'!$C$2:$E$230,3,0),0)</f>
        <v>0</v>
      </c>
      <c r="D2448" s="1">
        <f>IFERROR(VLOOKUP(53,'PEDIDO 31'!$C$2:$E$230,3,0),0)</f>
        <v>0</v>
      </c>
      <c r="E2448" s="1">
        <f>IFERROR(VLOOKUP(54,'PEDIDO 31'!$C$2:$E$230,3,0),0)</f>
        <v>0</v>
      </c>
      <c r="F2448" s="1">
        <f>IFERROR(VLOOKUP(299,'PEDIDO 31'!$C$2:$E$230,3,0),0)</f>
        <v>0</v>
      </c>
      <c r="G2448" s="18">
        <f t="shared" si="67"/>
        <v>0</v>
      </c>
    </row>
    <row r="2449" spans="1:7" ht="15.75" x14ac:dyDescent="0.25">
      <c r="A2449" s="15">
        <f>'PEDIDO 31'!$B$2</f>
        <v>0</v>
      </c>
      <c r="B2449" s="12" t="s">
        <v>416</v>
      </c>
      <c r="C2449" s="1">
        <f>IFERROR(VLOOKUP(56,'PEDIDO 31'!$C$2:$E$230,3,0),0)</f>
        <v>0</v>
      </c>
      <c r="D2449" s="1">
        <f>IFERROR(VLOOKUP(61,'PEDIDO 31'!$C$2:$E$230,3,0),0)</f>
        <v>0</v>
      </c>
      <c r="E2449" s="1">
        <f>IFERROR(VLOOKUP(58,'PEDIDO 31'!$C$2:$E$230,3,0),0)</f>
        <v>0</v>
      </c>
      <c r="F2449" s="1">
        <f>IFERROR(VLOOKUP(300,'PEDIDO 31'!$C$2:$E$230,3,0),0)</f>
        <v>0</v>
      </c>
      <c r="G2449" s="18">
        <f t="shared" si="67"/>
        <v>0</v>
      </c>
    </row>
    <row r="2450" spans="1:7" ht="15.75" x14ac:dyDescent="0.25">
      <c r="A2450" s="15">
        <f>'PEDIDO 31'!$B$2</f>
        <v>0</v>
      </c>
      <c r="B2450" s="12" t="s">
        <v>417</v>
      </c>
      <c r="C2450" s="1">
        <f>IFERROR(VLOOKUP(60,'PEDIDO 31'!$C$2:$E$230,3,0),0)</f>
        <v>0</v>
      </c>
      <c r="D2450" s="1">
        <f>IFERROR(VLOOKUP(120,'PEDIDO 31'!$C$2:$E$230,3,0),0)</f>
        <v>0</v>
      </c>
      <c r="E2450" s="1">
        <f>IFERROR(VLOOKUP(62,'PEDIDO 31'!$C$2:$E$230,3,0),0)</f>
        <v>0</v>
      </c>
      <c r="F2450" s="1">
        <f>IFERROR(VLOOKUP(301,'PEDIDO 31'!$C$2:$E$230,3,0),0)</f>
        <v>0</v>
      </c>
      <c r="G2450" s="18">
        <f t="shared" si="67"/>
        <v>0</v>
      </c>
    </row>
    <row r="2451" spans="1:7" ht="15.75" x14ac:dyDescent="0.25">
      <c r="A2451" s="15">
        <f>'PEDIDO 31'!$B$2</f>
        <v>0</v>
      </c>
      <c r="B2451" s="12" t="s">
        <v>426</v>
      </c>
      <c r="C2451" s="1">
        <f>IFERROR(VLOOKUP(112,'PEDIDO 31'!$C$2:$E$230,3,0),0)</f>
        <v>0</v>
      </c>
      <c r="D2451" s="1">
        <f>IFERROR(VLOOKUP(113,'PEDIDO 31'!$C$2:$E$230,3,0),0)</f>
        <v>0</v>
      </c>
      <c r="E2451" s="1">
        <f>IFERROR(VLOOKUP(114,'PEDIDO 31'!$C$2:$E$230,3,0),0)</f>
        <v>0</v>
      </c>
      <c r="F2451" s="1">
        <f>IFERROR(VLOOKUP(296,'PEDIDO 31'!$C$2:$E$230,3,0),0)</f>
        <v>0</v>
      </c>
      <c r="G2451" s="18">
        <f t="shared" si="67"/>
        <v>0</v>
      </c>
    </row>
    <row r="2452" spans="1:7" ht="15.75" x14ac:dyDescent="0.25">
      <c r="A2452" s="15">
        <f>'PEDIDO 31'!$B$2</f>
        <v>0</v>
      </c>
      <c r="B2452" s="12" t="s">
        <v>427</v>
      </c>
      <c r="C2452" s="1">
        <f>IFERROR(VLOOKUP(116,'PEDIDO 31'!$C$2:$E$230,3,0),0)</f>
        <v>0</v>
      </c>
      <c r="D2452" s="1">
        <f>IFERROR(VLOOKUP(117,'PEDIDO 31'!$C$2:$E$230,3,0),0)</f>
        <v>0</v>
      </c>
      <c r="E2452" s="1">
        <f>IFERROR(VLOOKUP(118,'PEDIDO 31'!$C$2:$E$230,3,0),0)</f>
        <v>0</v>
      </c>
      <c r="F2452" s="1">
        <f>IFERROR(VLOOKUP(293,'PEDIDO 31'!$C$2:$E$230,3,0),0)</f>
        <v>0</v>
      </c>
      <c r="G2452" s="18">
        <f t="shared" si="67"/>
        <v>0</v>
      </c>
    </row>
    <row r="2453" spans="1:7" ht="15.75" x14ac:dyDescent="0.25">
      <c r="A2453" s="15">
        <f>'PEDIDO 31'!$B$2</f>
        <v>0</v>
      </c>
      <c r="B2453" s="12" t="s">
        <v>418</v>
      </c>
      <c r="C2453" s="1">
        <f>IFERROR(VLOOKUP(963,'PEDIDO 31'!$C$2:$E$230,3,0),0)</f>
        <v>0</v>
      </c>
      <c r="D2453" s="1">
        <f>IFERROR(VLOOKUP(965,'PEDIDO 31'!$C$2:$E$230,3,0),0)</f>
        <v>0</v>
      </c>
      <c r="E2453" s="1">
        <f>IFERROR(VLOOKUP(966,'PEDIDO 31'!$C$2:$E$230,3,0),0)</f>
        <v>0</v>
      </c>
      <c r="F2453" s="1">
        <f>IFERROR(VLOOKUP(964,'PEDIDO 31'!$C$2:$E$230,3,0),0)</f>
        <v>0</v>
      </c>
      <c r="G2453" s="18">
        <f t="shared" si="67"/>
        <v>0</v>
      </c>
    </row>
    <row r="2454" spans="1:7" ht="15.75" x14ac:dyDescent="0.25">
      <c r="A2454" s="15">
        <f>'PEDIDO 31'!$B$2</f>
        <v>0</v>
      </c>
      <c r="B2454" s="12" t="s">
        <v>419</v>
      </c>
      <c r="C2454" s="1">
        <f>IFERROR(VLOOKUP(2042,'PEDIDO 31'!$C$2:$E$230,3,0),0)</f>
        <v>0</v>
      </c>
      <c r="D2454" s="1">
        <f>IFERROR(VLOOKUP(2041,'PEDIDO 31'!$C$2:$E$230,3,0),0)</f>
        <v>0</v>
      </c>
      <c r="E2454" s="1">
        <f>IFERROR(VLOOKUP(2043,'PEDIDO 31'!$C$2:$E$230,3,0),0)</f>
        <v>0</v>
      </c>
      <c r="F2454" s="1">
        <f>IFERROR(VLOOKUP(2040,'PEDIDO 31'!$C$2:$E$230,3,0),0)</f>
        <v>0</v>
      </c>
      <c r="G2454" s="18">
        <f t="shared" si="67"/>
        <v>0</v>
      </c>
    </row>
    <row r="2455" spans="1:7" ht="15.75" x14ac:dyDescent="0.25">
      <c r="A2455" s="15">
        <f>'PEDIDO 31'!$B$2</f>
        <v>0</v>
      </c>
      <c r="B2455" s="12" t="s">
        <v>420</v>
      </c>
      <c r="C2455" s="1">
        <f>IFERROR(VLOOKUP(2045,'PEDIDO 31'!$C$2:$E$230,3,0),0)</f>
        <v>0</v>
      </c>
      <c r="D2455" s="1">
        <f>IFERROR(VLOOKUP(2046,'PEDIDO 31'!$C$2:$E$230,3,0),0)</f>
        <v>0</v>
      </c>
      <c r="E2455" s="1">
        <f>IFERROR(VLOOKUP(2047,'PEDIDO 31'!$C$2:$E$230,3,0),0)</f>
        <v>0</v>
      </c>
      <c r="F2455" s="1">
        <f>IFERROR(VLOOKUP(2048,'PEDIDO 31'!$C$2:$E$230,3,0),0)</f>
        <v>0</v>
      </c>
      <c r="G2455" s="18">
        <f t="shared" si="67"/>
        <v>0</v>
      </c>
    </row>
    <row r="2456" spans="1:7" ht="15.75" x14ac:dyDescent="0.25">
      <c r="A2456" s="15">
        <f>'PEDIDO 31'!$B$2</f>
        <v>0</v>
      </c>
      <c r="B2456" s="12" t="s">
        <v>421</v>
      </c>
      <c r="C2456" s="1">
        <f>IFERROR(VLOOKUP(2050,'PEDIDO 31'!$C$2:$E$230,3,0),0)</f>
        <v>0</v>
      </c>
      <c r="D2456" s="1">
        <f>IFERROR(VLOOKUP(2051,'PEDIDO 31'!$C$2:$E$230,3,0),0)</f>
        <v>0</v>
      </c>
      <c r="E2456" s="1">
        <f>IFERROR(VLOOKUP(2052,'PEDIDO 31'!$C$2:$E$230,3,0),0)</f>
        <v>0</v>
      </c>
      <c r="F2456" s="1">
        <f>IFERROR(VLOOKUP(2053,'PEDIDO 31'!$C$2:$E$230,3,0),0)</f>
        <v>0</v>
      </c>
      <c r="G2456" s="18">
        <f t="shared" si="67"/>
        <v>0</v>
      </c>
    </row>
    <row r="2457" spans="1:7" ht="15.75" x14ac:dyDescent="0.25">
      <c r="A2457" s="15">
        <f>'PEDIDO 31'!$B$2</f>
        <v>0</v>
      </c>
      <c r="B2457" s="12" t="s">
        <v>422</v>
      </c>
      <c r="C2457" s="1">
        <f>IFERROR(VLOOKUP(216,'PEDIDO 31'!$C$2:$E$230,3,0),0)</f>
        <v>0</v>
      </c>
      <c r="D2457" s="1">
        <f>IFERROR(VLOOKUP(217,'PEDIDO 31'!$C$2:$E$230,3,0),0)</f>
        <v>0</v>
      </c>
      <c r="E2457" s="1">
        <f>IFERROR(VLOOKUP(218,'PEDIDO 31'!$C$2:$E$230,3,0),0)</f>
        <v>0</v>
      </c>
      <c r="F2457" s="1">
        <f>IFERROR(VLOOKUP(305,'PEDIDO 31'!$C$2:$E$230,3,0),0)</f>
        <v>0</v>
      </c>
      <c r="G2457" s="18">
        <f t="shared" si="67"/>
        <v>0</v>
      </c>
    </row>
    <row r="2458" spans="1:7" ht="15.75" x14ac:dyDescent="0.25">
      <c r="A2458" s="15">
        <f>'PEDIDO 31'!$B$2</f>
        <v>0</v>
      </c>
      <c r="B2458" s="12" t="s">
        <v>423</v>
      </c>
      <c r="C2458" s="1">
        <f>IFERROR(VLOOKUP(100,'PEDIDO 31'!$C$2:$E$230,3,0),0)</f>
        <v>0</v>
      </c>
      <c r="D2458" s="1">
        <f>IFERROR(VLOOKUP(101,'PEDIDO 31'!$C$2:$E$230,3,0),0)</f>
        <v>0</v>
      </c>
      <c r="E2458" s="1">
        <f>IFERROR(VLOOKUP(102,'PEDIDO 31'!$C$2:$E$230,3,0),0)</f>
        <v>0</v>
      </c>
      <c r="F2458" s="1">
        <f>IFERROR(VLOOKUP(306,'PEDIDO 31'!$C$2:$E$230,3,0),0)</f>
        <v>0</v>
      </c>
      <c r="G2458" s="18">
        <f t="shared" si="67"/>
        <v>0</v>
      </c>
    </row>
    <row r="2459" spans="1:7" ht="15.75" x14ac:dyDescent="0.25">
      <c r="A2459" s="15">
        <f>'PEDIDO 31'!$B$2</f>
        <v>0</v>
      </c>
      <c r="B2459" s="12" t="s">
        <v>424</v>
      </c>
      <c r="C2459" s="1">
        <f>IFERROR(VLOOKUP(104,'PEDIDO 31'!$C$2:$E$230,3,0),0)</f>
        <v>0</v>
      </c>
      <c r="D2459" s="1">
        <f>IFERROR(VLOOKUP(105,'PEDIDO 31'!$C$2:$E$230,3,0),0)</f>
        <v>0</v>
      </c>
      <c r="E2459" s="1">
        <f>IFERROR(VLOOKUP(106,'PEDIDO 31'!$C$2:$E$230,3,0),0)</f>
        <v>0</v>
      </c>
      <c r="F2459" s="1">
        <f>IFERROR(VLOOKUP(307,'PEDIDO 31'!$C$2:$E$230,3,0),0)</f>
        <v>0</v>
      </c>
      <c r="G2459" s="18">
        <f t="shared" si="67"/>
        <v>0</v>
      </c>
    </row>
    <row r="2460" spans="1:7" ht="15.75" x14ac:dyDescent="0.25">
      <c r="A2460" s="15">
        <f>'PEDIDO 31'!$B$2</f>
        <v>0</v>
      </c>
      <c r="B2460" s="12" t="s">
        <v>425</v>
      </c>
      <c r="C2460" s="1">
        <f>IFERROR(VLOOKUP(400,'PEDIDO 31'!$C$2:$E$230,3,0),0)</f>
        <v>0</v>
      </c>
      <c r="D2460" s="1">
        <f>IFERROR(VLOOKUP(401,'PEDIDO 31'!$C$2:$E$230,3,0),0)</f>
        <v>0</v>
      </c>
      <c r="E2460" s="1">
        <f>IFERROR(VLOOKUP(402,'PEDIDO 31'!$C$2:$E$230,3,0),0)</f>
        <v>0</v>
      </c>
      <c r="F2460" s="1">
        <f>IFERROR(VLOOKUP(403,'PEDIDO 31'!$C$2:$E$230,3,0),0)</f>
        <v>0</v>
      </c>
      <c r="G2460" s="18">
        <f t="shared" si="67"/>
        <v>0</v>
      </c>
    </row>
    <row r="2461" spans="1:7" ht="15.75" x14ac:dyDescent="0.25">
      <c r="A2461" s="15">
        <f>'PEDIDO 31'!$B$2</f>
        <v>0</v>
      </c>
      <c r="B2461" s="12" t="s">
        <v>428</v>
      </c>
      <c r="C2461" s="1">
        <f>IFERROR(VLOOKUP(22,'PEDIDO 31'!$C$2:$E$230,3,0),0)</f>
        <v>0</v>
      </c>
      <c r="D2461" s="1"/>
      <c r="E2461" s="1"/>
      <c r="F2461" s="1"/>
      <c r="G2461" s="18">
        <f t="shared" si="67"/>
        <v>0</v>
      </c>
    </row>
    <row r="2462" spans="1:7" ht="15.75" x14ac:dyDescent="0.25">
      <c r="A2462" s="15">
        <f>'PEDIDO 31'!$B$2</f>
        <v>0</v>
      </c>
      <c r="B2462" s="12" t="s">
        <v>429</v>
      </c>
      <c r="C2462" s="1">
        <f>IFERROR(VLOOKUP(21,'PEDIDO 31'!$C$2:$E$230,3,0),0)</f>
        <v>0</v>
      </c>
      <c r="D2462" s="1"/>
      <c r="E2462" s="1"/>
      <c r="F2462" s="1"/>
      <c r="G2462" s="18">
        <f t="shared" si="67"/>
        <v>0</v>
      </c>
    </row>
    <row r="2463" spans="1:7" ht="15.75" x14ac:dyDescent="0.25">
      <c r="A2463" s="15">
        <f>'PEDIDO 31'!$B$2</f>
        <v>0</v>
      </c>
      <c r="B2463" s="12" t="s">
        <v>430</v>
      </c>
      <c r="C2463" s="1">
        <f>IFERROR(VLOOKUP(1125,'PEDIDO 31'!$C$2:$E$230,3,0),0)</f>
        <v>0</v>
      </c>
      <c r="D2463" s="1">
        <f>IFERROR(VLOOKUP(1126,'PEDIDO 31'!$C$2:$E$230,3,0),0)</f>
        <v>0</v>
      </c>
      <c r="E2463" s="1">
        <f>IFERROR(VLOOKUP(1127,'PEDIDO 31'!$C$2:$E$230,3,0),0)</f>
        <v>0</v>
      </c>
      <c r="F2463" s="1">
        <f>IFERROR(VLOOKUP(1128,'PEDIDO 31'!$C$2:$E$230,3,0),0)</f>
        <v>0</v>
      </c>
      <c r="G2463" s="18">
        <f t="shared" si="67"/>
        <v>0</v>
      </c>
    </row>
    <row r="2464" spans="1:7" ht="15.75" x14ac:dyDescent="0.25">
      <c r="A2464" s="15">
        <f>'PEDIDO 31'!$B$2</f>
        <v>0</v>
      </c>
      <c r="B2464" s="12" t="s">
        <v>431</v>
      </c>
      <c r="C2464" s="1">
        <f>IFERROR(VLOOKUP(1133,'PEDIDO 31'!$C$2:$E$230,3,0),0)</f>
        <v>0</v>
      </c>
      <c r="D2464" s="1">
        <f>IFERROR(VLOOKUP(1134,'PEDIDO 31'!$C$2:$E$230,3,0),0)</f>
        <v>0</v>
      </c>
      <c r="E2464" s="1">
        <f>IFERROR(VLOOKUP(1135,'PEDIDO 31'!$C$2:$E$230,3,0),0)</f>
        <v>0</v>
      </c>
      <c r="F2464" s="1">
        <f>IFERROR(VLOOKUP(1136,'PEDIDO 31'!$C$2:$E$230,3,0),0)</f>
        <v>0</v>
      </c>
      <c r="G2464" s="18">
        <f t="shared" si="67"/>
        <v>0</v>
      </c>
    </row>
    <row r="2465" spans="1:7" ht="15.75" x14ac:dyDescent="0.25">
      <c r="A2465" s="15">
        <f>'PEDIDO 31'!$B$2</f>
        <v>0</v>
      </c>
      <c r="B2465" s="12" t="s">
        <v>432</v>
      </c>
      <c r="C2465" s="1">
        <f>IFERROR(VLOOKUP(1105,'PEDIDO 31'!$C$2:$E$230,3,0),0)</f>
        <v>0</v>
      </c>
      <c r="D2465" s="1">
        <f>IFERROR(VLOOKUP(1106,'PEDIDO 31'!$C$2:$E$230,3,0),0)</f>
        <v>0</v>
      </c>
      <c r="E2465" s="1">
        <f>IFERROR(VLOOKUP(1107,'PEDIDO 31'!$C$2:$E$230,3,0),0)</f>
        <v>0</v>
      </c>
      <c r="F2465" s="1">
        <f>IFERROR(VLOOKUP(1108,'PEDIDO 31'!$C$2:$E$230,3,0),0)</f>
        <v>0</v>
      </c>
      <c r="G2465" s="18">
        <f t="shared" si="67"/>
        <v>0</v>
      </c>
    </row>
    <row r="2466" spans="1:7" ht="15.75" x14ac:dyDescent="0.25">
      <c r="A2466" s="15">
        <f>'PEDIDO 31'!$B$2</f>
        <v>0</v>
      </c>
      <c r="B2466" s="12" t="s">
        <v>433</v>
      </c>
      <c r="C2466" s="1">
        <f>IFERROR(VLOOKUP(1109,'PEDIDO 31'!$C$2:$E$230,3,0),0)</f>
        <v>0</v>
      </c>
      <c r="D2466" s="1">
        <f>IFERROR(VLOOKUP(1110,'PEDIDO 31'!$C$2:$E$230,3,0),0)</f>
        <v>0</v>
      </c>
      <c r="E2466" s="1">
        <f>IFERROR(VLOOKUP(1111,'PEDIDO 31'!$C$2:$E$230,3,0),0)</f>
        <v>0</v>
      </c>
      <c r="F2466" s="1">
        <f>IFERROR(VLOOKUP(1112,'PEDIDO 31'!$C$2:$E$230,3,0),0)</f>
        <v>0</v>
      </c>
      <c r="G2466" s="18">
        <f t="shared" si="67"/>
        <v>0</v>
      </c>
    </row>
    <row r="2467" spans="1:7" ht="15.75" x14ac:dyDescent="0.25">
      <c r="A2467" s="15">
        <f>'PEDIDO 31'!$B$2</f>
        <v>0</v>
      </c>
      <c r="B2467" s="12" t="s">
        <v>434</v>
      </c>
      <c r="C2467" s="1">
        <f>IFERROR(VLOOKUP(1113,'PEDIDO 31'!$C$2:$E$230,3,0),0)</f>
        <v>0</v>
      </c>
      <c r="D2467" s="1">
        <f>IFERROR(VLOOKUP(1114,'PEDIDO 31'!$C$2:$E$230,3,0),0)</f>
        <v>0</v>
      </c>
      <c r="E2467" s="1">
        <f>IFERROR(VLOOKUP(1115,'PEDIDO 31'!$C$2:$E$230,3,0),0)</f>
        <v>0</v>
      </c>
      <c r="F2467" s="1">
        <f>IFERROR(VLOOKUP(1116,'PEDIDO 31'!$C$2:$E$230,3,0),0)</f>
        <v>0</v>
      </c>
      <c r="G2467" s="18">
        <f t="shared" si="67"/>
        <v>0</v>
      </c>
    </row>
    <row r="2468" spans="1:7" ht="15.75" x14ac:dyDescent="0.25">
      <c r="A2468" s="15">
        <f>'PEDIDO 31'!$B$2</f>
        <v>0</v>
      </c>
      <c r="B2468" s="12" t="s">
        <v>435</v>
      </c>
      <c r="C2468" s="1">
        <f>IFERROR(VLOOKUP(1117,'PEDIDO 31'!$C$2:$E$230,3,0),0)</f>
        <v>0</v>
      </c>
      <c r="D2468" s="1">
        <f>IFERROR(VLOOKUP(1118,'PEDIDO 31'!$C$2:$E$230,3,0),0)</f>
        <v>0</v>
      </c>
      <c r="E2468" s="1">
        <f>IFERROR(VLOOKUP(1119,'PEDIDO 31'!$C$2:$E$230,3,0),0)</f>
        <v>0</v>
      </c>
      <c r="F2468" s="1">
        <f>IFERROR(VLOOKUP(1120,'PEDIDO 31'!$C$2:$E$230,3,0),0)</f>
        <v>0</v>
      </c>
      <c r="G2468" s="18">
        <f t="shared" si="67"/>
        <v>0</v>
      </c>
    </row>
    <row r="2469" spans="1:7" ht="15.75" x14ac:dyDescent="0.25">
      <c r="A2469" s="15">
        <f>'PEDIDO 31'!$B$2</f>
        <v>0</v>
      </c>
      <c r="B2469" s="12" t="s">
        <v>436</v>
      </c>
      <c r="C2469" s="1">
        <f>IFERROR(VLOOKUP(1121,'PEDIDO 31'!$C$2:$E$230,3,0),0)</f>
        <v>0</v>
      </c>
      <c r="D2469" s="1">
        <f>IFERROR(VLOOKUP(1122,'PEDIDO 31'!$C$2:$E$230,3,0),0)</f>
        <v>0</v>
      </c>
      <c r="E2469" s="1">
        <f>IFERROR(VLOOKUP(1123,'PEDIDO 31'!$C$2:$E$230,3,0),0)</f>
        <v>0</v>
      </c>
      <c r="F2469" s="1">
        <f>IFERROR(VLOOKUP(1124,'PEDIDO 31'!$C$2:$E$230,3,0),0)</f>
        <v>0</v>
      </c>
      <c r="G2469" s="18">
        <f t="shared" si="67"/>
        <v>0</v>
      </c>
    </row>
    <row r="2470" spans="1:7" ht="15.75" x14ac:dyDescent="0.25">
      <c r="A2470" s="15">
        <f>'PEDIDO 31'!$B$2</f>
        <v>0</v>
      </c>
      <c r="B2470" s="12" t="s">
        <v>437</v>
      </c>
      <c r="C2470" s="1">
        <f>IFERROR(VLOOKUP(1129,'PEDIDO 31'!$C$2:$E$230,3,0),0)</f>
        <v>0</v>
      </c>
      <c r="D2470" s="1">
        <f>IFERROR(VLOOKUP(1130,'PEDIDO 31'!$C$2:$E$230,3,0),0)</f>
        <v>0</v>
      </c>
      <c r="E2470" s="1">
        <f>IFERROR(VLOOKUP(1131,'PEDIDO 31'!$C$2:$E$230,3,0),0)</f>
        <v>0</v>
      </c>
      <c r="F2470" s="1">
        <f>IFERROR(VLOOKUP(1132,'PEDIDO 31'!$C$2:$E$230,3,0),0)</f>
        <v>0</v>
      </c>
      <c r="G2470" s="18">
        <f t="shared" si="67"/>
        <v>0</v>
      </c>
    </row>
    <row r="2471" spans="1:7" ht="15.75" x14ac:dyDescent="0.25">
      <c r="A2471" s="15">
        <f>'PEDIDO 31'!$B$2</f>
        <v>0</v>
      </c>
      <c r="B2471" s="12" t="s">
        <v>438</v>
      </c>
      <c r="C2471" s="1">
        <f>IFERROR(VLOOKUP(1137,'PEDIDO 31'!$C$2:$E$230,3,0),0)</f>
        <v>0</v>
      </c>
      <c r="D2471" s="1">
        <f>IFERROR(VLOOKUP(1138,'PEDIDO 31'!$C$2:$E$230,3,0),0)</f>
        <v>0</v>
      </c>
      <c r="E2471" s="1">
        <f>IFERROR(VLOOKUP(1139,'PEDIDO 31'!$C$2:$E$230,3,0),0)</f>
        <v>0</v>
      </c>
      <c r="F2471" s="1">
        <f>IFERROR(VLOOKUP(1140,'PEDIDO 31'!$C$2:$E$230,3,0),0)</f>
        <v>0</v>
      </c>
      <c r="G2471" s="18">
        <f t="shared" si="67"/>
        <v>0</v>
      </c>
    </row>
    <row r="2472" spans="1:7" ht="15.75" x14ac:dyDescent="0.25">
      <c r="A2472" s="15">
        <f>'PEDIDO 31'!$B$2</f>
        <v>0</v>
      </c>
      <c r="B2472" s="12" t="s">
        <v>439</v>
      </c>
      <c r="C2472" s="1">
        <f>IFERROR(VLOOKUP(1141,'PEDIDO 31'!$C$2:$E$230,3,0),0)</f>
        <v>0</v>
      </c>
      <c r="D2472" s="1">
        <f>IFERROR(VLOOKUP(1142,'PEDIDO 31'!$C$2:$E$230,3,0),0)</f>
        <v>0</v>
      </c>
      <c r="E2472" s="1">
        <f>IFERROR(VLOOKUP(1143,'PEDIDO 31'!$C$2:$E$230,3,0),0)</f>
        <v>0</v>
      </c>
      <c r="F2472" s="1">
        <f>IFERROR(VLOOKUP(1144,'PEDIDO 31'!$C$2:$E$230,3,0),0)</f>
        <v>0</v>
      </c>
      <c r="G2472" s="18">
        <f t="shared" si="67"/>
        <v>0</v>
      </c>
    </row>
    <row r="2473" spans="1:7" ht="15.75" x14ac:dyDescent="0.25">
      <c r="A2473" s="15">
        <f>'PEDIDO 31'!$B$2</f>
        <v>0</v>
      </c>
      <c r="B2473" s="12" t="s">
        <v>440</v>
      </c>
      <c r="C2473" s="1">
        <f>IFERROR(VLOOKUP(1145,'PEDIDO 31'!$C$2:$E$230,3,0),0)</f>
        <v>0</v>
      </c>
      <c r="D2473" s="1">
        <f>IFERROR(VLOOKUP(1146,'PEDIDO 31'!$C$2:$E$230,3,0),0)</f>
        <v>0</v>
      </c>
      <c r="E2473" s="1">
        <f>IFERROR(VLOOKUP(1147,'PEDIDO 31'!$C$2:$E$230,3,0),0)</f>
        <v>0</v>
      </c>
      <c r="F2473" s="1">
        <f>IFERROR(VLOOKUP(1148,'PEDIDO 31'!$C$2:$E$230,3,0),0)</f>
        <v>0</v>
      </c>
      <c r="G2473" s="18">
        <f t="shared" si="67"/>
        <v>0</v>
      </c>
    </row>
    <row r="2474" spans="1:7" ht="15.75" x14ac:dyDescent="0.25">
      <c r="A2474" s="15">
        <f>'PEDIDO 31'!$B$2</f>
        <v>0</v>
      </c>
      <c r="B2474" s="12" t="s">
        <v>441</v>
      </c>
      <c r="C2474" s="1">
        <f>IFERROR(VLOOKUP(1149,'PEDIDO 31'!$C$2:$E$230,3,0),0)</f>
        <v>0</v>
      </c>
      <c r="D2474" s="1">
        <f>IFERROR(VLOOKUP(1150,'PEDIDO 31'!$C$2:$E$230,3,0),0)</f>
        <v>0</v>
      </c>
      <c r="E2474" s="1">
        <f>IFERROR(VLOOKUP(1151,'PEDIDO 31'!$C$2:$E$230,3,0),0)</f>
        <v>0</v>
      </c>
      <c r="F2474" s="1">
        <f>IFERROR(VLOOKUP(1152,'PEDIDO 31'!$C$2:$E$230,3,0),0)</f>
        <v>0</v>
      </c>
      <c r="G2474" s="18">
        <f t="shared" si="67"/>
        <v>0</v>
      </c>
    </row>
    <row r="2475" spans="1:7" ht="15.75" x14ac:dyDescent="0.25">
      <c r="A2475" s="15">
        <f>'PEDIDO 31'!$B$2</f>
        <v>0</v>
      </c>
      <c r="B2475" s="12" t="s">
        <v>442</v>
      </c>
      <c r="C2475" s="1">
        <f>IFERROR(VLOOKUP(1153,'PEDIDO 31'!$C$2:$E$230,3,0),0)</f>
        <v>0</v>
      </c>
      <c r="D2475" s="1">
        <f>IFERROR(VLOOKUP(1154,'PEDIDO 31'!$C$2:$E$230,3,0),0)</f>
        <v>0</v>
      </c>
      <c r="E2475" s="1">
        <f>IFERROR(VLOOKUP(1155,'PEDIDO 31'!$C$2:$E$230,3,0),0)</f>
        <v>0</v>
      </c>
      <c r="F2475" s="1">
        <f>IFERROR(VLOOKUP(1156,'PEDIDO 31'!$C$2:$E$230,3,0),0)</f>
        <v>0</v>
      </c>
      <c r="G2475" s="18">
        <f t="shared" si="67"/>
        <v>0</v>
      </c>
    </row>
    <row r="2476" spans="1:7" ht="15.75" x14ac:dyDescent="0.25">
      <c r="A2476" s="15">
        <f>'PEDIDO 31'!$B$2</f>
        <v>0</v>
      </c>
      <c r="B2476" s="12" t="s">
        <v>443</v>
      </c>
      <c r="C2476" s="1">
        <f>IFERROR(VLOOKUP(1157,'PEDIDO 31'!$C$2:$E$230,3,0),0)</f>
        <v>0</v>
      </c>
      <c r="D2476" s="1">
        <f>IFERROR(VLOOKUP(1158,'PEDIDO 31'!$C$2:$E$230,3,0),0)</f>
        <v>0</v>
      </c>
      <c r="E2476" s="1">
        <f>IFERROR(VLOOKUP(1159,'PEDIDO 31'!$C$2:$E$230,3,0),0)</f>
        <v>0</v>
      </c>
      <c r="F2476" s="1">
        <f>IFERROR(VLOOKUP(1160,'PEDIDO 31'!$C$2:$E$230,3,0),0)</f>
        <v>0</v>
      </c>
      <c r="G2476" s="18">
        <f t="shared" si="67"/>
        <v>0</v>
      </c>
    </row>
    <row r="2477" spans="1:7" ht="15.75" x14ac:dyDescent="0.25">
      <c r="A2477" s="15">
        <f>'PEDIDO 31'!$B$2</f>
        <v>0</v>
      </c>
      <c r="B2477" s="12" t="s">
        <v>444</v>
      </c>
      <c r="C2477" s="1">
        <f>IFERROR(VLOOKUP(1161,'PEDIDO 31'!$C$2:$E$230,3,0),0)</f>
        <v>0</v>
      </c>
      <c r="D2477" s="1">
        <f>IFERROR(VLOOKUP(1162,'PEDIDO 31'!$C$2:$E$230,3,0),0)</f>
        <v>0</v>
      </c>
      <c r="E2477" s="1">
        <f>IFERROR(VLOOKUP(1163,'PEDIDO 31'!$C$2:$E$230,3,0),0)</f>
        <v>0</v>
      </c>
      <c r="F2477" s="1">
        <f>IFERROR(VLOOKUP(1164,'PEDIDO 31'!$C$2:$E$230,3,0),0)</f>
        <v>0</v>
      </c>
      <c r="G2477" s="18">
        <f t="shared" si="67"/>
        <v>0</v>
      </c>
    </row>
    <row r="2478" spans="1:7" ht="15.75" x14ac:dyDescent="0.25">
      <c r="A2478" s="15">
        <f>'PEDIDO 31'!$B$2</f>
        <v>0</v>
      </c>
      <c r="B2478" s="12" t="s">
        <v>445</v>
      </c>
      <c r="C2478" s="1">
        <f>IFERROR(VLOOKUP(1165,'PEDIDO 31'!$C$2:$E$230,3,0),0)</f>
        <v>0</v>
      </c>
      <c r="D2478" s="1">
        <f>IFERROR(VLOOKUP(1166,'PEDIDO 31'!$C$2:$E$230,3,0),0)</f>
        <v>0</v>
      </c>
      <c r="E2478" s="1">
        <f>IFERROR(VLOOKUP(1167,'PEDIDO 31'!$C$2:$E$230,3,0),0)</f>
        <v>0</v>
      </c>
      <c r="F2478" s="1">
        <f>IFERROR(VLOOKUP(1168,'PEDIDO 31'!$C$2:$E$230,3,0),0)</f>
        <v>0</v>
      </c>
      <c r="G2478" s="18">
        <f t="shared" si="67"/>
        <v>0</v>
      </c>
    </row>
    <row r="2479" spans="1:7" ht="15.75" x14ac:dyDescent="0.25">
      <c r="A2479" s="15">
        <f>'PEDIDO 31'!$B$2</f>
        <v>0</v>
      </c>
      <c r="B2479" s="12" t="s">
        <v>446</v>
      </c>
      <c r="C2479" s="1">
        <f>IFERROR(VLOOKUP(1169,'PEDIDO 31'!$C$2:$E$230,3,0),0)</f>
        <v>0</v>
      </c>
      <c r="D2479" s="1">
        <f>IFERROR(VLOOKUP(1170,'PEDIDO 31'!$C$2:$E$230,3,0),0)</f>
        <v>0</v>
      </c>
      <c r="E2479" s="1">
        <f>IFERROR(VLOOKUP(1171,'PEDIDO 31'!$C$2:$E$230,3,0),0)</f>
        <v>0</v>
      </c>
      <c r="F2479" s="1">
        <f>IFERROR(VLOOKUP(1172,'PEDIDO 31'!$C$2:$E$230,3,0),0)</f>
        <v>0</v>
      </c>
      <c r="G2479" s="18">
        <f t="shared" si="67"/>
        <v>0</v>
      </c>
    </row>
    <row r="2480" spans="1:7" ht="15.75" x14ac:dyDescent="0.25">
      <c r="A2480" s="15">
        <f>'PEDIDO 31'!$B$2</f>
        <v>0</v>
      </c>
      <c r="B2480" s="12" t="s">
        <v>447</v>
      </c>
      <c r="C2480" s="1">
        <f>IFERROR(VLOOKUP(1173,'PEDIDO 31'!$C$2:$E$230,3,0),0)</f>
        <v>0</v>
      </c>
      <c r="D2480" s="1">
        <f>IFERROR(VLOOKUP(1174,'PEDIDO 31'!$C$2:$E$230,3,0),0)</f>
        <v>0</v>
      </c>
      <c r="E2480" s="1">
        <f>IFERROR(VLOOKUP(1175,'PEDIDO 31'!$C$2:$E$230,3,0),0)</f>
        <v>0</v>
      </c>
      <c r="F2480" s="1">
        <f>IFERROR(VLOOKUP(1176,'PEDIDO 31'!$C$2:$E$230,3,0),0)</f>
        <v>0</v>
      </c>
      <c r="G2480" s="18">
        <f t="shared" si="67"/>
        <v>0</v>
      </c>
    </row>
    <row r="2481" spans="1:7" ht="15.75" x14ac:dyDescent="0.25">
      <c r="A2481" s="15">
        <f>'PEDIDO 31'!$B$2</f>
        <v>0</v>
      </c>
      <c r="B2481" s="12" t="s">
        <v>448</v>
      </c>
      <c r="C2481" s="1">
        <f>IFERROR(VLOOKUP(1249,'PEDIDO 31'!$C$2:$E$230,3,0),0)</f>
        <v>0</v>
      </c>
      <c r="D2481" s="1">
        <f>IFERROR(VLOOKUP(1250,'PEDIDO 31'!$C$2:$E$230,3,0),0)</f>
        <v>0</v>
      </c>
      <c r="E2481" s="1">
        <f>IFERROR(VLOOKUP(1251,'PEDIDO 31'!$C$2:$E$230,3,0),0)</f>
        <v>0</v>
      </c>
      <c r="F2481" s="1">
        <f>IFERROR(VLOOKUP(1252,'PEDIDO 31'!$C$2:$E$230,3,0),0)</f>
        <v>0</v>
      </c>
      <c r="G2481" s="18">
        <f t="shared" si="67"/>
        <v>0</v>
      </c>
    </row>
    <row r="2482" spans="1:7" ht="15.75" x14ac:dyDescent="0.25">
      <c r="A2482" s="15">
        <f>'PEDIDO 31'!$B$2</f>
        <v>0</v>
      </c>
      <c r="B2482" s="12" t="s">
        <v>449</v>
      </c>
      <c r="C2482" s="1">
        <f>IFERROR(VLOOKUP(1177,'PEDIDO 31'!$C$2:$E$230,3,0),0)</f>
        <v>0</v>
      </c>
      <c r="D2482" s="1">
        <f>IFERROR(VLOOKUP(1178,'PEDIDO 31'!$C$2:$E$230,3,0),0)</f>
        <v>0</v>
      </c>
      <c r="E2482" s="1">
        <f>IFERROR(VLOOKUP(1179,'PEDIDO 31'!$C$2:$E$230,3,0),0)</f>
        <v>0</v>
      </c>
      <c r="F2482" s="1">
        <f>IFERROR(VLOOKUP(1180,'PEDIDO 31'!$C$2:$E$230,3,0),0)</f>
        <v>0</v>
      </c>
      <c r="G2482" s="18">
        <f t="shared" si="67"/>
        <v>0</v>
      </c>
    </row>
    <row r="2483" spans="1:7" ht="15.75" x14ac:dyDescent="0.25">
      <c r="A2483" s="15">
        <f>'PEDIDO 31'!$B$2</f>
        <v>0</v>
      </c>
      <c r="B2483" s="12" t="s">
        <v>450</v>
      </c>
      <c r="C2483" s="1">
        <f>IFERROR(VLOOKUP(1181,'PEDIDO 31'!$C$2:$E$230,3,0),0)</f>
        <v>0</v>
      </c>
      <c r="D2483" s="1">
        <f>IFERROR(VLOOKUP(1182,'PEDIDO 31'!$C$2:$E$230,3,0),0)</f>
        <v>0</v>
      </c>
      <c r="E2483" s="1">
        <f>IFERROR(VLOOKUP(1183,'PEDIDO 31'!$C$2:$E$230,3,0),0)</f>
        <v>0</v>
      </c>
      <c r="F2483" s="1">
        <f>IFERROR(VLOOKUP(1184,'PEDIDO 31'!$C$2:$E$230,3,0),0)</f>
        <v>0</v>
      </c>
      <c r="G2483" s="18">
        <f t="shared" si="67"/>
        <v>0</v>
      </c>
    </row>
    <row r="2484" spans="1:7" ht="15.75" x14ac:dyDescent="0.25">
      <c r="A2484" s="15">
        <f>'PEDIDO 31'!$B$2</f>
        <v>0</v>
      </c>
      <c r="B2484" s="12" t="s">
        <v>451</v>
      </c>
      <c r="C2484" s="1">
        <f>IFERROR(VLOOKUP(1185,'PEDIDO 31'!$C$2:$E$230,3,0),0)</f>
        <v>0</v>
      </c>
      <c r="D2484" s="1">
        <f>IFERROR(VLOOKUP(1186,'PEDIDO 31'!$C$2:$E$230,3,0),0)</f>
        <v>0</v>
      </c>
      <c r="E2484" s="1">
        <f>IFERROR(VLOOKUP(1187,'PEDIDO 31'!$C$2:$E$230,3,0),0)</f>
        <v>0</v>
      </c>
      <c r="F2484" s="1">
        <f>IFERROR(VLOOKUP(1188,'PEDIDO 31'!$C$2:$E$230,3,0),0)</f>
        <v>0</v>
      </c>
      <c r="G2484" s="18">
        <f t="shared" si="67"/>
        <v>0</v>
      </c>
    </row>
    <row r="2485" spans="1:7" ht="15.75" x14ac:dyDescent="0.25">
      <c r="A2485" s="15">
        <f>'PEDIDO 31'!$B$2</f>
        <v>0</v>
      </c>
      <c r="B2485" s="12" t="s">
        <v>452</v>
      </c>
      <c r="C2485" s="1">
        <f>IFERROR(VLOOKUP(1189,'PEDIDO 31'!$C$2:$E$230,3,0),0)</f>
        <v>0</v>
      </c>
      <c r="D2485" s="1">
        <f>IFERROR(VLOOKUP(1190,'PEDIDO 31'!$C$2:$E$230,3,0),0)</f>
        <v>0</v>
      </c>
      <c r="E2485" s="1">
        <f>IFERROR(VLOOKUP(1191,'PEDIDO 31'!$C$2:$E$230,3,0),0)</f>
        <v>0</v>
      </c>
      <c r="F2485" s="1">
        <f>IFERROR(VLOOKUP(1192,'PEDIDO 31'!$C$2:$E$230,3,0),0)</f>
        <v>0</v>
      </c>
      <c r="G2485" s="18">
        <f t="shared" si="67"/>
        <v>0</v>
      </c>
    </row>
    <row r="2486" spans="1:7" ht="15.75" x14ac:dyDescent="0.25">
      <c r="A2486" s="15">
        <f>'PEDIDO 31'!$B$2</f>
        <v>0</v>
      </c>
      <c r="B2486" s="12" t="s">
        <v>453</v>
      </c>
      <c r="C2486" s="1">
        <f>IFERROR(VLOOKUP(1193,'PEDIDO 31'!$C$2:$E$230,3,0),0)</f>
        <v>0</v>
      </c>
      <c r="D2486" s="1">
        <f>IFERROR(VLOOKUP(1194,'PEDIDO 31'!$C$2:$E$230,3,0),0)</f>
        <v>0</v>
      </c>
      <c r="E2486" s="1">
        <f>IFERROR(VLOOKUP(1195,'PEDIDO 31'!$C$2:$E$230,3,0),0)</f>
        <v>0</v>
      </c>
      <c r="F2486" s="1">
        <f>IFERROR(VLOOKUP(1196,'PEDIDO 31'!$C$2:$E$230,3,0),0)</f>
        <v>0</v>
      </c>
      <c r="G2486" s="18">
        <f t="shared" si="67"/>
        <v>0</v>
      </c>
    </row>
    <row r="2487" spans="1:7" ht="15.75" x14ac:dyDescent="0.25">
      <c r="A2487" s="15">
        <f>'PEDIDO 31'!$B$2</f>
        <v>0</v>
      </c>
      <c r="B2487" s="12" t="s">
        <v>454</v>
      </c>
      <c r="C2487" s="1">
        <f>IFERROR(VLOOKUP(1197,'PEDIDO 31'!$C$2:$E$230,3,0),0)</f>
        <v>0</v>
      </c>
      <c r="D2487" s="1">
        <f>IFERROR(VLOOKUP(1198,'PEDIDO 31'!$C$2:$E$230,3,0),0)</f>
        <v>0</v>
      </c>
      <c r="E2487" s="1">
        <f>IFERROR(VLOOKUP(1199,'PEDIDO 31'!$C$2:$E$230,3,0),0)</f>
        <v>0</v>
      </c>
      <c r="F2487" s="1">
        <f>IFERROR(VLOOKUP(1200,'PEDIDO 31'!$C$2:$E$230,3,0),0)</f>
        <v>0</v>
      </c>
      <c r="G2487" s="18">
        <f t="shared" si="67"/>
        <v>0</v>
      </c>
    </row>
    <row r="2488" spans="1:7" ht="15.75" x14ac:dyDescent="0.25">
      <c r="A2488" s="15">
        <f>'PEDIDO 31'!$B$2</f>
        <v>0</v>
      </c>
      <c r="B2488" s="12" t="s">
        <v>455</v>
      </c>
      <c r="C2488" s="1">
        <f>IFERROR(VLOOKUP(1201,'PEDIDO 31'!$C$2:$E$230,3,0),0)</f>
        <v>0</v>
      </c>
      <c r="D2488" s="1">
        <f>IFERROR(VLOOKUP(1202,'PEDIDO 31'!$C$2:$E$230,3,0),0)</f>
        <v>0</v>
      </c>
      <c r="E2488" s="1">
        <f>IFERROR(VLOOKUP(1203,'PEDIDO 31'!$C$2:$E$230,3,0),0)</f>
        <v>0</v>
      </c>
      <c r="F2488" s="1">
        <f>IFERROR(VLOOKUP(1204,'PEDIDO 31'!$C$2:$E$230,3,0),0)</f>
        <v>0</v>
      </c>
      <c r="G2488" s="18">
        <f t="shared" si="67"/>
        <v>0</v>
      </c>
    </row>
    <row r="2489" spans="1:7" ht="15.75" x14ac:dyDescent="0.25">
      <c r="A2489" s="15">
        <f>'PEDIDO 31'!$B$2</f>
        <v>0</v>
      </c>
      <c r="B2489" s="12" t="s">
        <v>456</v>
      </c>
      <c r="C2489" s="1">
        <f>IFERROR(VLOOKUP(1205,'PEDIDO 31'!$C$2:$E$230,3,0),0)</f>
        <v>0</v>
      </c>
      <c r="D2489" s="1">
        <f>IFERROR(VLOOKUP(1206,'PEDIDO 31'!$C$2:$E$230,3,0),0)</f>
        <v>0</v>
      </c>
      <c r="E2489" s="1">
        <f>IFERROR(VLOOKUP(1207,'PEDIDO 31'!$C$2:$E$230,3,0),0)</f>
        <v>0</v>
      </c>
      <c r="F2489" s="1">
        <f>IFERROR(VLOOKUP(1208,'PEDIDO 31'!$C$2:$E$230,3,0),0)</f>
        <v>0</v>
      </c>
      <c r="G2489" s="18">
        <f t="shared" si="67"/>
        <v>0</v>
      </c>
    </row>
    <row r="2490" spans="1:7" ht="15.75" x14ac:dyDescent="0.25">
      <c r="A2490" s="15">
        <f>'PEDIDO 31'!$B$2</f>
        <v>0</v>
      </c>
      <c r="B2490" s="12" t="s">
        <v>457</v>
      </c>
      <c r="C2490" s="1">
        <f>IFERROR(VLOOKUP(1213,'PEDIDO 31'!$C$2:$E$230,3,0),0)</f>
        <v>0</v>
      </c>
      <c r="D2490" s="1">
        <f>IFERROR(VLOOKUP(1214,'PEDIDO 31'!$C$2:$E$230,3,0),0)</f>
        <v>0</v>
      </c>
      <c r="E2490" s="1">
        <f>IFERROR(VLOOKUP(1215,'PEDIDO 31'!$C$2:$E$230,3,0),0)</f>
        <v>0</v>
      </c>
      <c r="F2490" s="10">
        <f>IFERROR(VLOOKUP(1216,'PEDIDO 31'!$C$2:$E$230,3,0),0)</f>
        <v>0</v>
      </c>
      <c r="G2490" s="18">
        <f t="shared" si="67"/>
        <v>0</v>
      </c>
    </row>
    <row r="2491" spans="1:7" ht="15.75" x14ac:dyDescent="0.25">
      <c r="A2491" s="15">
        <f>'PEDIDO 31'!$B$2</f>
        <v>0</v>
      </c>
      <c r="B2491" s="12" t="s">
        <v>458</v>
      </c>
      <c r="C2491" s="1">
        <f>IFERROR(VLOOKUP(1209,'PEDIDO 31'!$C$2:$E$230,3,0),0)</f>
        <v>0</v>
      </c>
      <c r="D2491" s="1">
        <f>IFERROR(VLOOKUP(1210,'PEDIDO 31'!$C$2:$E$230,3,0),0)</f>
        <v>0</v>
      </c>
      <c r="E2491" s="1">
        <f>IFERROR(VLOOKUP(1211,'PEDIDO 31'!$C$2:$E$230,3,0),0)</f>
        <v>0</v>
      </c>
      <c r="F2491" s="1">
        <f>IFERROR(VLOOKUP(1212,'PEDIDO 31'!$C$2:$E$230,3,0),0)</f>
        <v>0</v>
      </c>
      <c r="G2491" s="18">
        <f t="shared" si="67"/>
        <v>0</v>
      </c>
    </row>
    <row r="2492" spans="1:7" ht="15.75" x14ac:dyDescent="0.25">
      <c r="A2492" s="15">
        <f>'PEDIDO 31'!$B$2</f>
        <v>0</v>
      </c>
      <c r="B2492" s="12" t="s">
        <v>459</v>
      </c>
      <c r="C2492" s="1">
        <f>IFERROR(VLOOKUP(1217,'PEDIDO 31'!$C$2:$E$230,3,0),0)</f>
        <v>0</v>
      </c>
      <c r="D2492" s="1">
        <f>IFERROR(VLOOKUP(1218,'PEDIDO 31'!$C$2:$E$230,3,0),0)</f>
        <v>0</v>
      </c>
      <c r="E2492" s="1">
        <f>IFERROR(VLOOKUP(1219,'PEDIDO 31'!$C$2:$E$230,3,0),0)</f>
        <v>0</v>
      </c>
      <c r="F2492" s="1">
        <f>IFERROR(VLOOKUP(1220,'PEDIDO 31'!$C$2:$E$230,3,0),0)</f>
        <v>0</v>
      </c>
      <c r="G2492" s="18">
        <f t="shared" si="67"/>
        <v>0</v>
      </c>
    </row>
    <row r="2493" spans="1:7" ht="15.75" x14ac:dyDescent="0.25">
      <c r="A2493" s="15">
        <f>'PEDIDO 31'!$B$2</f>
        <v>0</v>
      </c>
      <c r="B2493" s="12" t="s">
        <v>461</v>
      </c>
      <c r="C2493" s="1">
        <f>IFERROR(VLOOKUP(1225,'PEDIDO 31'!$C$2:$E$230,3,0),0)</f>
        <v>0</v>
      </c>
      <c r="D2493" s="1">
        <f>IFERROR(VLOOKUP(1226,'PEDIDO 31'!$C$2:$E$230,3,0),0)</f>
        <v>0</v>
      </c>
      <c r="E2493" s="1">
        <f>IFERROR(VLOOKUP(1227,'PEDIDO 31'!$C$2:$E$230,3,0),0)</f>
        <v>0</v>
      </c>
      <c r="F2493" s="1">
        <f>IFERROR(VLOOKUP(1228,'PEDIDO 31'!$C$2:$E$230,3,0),0)</f>
        <v>0</v>
      </c>
      <c r="G2493" s="18">
        <f t="shared" si="67"/>
        <v>0</v>
      </c>
    </row>
    <row r="2494" spans="1:7" ht="15.75" x14ac:dyDescent="0.25">
      <c r="A2494" s="15">
        <f>'PEDIDO 31'!$B$2</f>
        <v>0</v>
      </c>
      <c r="B2494" s="12" t="s">
        <v>462</v>
      </c>
      <c r="C2494" s="1">
        <f>IFERROR(VLOOKUP(1221,'PEDIDO 31'!$C$2:$E$230,3,0),0)</f>
        <v>0</v>
      </c>
      <c r="D2494" s="1">
        <f>IFERROR(VLOOKUP(1222,'PEDIDO 31'!$C$2:$E$230,3,0),0)</f>
        <v>0</v>
      </c>
      <c r="E2494" s="1">
        <f>IFERROR(VLOOKUP(1223,'PEDIDO 31'!$C$2:$E$230,3,0),0)</f>
        <v>0</v>
      </c>
      <c r="F2494" s="1">
        <f>IFERROR(VLOOKUP(1224,'PEDIDO 31'!$C$2:$E$230,3,0),0)</f>
        <v>0</v>
      </c>
      <c r="G2494" s="18">
        <f t="shared" si="67"/>
        <v>0</v>
      </c>
    </row>
    <row r="2495" spans="1:7" ht="15.75" x14ac:dyDescent="0.25">
      <c r="A2495" s="15">
        <f>'PEDIDO 31'!$B$2</f>
        <v>0</v>
      </c>
      <c r="B2495" s="12" t="s">
        <v>460</v>
      </c>
      <c r="C2495" s="1">
        <f>IFERROR(VLOOKUP(1229,'PEDIDO 31'!$C$2:$E$230,3,0),0)</f>
        <v>0</v>
      </c>
      <c r="D2495" s="1">
        <f>IFERROR(VLOOKUP(1230,'PEDIDO 31'!$C$2:$E$230,3,0),0)</f>
        <v>0</v>
      </c>
      <c r="E2495" s="1">
        <f>IFERROR(VLOOKUP(1231,'PEDIDO 31'!$C$2:$E$230,3,0),0)</f>
        <v>0</v>
      </c>
      <c r="F2495" s="1">
        <f>IFERROR(VLOOKUP(1232,'PEDIDO 31'!$C$2:$E$230,3,0),0)</f>
        <v>0</v>
      </c>
      <c r="G2495" s="18">
        <f t="shared" si="67"/>
        <v>0</v>
      </c>
    </row>
    <row r="2496" spans="1:7" ht="15.75" x14ac:dyDescent="0.25">
      <c r="A2496" s="15">
        <f>'PEDIDO 31'!$B$2</f>
        <v>0</v>
      </c>
      <c r="B2496" s="12" t="s">
        <v>463</v>
      </c>
      <c r="C2496" s="1">
        <f>IFERROR(VLOOKUP(1233,'PEDIDO 31'!$C$2:$E$230,3,0),0)</f>
        <v>0</v>
      </c>
      <c r="D2496" s="1">
        <f>IFERROR(VLOOKUP(1234,'PEDIDO 31'!$C$2:$E$230,3,0),0)</f>
        <v>0</v>
      </c>
      <c r="E2496" s="1">
        <f>IFERROR(VLOOKUP(1235,'PEDIDO 31'!$C$2:$E$230,3,0),0)</f>
        <v>0</v>
      </c>
      <c r="F2496" s="1">
        <f>IFERROR(VLOOKUP(1236,'PEDIDO 31'!$C$2:$E$230,3,0),0)</f>
        <v>0</v>
      </c>
      <c r="G2496" s="18">
        <f t="shared" si="67"/>
        <v>0</v>
      </c>
    </row>
    <row r="2497" spans="1:7" ht="15.75" x14ac:dyDescent="0.25">
      <c r="A2497" s="15">
        <f>'PEDIDO 31'!$B$2</f>
        <v>0</v>
      </c>
      <c r="B2497" s="12" t="s">
        <v>464</v>
      </c>
      <c r="C2497" s="1">
        <f>IFERROR(VLOOKUP(1237,'PEDIDO 31'!$C$2:$E$230,3,0),0)</f>
        <v>0</v>
      </c>
      <c r="D2497" s="1">
        <f>IFERROR(VLOOKUP(1238,'PEDIDO 31'!$C$2:$E$230,3,0),0)</f>
        <v>0</v>
      </c>
      <c r="E2497" s="1">
        <f>IFERROR(VLOOKUP(1239,'PEDIDO 31'!$C$2:$E$230,3,0),0)</f>
        <v>0</v>
      </c>
      <c r="F2497" s="1">
        <f>IFERROR(VLOOKUP(1240,'PEDIDO 31'!$C$2:$E$230,3,0),0)</f>
        <v>0</v>
      </c>
      <c r="G2497" s="18">
        <f t="shared" ref="G2497:G2509" si="68">SUM(C2497+D2497+E2497+F2497)</f>
        <v>0</v>
      </c>
    </row>
    <row r="2498" spans="1:7" ht="15.75" x14ac:dyDescent="0.25">
      <c r="A2498" s="15">
        <f>'PEDIDO 31'!$B$2</f>
        <v>0</v>
      </c>
      <c r="B2498" s="12" t="s">
        <v>465</v>
      </c>
      <c r="C2498" s="1">
        <f>IFERROR(VLOOKUP(1241,'PEDIDO 31'!$C$2:$E$230,3,0),0)</f>
        <v>0</v>
      </c>
      <c r="D2498" s="1">
        <f>IFERROR(VLOOKUP(1242,'PEDIDO 31'!$C$2:$E$230,3,0),0)</f>
        <v>0</v>
      </c>
      <c r="E2498" s="1">
        <f>IFERROR(VLOOKUP(1243,'PEDIDO 31'!$C$2:$E$230,3,0),0)</f>
        <v>0</v>
      </c>
      <c r="F2498" s="1">
        <f>IFERROR(VLOOKUP(1244,'PEDIDO 31'!$C$2:$E$230,3,0),0)</f>
        <v>0</v>
      </c>
      <c r="G2498" s="18">
        <f t="shared" si="68"/>
        <v>0</v>
      </c>
    </row>
    <row r="2499" spans="1:7" ht="15.75" x14ac:dyDescent="0.25">
      <c r="A2499" s="15">
        <f>'PEDIDO 31'!$B$2</f>
        <v>0</v>
      </c>
      <c r="B2499" s="12" t="s">
        <v>466</v>
      </c>
      <c r="C2499" s="1">
        <f>IFERROR(VLOOKUP(1245,'PEDIDO 31'!$C$2:$E$230,3,0),0)</f>
        <v>0</v>
      </c>
      <c r="D2499" s="1">
        <f>IFERROR(VLOOKUP(1246,'PEDIDO 31'!$C$2:$E$230,3,0),0)</f>
        <v>0</v>
      </c>
      <c r="E2499" s="1">
        <f>IFERROR(VLOOKUP(1247,'PEDIDO 31'!$C$2:$E$230,3,0),0)</f>
        <v>0</v>
      </c>
      <c r="F2499" s="1">
        <f>IFERROR(VLOOKUP(1248,'PEDIDO 31'!$C$2:$E$230,3,0),0)</f>
        <v>0</v>
      </c>
      <c r="G2499" s="18">
        <f t="shared" si="68"/>
        <v>0</v>
      </c>
    </row>
    <row r="2500" spans="1:7" ht="15.75" x14ac:dyDescent="0.25">
      <c r="A2500" s="15">
        <f>'PEDIDO 31'!$B$2</f>
        <v>0</v>
      </c>
      <c r="B2500" s="12" t="s">
        <v>467</v>
      </c>
      <c r="C2500" s="1">
        <f>IFERROR(VLOOKUP(25714,'PEDIDO 31'!$C$2:$E$230,3,0),0)</f>
        <v>0</v>
      </c>
      <c r="D2500" s="1"/>
      <c r="E2500" s="1"/>
      <c r="F2500" s="1"/>
      <c r="G2500" s="18">
        <f t="shared" si="68"/>
        <v>0</v>
      </c>
    </row>
    <row r="2501" spans="1:7" ht="15.75" x14ac:dyDescent="0.25">
      <c r="A2501" s="15">
        <f>'PEDIDO 31'!$B$2</f>
        <v>0</v>
      </c>
      <c r="B2501" s="12" t="s">
        <v>468</v>
      </c>
      <c r="C2501" s="1">
        <f>IFERROR(VLOOKUP(25712,'PEDIDO 31'!$C$2:$E$230,3,0),0)</f>
        <v>0</v>
      </c>
      <c r="D2501" s="1"/>
      <c r="E2501" s="1"/>
      <c r="F2501" s="1"/>
      <c r="G2501" s="18">
        <f t="shared" si="68"/>
        <v>0</v>
      </c>
    </row>
    <row r="2502" spans="1:7" ht="15.75" x14ac:dyDescent="0.25">
      <c r="A2502" s="15">
        <f>'PEDIDO 31'!$B$2</f>
        <v>0</v>
      </c>
      <c r="B2502" s="12" t="s">
        <v>469</v>
      </c>
      <c r="C2502" s="1">
        <f>IFERROR(VLOOKUP(25713,'PEDIDO 31'!$C$2:$E$230,3,0),0)</f>
        <v>0</v>
      </c>
      <c r="D2502" s="1"/>
      <c r="E2502" s="1"/>
      <c r="F2502" s="1"/>
      <c r="G2502" s="18">
        <f t="shared" si="68"/>
        <v>0</v>
      </c>
    </row>
    <row r="2503" spans="1:7" ht="15.75" x14ac:dyDescent="0.25">
      <c r="A2503" s="15">
        <f>'PEDIDO 31'!$B$2</f>
        <v>0</v>
      </c>
      <c r="B2503" s="12" t="s">
        <v>470</v>
      </c>
      <c r="C2503" s="1">
        <f>IFERROR(VLOOKUP(1260,'PEDIDO 31'!$C$2:$E$230,3,0),0)</f>
        <v>0</v>
      </c>
      <c r="D2503" s="1"/>
      <c r="E2503" s="1"/>
      <c r="F2503" s="1"/>
      <c r="G2503" s="18">
        <f t="shared" si="68"/>
        <v>0</v>
      </c>
    </row>
    <row r="2504" spans="1:7" ht="15.75" x14ac:dyDescent="0.25">
      <c r="A2504" s="15">
        <f>'PEDIDO 31'!$B$2</f>
        <v>0</v>
      </c>
      <c r="B2504" s="12" t="s">
        <v>471</v>
      </c>
      <c r="C2504" s="1">
        <f>IFERROR(VLOOKUP(1261,'PEDIDO 31'!$C$2:$E$230,3,0),0)</f>
        <v>0</v>
      </c>
      <c r="D2504" s="1"/>
      <c r="E2504" s="1"/>
      <c r="F2504" s="1"/>
      <c r="G2504" s="18">
        <f t="shared" si="68"/>
        <v>0</v>
      </c>
    </row>
    <row r="2505" spans="1:7" ht="15.75" x14ac:dyDescent="0.25">
      <c r="A2505" s="15">
        <f>'PEDIDO 31'!$B$2</f>
        <v>0</v>
      </c>
      <c r="B2505" s="12" t="s">
        <v>472</v>
      </c>
      <c r="C2505" s="1">
        <f>IFERROR(VLOOKUP(1262,'PEDIDO 31'!$C$2:$E$230,3,0),0)</f>
        <v>0</v>
      </c>
      <c r="D2505" s="1"/>
      <c r="E2505" s="1"/>
      <c r="F2505" s="1"/>
      <c r="G2505" s="18">
        <f t="shared" si="68"/>
        <v>0</v>
      </c>
    </row>
    <row r="2506" spans="1:7" ht="15.75" x14ac:dyDescent="0.25">
      <c r="A2506" s="15">
        <f>'PEDIDO 31'!$B$2</f>
        <v>0</v>
      </c>
      <c r="B2506" s="12" t="s">
        <v>473</v>
      </c>
      <c r="C2506" s="1">
        <f>IFERROR(VLOOKUP(1263,'PEDIDO 31'!$C$2:$E$230,3,0),0)</f>
        <v>0</v>
      </c>
      <c r="D2506" s="1"/>
      <c r="E2506" s="1"/>
      <c r="F2506" s="1"/>
      <c r="G2506" s="18">
        <f t="shared" si="68"/>
        <v>0</v>
      </c>
    </row>
    <row r="2507" spans="1:7" ht="15.75" x14ac:dyDescent="0.25">
      <c r="A2507" s="15">
        <f>'PEDIDO 31'!$B$2</f>
        <v>0</v>
      </c>
      <c r="B2507" s="12" t="s">
        <v>474</v>
      </c>
      <c r="C2507" s="1">
        <f>IFERROR(VLOOKUP(1264,'PEDIDO 31'!$C$2:$E$230,3,0),0)</f>
        <v>0</v>
      </c>
      <c r="D2507" s="1"/>
      <c r="E2507" s="1"/>
      <c r="F2507" s="1"/>
      <c r="G2507" s="18">
        <f t="shared" si="68"/>
        <v>0</v>
      </c>
    </row>
    <row r="2508" spans="1:7" ht="15.75" x14ac:dyDescent="0.25">
      <c r="A2508" s="15">
        <f>'PEDIDO 31'!$B$2</f>
        <v>0</v>
      </c>
      <c r="B2508" s="12" t="s">
        <v>475</v>
      </c>
      <c r="C2508" s="1">
        <f>IFERROR(VLOOKUP(1265,'PEDIDO 31'!$C$2:$E$230,3,0),0)</f>
        <v>0</v>
      </c>
      <c r="D2508" s="1"/>
      <c r="E2508" s="1"/>
      <c r="F2508" s="1"/>
      <c r="G2508" s="18">
        <f t="shared" si="68"/>
        <v>0</v>
      </c>
    </row>
    <row r="2509" spans="1:7" ht="15.75" x14ac:dyDescent="0.25">
      <c r="A2509" s="15">
        <f>'PEDIDO 31'!$B$2</f>
        <v>0</v>
      </c>
      <c r="B2509" s="12" t="s">
        <v>476</v>
      </c>
      <c r="C2509" s="1">
        <f>IFERROR(VLOOKUP(1266,'PEDIDO 31'!$C$2:$E$230,3,0),0)</f>
        <v>0</v>
      </c>
      <c r="D2509" s="1"/>
      <c r="E2509" s="1"/>
      <c r="F2509" s="1"/>
      <c r="G2509" s="18">
        <f t="shared" si="68"/>
        <v>0</v>
      </c>
    </row>
    <row r="2510" spans="1:7" ht="15.75" x14ac:dyDescent="0.25">
      <c r="A2510" s="15">
        <f>'PEDIDO 31'!$B$2</f>
        <v>0</v>
      </c>
      <c r="B2510" s="12" t="s">
        <v>477</v>
      </c>
      <c r="C2510" s="1">
        <f>IFERROR(VLOOKUP(1268,'PEDIDO 31'!$C$2:$E$230,3,0),0)</f>
        <v>0</v>
      </c>
      <c r="D2510" s="1">
        <f>IFERROR(VLOOKUP(1269,'PEDIDO 31'!$C$2:$E$230,3,0),0)</f>
        <v>0</v>
      </c>
      <c r="E2510" s="1">
        <f>IFERROR(VLOOKUP(1270,'PEDIDO 31'!$C$2:$E$230,3,0),0)</f>
        <v>0</v>
      </c>
      <c r="F2510" s="1">
        <f>IFERROR(VLOOKUP(1271,'PEDIDO 31'!$C$2:$E$230,3,0),0)</f>
        <v>0</v>
      </c>
      <c r="G2510" s="18">
        <f t="shared" ref="G2510" si="69">SUM(C2510+D2510+E2510+F2510)</f>
        <v>0</v>
      </c>
    </row>
    <row r="2513" spans="1:7" ht="15.75" x14ac:dyDescent="0.25">
      <c r="A2513" s="15">
        <f>'PEDIDO 32'!$B$2</f>
        <v>0</v>
      </c>
      <c r="B2513" s="12" t="s">
        <v>399</v>
      </c>
      <c r="C2513" s="1">
        <f>IFERROR(VLOOKUP(1,'PEDIDO 32'!$C$2:$E$230,3,0),0)</f>
        <v>0</v>
      </c>
      <c r="D2513" s="1">
        <f>IFERROR(VLOOKUP(2,'PEDIDO 32'!$C$2:$E$230,3,0),0)</f>
        <v>0</v>
      </c>
      <c r="E2513" s="1">
        <f>IFERROR(VLOOKUP(3,'PEDIDO 32'!$C$2:$E$230,3,0),0)</f>
        <v>0</v>
      </c>
      <c r="F2513" s="1">
        <f>IFERROR(VLOOKUP(282,'PEDIDO 32'!$C$2:$E$230,3,0),0)</f>
        <v>0</v>
      </c>
      <c r="G2513" s="18">
        <f>SUM(C2513+D2513+E2513+F2513)</f>
        <v>0</v>
      </c>
    </row>
    <row r="2514" spans="1:7" ht="15.75" x14ac:dyDescent="0.25">
      <c r="A2514" s="15">
        <f>'PEDIDO 32'!$B$2</f>
        <v>0</v>
      </c>
      <c r="B2514" s="12" t="s">
        <v>400</v>
      </c>
      <c r="C2514" s="1">
        <f>IFERROR(VLOOKUP(5,'PEDIDO 32'!$C$2:$E$230,3,0),0)</f>
        <v>0</v>
      </c>
      <c r="D2514" s="1">
        <f>IFERROR(VLOOKUP(6,'PEDIDO 32'!$C$2:$E$230,3,0),0)</f>
        <v>0</v>
      </c>
      <c r="E2514" s="1">
        <f>IFERROR(VLOOKUP(7,'PEDIDO 32'!$C$2:$E$230,3,0),0)</f>
        <v>0</v>
      </c>
      <c r="F2514" s="1">
        <f>IFERROR(VLOOKUP(258,'PEDIDO 32'!$C$2:$E$230,3,0),0)</f>
        <v>0</v>
      </c>
      <c r="G2514" s="18">
        <f t="shared" ref="G2514:G2577" si="70">SUM(C2514+D2514+E2514+F2514)</f>
        <v>0</v>
      </c>
    </row>
    <row r="2515" spans="1:7" ht="15.75" x14ac:dyDescent="0.25">
      <c r="A2515" s="15">
        <f>'PEDIDO 32'!$B$2</f>
        <v>0</v>
      </c>
      <c r="B2515" s="12" t="s">
        <v>401</v>
      </c>
      <c r="C2515" s="1">
        <f>IFERROR(VLOOKUP(13,'PEDIDO 32'!$C$2:$E$230,3,0),0)</f>
        <v>0</v>
      </c>
      <c r="D2515" s="1">
        <f>IFERROR(VLOOKUP(14,'PEDIDO 32'!$C$2:$E$230,3,0),0)</f>
        <v>0</v>
      </c>
      <c r="E2515" s="1">
        <f>IFERROR(VLOOKUP(15,'PEDIDO 32'!$C$2:$E$230,3,0),0)</f>
        <v>0</v>
      </c>
      <c r="F2515" s="1">
        <f>IFERROR(VLOOKUP(289,'PEDIDO 32'!$C$2:$E$230,3,0),0)</f>
        <v>0</v>
      </c>
      <c r="G2515" s="18">
        <f t="shared" si="70"/>
        <v>0</v>
      </c>
    </row>
    <row r="2516" spans="1:7" ht="15.75" x14ac:dyDescent="0.25">
      <c r="A2516" s="15">
        <f>'PEDIDO 32'!$B$2</f>
        <v>0</v>
      </c>
      <c r="B2516" s="12" t="s">
        <v>402</v>
      </c>
      <c r="C2516" s="1">
        <f>IFERROR(VLOOKUP(267,'PEDIDO 32'!$C$2:$E$230,3,0),0)</f>
        <v>0</v>
      </c>
      <c r="D2516" s="1">
        <f>IFERROR(VLOOKUP(268,'PEDIDO 32'!$C$2:$E$230,3,0),0)</f>
        <v>0</v>
      </c>
      <c r="E2516" s="1">
        <f>IFERROR(VLOOKUP(270,'PEDIDO 32'!$C$2:$E$230,3,0),0)</f>
        <v>0</v>
      </c>
      <c r="F2516" s="1">
        <f>IFERROR(VLOOKUP(269,'PEDIDO 32'!$C$2:$E$230,3,0),0)</f>
        <v>0</v>
      </c>
      <c r="G2516" s="18">
        <f t="shared" si="70"/>
        <v>0</v>
      </c>
    </row>
    <row r="2517" spans="1:7" ht="15.75" x14ac:dyDescent="0.25">
      <c r="A2517" s="15">
        <f>'PEDIDO 32'!$B$2</f>
        <v>0</v>
      </c>
      <c r="B2517" s="12" t="s">
        <v>403</v>
      </c>
      <c r="C2517" s="1">
        <f>IFERROR(VLOOKUP(17,'PEDIDO 32'!$C$2:$E$230,3,0),0)</f>
        <v>0</v>
      </c>
      <c r="D2517" s="1">
        <f>IFERROR(VLOOKUP(18,'PEDIDO 32'!$C$2:$E$230,3,0),0)</f>
        <v>0</v>
      </c>
      <c r="E2517" s="1">
        <f>IFERROR(VLOOKUP(19,'PEDIDO 32'!$C$2:$E$230,3,0),0)</f>
        <v>0</v>
      </c>
      <c r="F2517" s="1">
        <f>IFERROR(VLOOKUP(290,'PEDIDO 32'!$C$2:$E$230,3,0),0)</f>
        <v>0</v>
      </c>
      <c r="G2517" s="18">
        <f t="shared" si="70"/>
        <v>0</v>
      </c>
    </row>
    <row r="2518" spans="1:7" ht="15.75" x14ac:dyDescent="0.25">
      <c r="A2518" s="15">
        <f>'PEDIDO 32'!$B$2</f>
        <v>0</v>
      </c>
      <c r="B2518" s="12" t="s">
        <v>404</v>
      </c>
      <c r="C2518" s="1">
        <f>IFERROR(VLOOKUP(23,'PEDIDO 32'!$C$2:$E$230,3,0),0)</f>
        <v>0</v>
      </c>
      <c r="D2518" s="1">
        <f>IFERROR(VLOOKUP(24,'PEDIDO 32'!$C$2:$E$230,3,0),0)</f>
        <v>0</v>
      </c>
      <c r="E2518" s="1">
        <f>IFERROR(VLOOKUP(25,'PEDIDO 32'!$C$2:$E$230,3,0),0)</f>
        <v>0</v>
      </c>
      <c r="F2518" s="1">
        <f>IFERROR(VLOOKUP(291,'PEDIDO 32'!$C$2:$E$230,3,0),0)</f>
        <v>0</v>
      </c>
      <c r="G2518" s="18">
        <f t="shared" si="70"/>
        <v>0</v>
      </c>
    </row>
    <row r="2519" spans="1:7" ht="15.75" x14ac:dyDescent="0.25">
      <c r="A2519" s="15">
        <f>'PEDIDO 32'!$B$2</f>
        <v>0</v>
      </c>
      <c r="B2519" s="12" t="s">
        <v>405</v>
      </c>
      <c r="C2519" s="1">
        <f>IFERROR(VLOOKUP(27,'PEDIDO 32'!$C$2:$E$230,3,0),0)</f>
        <v>0</v>
      </c>
      <c r="D2519" s="1">
        <f>IFERROR(VLOOKUP(28,'PEDIDO 32'!$C$2:$E$230,3,0),0)</f>
        <v>0</v>
      </c>
      <c r="E2519" s="1">
        <f>IFERROR(VLOOKUP(29,'PEDIDO 32'!$C$2:$E$230,3,0),0)</f>
        <v>0</v>
      </c>
      <c r="F2519" s="1">
        <f>IFERROR(VLOOKUP(292,'PEDIDO 32'!$C$2:$E$230,3,0),0)</f>
        <v>0</v>
      </c>
      <c r="G2519" s="18">
        <f t="shared" si="70"/>
        <v>0</v>
      </c>
    </row>
    <row r="2520" spans="1:7" ht="15.75" x14ac:dyDescent="0.25">
      <c r="A2520" s="15">
        <f>'PEDIDO 32'!$B$2</f>
        <v>0</v>
      </c>
      <c r="B2520" s="12" t="s">
        <v>406</v>
      </c>
      <c r="C2520" s="1">
        <f>IFERROR(VLOOKUP(227,'PEDIDO 32'!$C$2:$E$230,3,0),0)</f>
        <v>0</v>
      </c>
      <c r="D2520" s="1">
        <f>IFERROR(VLOOKUP(228,'PEDIDO 32'!$C$2:$E$230,3,0),0)</f>
        <v>0</v>
      </c>
      <c r="E2520" s="1">
        <f>IFERROR(VLOOKUP(229,'PEDIDO 32'!$C$2:$E$230,3,0),0)</f>
        <v>0</v>
      </c>
      <c r="F2520" s="1">
        <f>IFERROR(VLOOKUP(230,'PEDIDO 32'!$C$2:$E$230,3,0),0)</f>
        <v>0</v>
      </c>
      <c r="G2520" s="18">
        <f t="shared" si="70"/>
        <v>0</v>
      </c>
    </row>
    <row r="2521" spans="1:7" ht="15.75" x14ac:dyDescent="0.25">
      <c r="A2521" s="15">
        <f>'PEDIDO 32'!$B$2</f>
        <v>0</v>
      </c>
      <c r="B2521" s="12" t="s">
        <v>407</v>
      </c>
      <c r="C2521" s="1">
        <f>IFERROR(VLOOKUP(231,'PEDIDO 32'!$C$2:$E$230,3,0),0)</f>
        <v>0</v>
      </c>
      <c r="D2521" s="1">
        <f>IFERROR(VLOOKUP(232,'PEDIDO 32'!$C$2:$E$230,3,0),0)</f>
        <v>0</v>
      </c>
      <c r="E2521" s="1">
        <f>IFERROR(VLOOKUP(234,'PEDIDO 32'!$C$2:$E$230,3,0),0)</f>
        <v>0</v>
      </c>
      <c r="F2521" s="1">
        <f>IFERROR(VLOOKUP(233,'PEDIDO 32'!$C$2:$E$230,3,0),0)</f>
        <v>0</v>
      </c>
      <c r="G2521" s="18">
        <f t="shared" si="70"/>
        <v>0</v>
      </c>
    </row>
    <row r="2522" spans="1:7" ht="15.75" x14ac:dyDescent="0.25">
      <c r="A2522" s="15">
        <f>'PEDIDO 32'!$B$2</f>
        <v>0</v>
      </c>
      <c r="B2522" s="12" t="s">
        <v>408</v>
      </c>
      <c r="C2522" s="1">
        <f>IFERROR(VLOOKUP(237,'PEDIDO 32'!$C$2:$E$230,3,0),0)</f>
        <v>0</v>
      </c>
      <c r="D2522" s="1">
        <f>IFERROR(VLOOKUP(238,'PEDIDO 32'!$C$2:$E$230,3,0),0)</f>
        <v>0</v>
      </c>
      <c r="E2522" s="1">
        <f>IFERROR(VLOOKUP(240,'PEDIDO 32'!$C$2:$E$230,3,0),0)</f>
        <v>0</v>
      </c>
      <c r="F2522" s="1">
        <f>IFERROR(VLOOKUP(239,'PEDIDO 32'!$C$2:$E$230,3,0),0)</f>
        <v>0</v>
      </c>
      <c r="G2522" s="18">
        <f t="shared" si="70"/>
        <v>0</v>
      </c>
    </row>
    <row r="2523" spans="1:7" ht="15.75" x14ac:dyDescent="0.25">
      <c r="A2523" s="15">
        <f>'PEDIDO 32'!$B$2</f>
        <v>0</v>
      </c>
      <c r="B2523" s="12" t="s">
        <v>409</v>
      </c>
      <c r="C2523" s="1">
        <f>IFERROR(VLOOKUP(25707,'PEDIDO 32'!$C$2:$E$230,3,0),0)</f>
        <v>0</v>
      </c>
      <c r="D2523" s="1">
        <f>IFERROR(VLOOKUP(25708,'PEDIDO 32'!$C$2:$E$230,3,0),0)</f>
        <v>0</v>
      </c>
      <c r="E2523" s="1">
        <f>IFERROR(VLOOKUP(25710,'PEDIDO 32'!$C$2:$E$230,3,0),0)</f>
        <v>0</v>
      </c>
      <c r="F2523" s="1">
        <f>IFERROR(VLOOKUP(25709,'PEDIDO 32'!$C$2:$E$230,3,0),0)</f>
        <v>0</v>
      </c>
      <c r="G2523" s="18">
        <f t="shared" si="70"/>
        <v>0</v>
      </c>
    </row>
    <row r="2524" spans="1:7" ht="15.75" x14ac:dyDescent="0.25">
      <c r="A2524" s="15">
        <f>'PEDIDO 32'!$B$2</f>
        <v>0</v>
      </c>
      <c r="B2524" s="12" t="s">
        <v>410</v>
      </c>
      <c r="C2524" s="1">
        <f>IFERROR(VLOOKUP(25711,'PEDIDO 32'!$C$2:$E$230,3,0),0)</f>
        <v>0</v>
      </c>
      <c r="D2524" s="1"/>
      <c r="E2524" s="1"/>
      <c r="F2524" s="1"/>
      <c r="G2524" s="18">
        <f t="shared" si="70"/>
        <v>0</v>
      </c>
    </row>
    <row r="2525" spans="1:7" ht="15.75" x14ac:dyDescent="0.25">
      <c r="A2525" s="15">
        <f>'PEDIDO 32'!$B$2</f>
        <v>0</v>
      </c>
      <c r="B2525" s="12" t="s">
        <v>411</v>
      </c>
      <c r="C2525" s="1">
        <f>IFERROR(VLOOKUP(35,'PEDIDO 32'!$C$2:$E$230,3,0),0)</f>
        <v>0</v>
      </c>
      <c r="D2525" s="1">
        <f>IFERROR(VLOOKUP(36,'PEDIDO 32'!$C$2:$E$230,3,0),0)</f>
        <v>0</v>
      </c>
      <c r="E2525" s="1">
        <f>IFERROR(VLOOKUP(37,'PEDIDO 32'!$C$2:$E$230,3,0),0)</f>
        <v>0</v>
      </c>
      <c r="F2525" s="1">
        <f>IFERROR(VLOOKUP(294,'PEDIDO 32'!$C$2:$E$230,3,0),0)</f>
        <v>0</v>
      </c>
      <c r="G2525" s="18">
        <f t="shared" si="70"/>
        <v>0</v>
      </c>
    </row>
    <row r="2526" spans="1:7" ht="15.75" x14ac:dyDescent="0.25">
      <c r="A2526" s="15">
        <f>'PEDIDO 32'!$B$2</f>
        <v>0</v>
      </c>
      <c r="B2526" s="12" t="s">
        <v>412</v>
      </c>
      <c r="C2526" s="1">
        <f>IFERROR(VLOOKUP(39,'PEDIDO 32'!$C$2:$E$230,3,0),0)</f>
        <v>0</v>
      </c>
      <c r="D2526" s="1">
        <f>IFERROR(VLOOKUP(40,'PEDIDO 32'!$C$2:$E$230,3,0),0)</f>
        <v>0</v>
      </c>
      <c r="E2526" s="1">
        <f>IFERROR(VLOOKUP(42,'PEDIDO 32'!$C$2:$E$230,3,0),0)</f>
        <v>0</v>
      </c>
      <c r="F2526" s="1">
        <f>IFERROR(VLOOKUP(295,'PEDIDO 32'!$C$2:$E$230,3,0),0)</f>
        <v>0</v>
      </c>
      <c r="G2526" s="18">
        <f t="shared" si="70"/>
        <v>0</v>
      </c>
    </row>
    <row r="2527" spans="1:7" ht="15.75" x14ac:dyDescent="0.25">
      <c r="A2527" s="15">
        <f>'PEDIDO 32'!$B$2</f>
        <v>0</v>
      </c>
      <c r="B2527" s="12" t="s">
        <v>413</v>
      </c>
      <c r="C2527" s="1">
        <f>IFERROR(VLOOKUP(44,'PEDIDO 32'!$C$2:$E$230,3,0),0)</f>
        <v>0</v>
      </c>
      <c r="D2527" s="1">
        <f>IFERROR(VLOOKUP(45,'PEDIDO 32'!$C$2:$E$230,3,0),0)</f>
        <v>0</v>
      </c>
      <c r="E2527" s="1">
        <f>IFERROR(VLOOKUP(46,'PEDIDO 32'!$C$2:$E$230,3,0),0)</f>
        <v>0</v>
      </c>
      <c r="F2527" s="1">
        <f>IFERROR(VLOOKUP(283,'PEDIDO 32'!$C$2:$E$230,3,0),0)</f>
        <v>0</v>
      </c>
      <c r="G2527" s="18">
        <f t="shared" si="70"/>
        <v>0</v>
      </c>
    </row>
    <row r="2528" spans="1:7" ht="15.75" x14ac:dyDescent="0.25">
      <c r="A2528" s="15">
        <f>'PEDIDO 32'!$B$2</f>
        <v>0</v>
      </c>
      <c r="B2528" s="12" t="s">
        <v>414</v>
      </c>
      <c r="C2528" s="1">
        <f>IFERROR(VLOOKUP(48,'PEDIDO 32'!$C$2:$E$230,3,0),0)</f>
        <v>0</v>
      </c>
      <c r="D2528" s="1">
        <f>IFERROR(VLOOKUP(49,'PEDIDO 32'!$C$2:$E$230,3,0),0)</f>
        <v>0</v>
      </c>
      <c r="E2528" s="1">
        <f>IFERROR(VLOOKUP(50,'PEDIDO 32'!$C$2:$E$230,3,0),0)</f>
        <v>0</v>
      </c>
      <c r="F2528" s="1">
        <f>IFERROR(VLOOKUP(298,'PEDIDO 32'!$C$2:$E$230,3,0),0)</f>
        <v>0</v>
      </c>
      <c r="G2528" s="18">
        <f t="shared" si="70"/>
        <v>0</v>
      </c>
    </row>
    <row r="2529" spans="1:7" ht="15.75" x14ac:dyDescent="0.25">
      <c r="A2529" s="15">
        <f>'PEDIDO 32'!$B$2</f>
        <v>0</v>
      </c>
      <c r="B2529" s="12" t="s">
        <v>415</v>
      </c>
      <c r="C2529" s="1">
        <f>IFERROR(VLOOKUP(52,'PEDIDO 32'!$C$2:$E$230,3,0),0)</f>
        <v>0</v>
      </c>
      <c r="D2529" s="1">
        <f>IFERROR(VLOOKUP(53,'PEDIDO 32'!$C$2:$E$230,3,0),0)</f>
        <v>0</v>
      </c>
      <c r="E2529" s="1">
        <f>IFERROR(VLOOKUP(54,'PEDIDO 32'!$C$2:$E$230,3,0),0)</f>
        <v>0</v>
      </c>
      <c r="F2529" s="1">
        <f>IFERROR(VLOOKUP(299,'PEDIDO 32'!$C$2:$E$230,3,0),0)</f>
        <v>0</v>
      </c>
      <c r="G2529" s="18">
        <f t="shared" si="70"/>
        <v>0</v>
      </c>
    </row>
    <row r="2530" spans="1:7" ht="15.75" x14ac:dyDescent="0.25">
      <c r="A2530" s="15">
        <f>'PEDIDO 32'!$B$2</f>
        <v>0</v>
      </c>
      <c r="B2530" s="12" t="s">
        <v>416</v>
      </c>
      <c r="C2530" s="1">
        <f>IFERROR(VLOOKUP(56,'PEDIDO 32'!$C$2:$E$230,3,0),0)</f>
        <v>0</v>
      </c>
      <c r="D2530" s="1">
        <f>IFERROR(VLOOKUP(61,'PEDIDO 32'!$C$2:$E$230,3,0),0)</f>
        <v>0</v>
      </c>
      <c r="E2530" s="1">
        <f>IFERROR(VLOOKUP(58,'PEDIDO 32'!$C$2:$E$230,3,0),0)</f>
        <v>0</v>
      </c>
      <c r="F2530" s="1">
        <f>IFERROR(VLOOKUP(300,'PEDIDO 32'!$C$2:$E$230,3,0),0)</f>
        <v>0</v>
      </c>
      <c r="G2530" s="18">
        <f t="shared" si="70"/>
        <v>0</v>
      </c>
    </row>
    <row r="2531" spans="1:7" ht="15.75" x14ac:dyDescent="0.25">
      <c r="A2531" s="15">
        <f>'PEDIDO 32'!$B$2</f>
        <v>0</v>
      </c>
      <c r="B2531" s="12" t="s">
        <v>417</v>
      </c>
      <c r="C2531" s="1">
        <f>IFERROR(VLOOKUP(60,'PEDIDO 32'!$C$2:$E$230,3,0),0)</f>
        <v>0</v>
      </c>
      <c r="D2531" s="1">
        <f>IFERROR(VLOOKUP(120,'PEDIDO 32'!$C$2:$E$230,3,0),0)</f>
        <v>0</v>
      </c>
      <c r="E2531" s="1">
        <f>IFERROR(VLOOKUP(62,'PEDIDO 32'!$C$2:$E$230,3,0),0)</f>
        <v>0</v>
      </c>
      <c r="F2531" s="1">
        <f>IFERROR(VLOOKUP(301,'PEDIDO 32'!$C$2:$E$230,3,0),0)</f>
        <v>0</v>
      </c>
      <c r="G2531" s="18">
        <f t="shared" si="70"/>
        <v>0</v>
      </c>
    </row>
    <row r="2532" spans="1:7" ht="15.75" x14ac:dyDescent="0.25">
      <c r="A2532" s="15">
        <f>'PEDIDO 32'!$B$2</f>
        <v>0</v>
      </c>
      <c r="B2532" s="12" t="s">
        <v>426</v>
      </c>
      <c r="C2532" s="1">
        <f>IFERROR(VLOOKUP(112,'PEDIDO 32'!$C$2:$E$230,3,0),0)</f>
        <v>0</v>
      </c>
      <c r="D2532" s="1">
        <f>IFERROR(VLOOKUP(113,'PEDIDO 32'!$C$2:$E$230,3,0),0)</f>
        <v>0</v>
      </c>
      <c r="E2532" s="1">
        <f>IFERROR(VLOOKUP(114,'PEDIDO 32'!$C$2:$E$230,3,0),0)</f>
        <v>0</v>
      </c>
      <c r="F2532" s="1">
        <f>IFERROR(VLOOKUP(296,'PEDIDO 32'!$C$2:$E$230,3,0),0)</f>
        <v>0</v>
      </c>
      <c r="G2532" s="18">
        <f t="shared" si="70"/>
        <v>0</v>
      </c>
    </row>
    <row r="2533" spans="1:7" ht="15.75" x14ac:dyDescent="0.25">
      <c r="A2533" s="15">
        <f>'PEDIDO 32'!$B$2</f>
        <v>0</v>
      </c>
      <c r="B2533" s="12" t="s">
        <v>427</v>
      </c>
      <c r="C2533" s="1">
        <f>IFERROR(VLOOKUP(116,'PEDIDO 32'!$C$2:$E$230,3,0),0)</f>
        <v>0</v>
      </c>
      <c r="D2533" s="1">
        <f>IFERROR(VLOOKUP(117,'PEDIDO 32'!$C$2:$E$230,3,0),0)</f>
        <v>0</v>
      </c>
      <c r="E2533" s="1">
        <f>IFERROR(VLOOKUP(118,'PEDIDO 32'!$C$2:$E$230,3,0),0)</f>
        <v>0</v>
      </c>
      <c r="F2533" s="1">
        <f>IFERROR(VLOOKUP(293,'PEDIDO 32'!$C$2:$E$230,3,0),0)</f>
        <v>0</v>
      </c>
      <c r="G2533" s="18">
        <f t="shared" si="70"/>
        <v>0</v>
      </c>
    </row>
    <row r="2534" spans="1:7" ht="15.75" x14ac:dyDescent="0.25">
      <c r="A2534" s="15">
        <f>'PEDIDO 32'!$B$2</f>
        <v>0</v>
      </c>
      <c r="B2534" s="12" t="s">
        <v>418</v>
      </c>
      <c r="C2534" s="1">
        <f>IFERROR(VLOOKUP(963,'PEDIDO 32'!$C$2:$E$230,3,0),0)</f>
        <v>0</v>
      </c>
      <c r="D2534" s="1">
        <f>IFERROR(VLOOKUP(965,'PEDIDO 32'!$C$2:$E$230,3,0),0)</f>
        <v>0</v>
      </c>
      <c r="E2534" s="1">
        <f>IFERROR(VLOOKUP(966,'PEDIDO 32'!$C$2:$E$230,3,0),0)</f>
        <v>0</v>
      </c>
      <c r="F2534" s="1">
        <f>IFERROR(VLOOKUP(964,'PEDIDO 32'!$C$2:$E$230,3,0),0)</f>
        <v>0</v>
      </c>
      <c r="G2534" s="18">
        <f t="shared" si="70"/>
        <v>0</v>
      </c>
    </row>
    <row r="2535" spans="1:7" ht="15.75" x14ac:dyDescent="0.25">
      <c r="A2535" s="15">
        <f>'PEDIDO 32'!$B$2</f>
        <v>0</v>
      </c>
      <c r="B2535" s="12" t="s">
        <v>419</v>
      </c>
      <c r="C2535" s="1">
        <f>IFERROR(VLOOKUP(2042,'PEDIDO 32'!$C$2:$E$230,3,0),0)</f>
        <v>0</v>
      </c>
      <c r="D2535" s="1">
        <f>IFERROR(VLOOKUP(2041,'PEDIDO 32'!$C$2:$E$230,3,0),0)</f>
        <v>0</v>
      </c>
      <c r="E2535" s="1">
        <f>IFERROR(VLOOKUP(2043,'PEDIDO 32'!$C$2:$E$230,3,0),0)</f>
        <v>0</v>
      </c>
      <c r="F2535" s="1">
        <f>IFERROR(VLOOKUP(2040,'PEDIDO 32'!$C$2:$E$230,3,0),0)</f>
        <v>0</v>
      </c>
      <c r="G2535" s="18">
        <f t="shared" si="70"/>
        <v>0</v>
      </c>
    </row>
    <row r="2536" spans="1:7" ht="15.75" x14ac:dyDescent="0.25">
      <c r="A2536" s="15">
        <f>'PEDIDO 32'!$B$2</f>
        <v>0</v>
      </c>
      <c r="B2536" s="12" t="s">
        <v>420</v>
      </c>
      <c r="C2536" s="1">
        <f>IFERROR(VLOOKUP(2045,'PEDIDO 32'!$C$2:$E$230,3,0),0)</f>
        <v>0</v>
      </c>
      <c r="D2536" s="1">
        <f>IFERROR(VLOOKUP(2046,'PEDIDO 32'!$C$2:$E$230,3,0),0)</f>
        <v>0</v>
      </c>
      <c r="E2536" s="1">
        <f>IFERROR(VLOOKUP(2047,'PEDIDO 32'!$C$2:$E$230,3,0),0)</f>
        <v>0</v>
      </c>
      <c r="F2536" s="1">
        <f>IFERROR(VLOOKUP(2048,'PEDIDO 32'!$C$2:$E$230,3,0),0)</f>
        <v>0</v>
      </c>
      <c r="G2536" s="18">
        <f t="shared" si="70"/>
        <v>0</v>
      </c>
    </row>
    <row r="2537" spans="1:7" ht="15.75" x14ac:dyDescent="0.25">
      <c r="A2537" s="15">
        <f>'PEDIDO 32'!$B$2</f>
        <v>0</v>
      </c>
      <c r="B2537" s="12" t="s">
        <v>421</v>
      </c>
      <c r="C2537" s="1">
        <f>IFERROR(VLOOKUP(2050,'PEDIDO 32'!$C$2:$E$230,3,0),0)</f>
        <v>0</v>
      </c>
      <c r="D2537" s="1">
        <f>IFERROR(VLOOKUP(2051,'PEDIDO 32'!$C$2:$E$230,3,0),0)</f>
        <v>0</v>
      </c>
      <c r="E2537" s="1">
        <f>IFERROR(VLOOKUP(2052,'PEDIDO 32'!$C$2:$E$230,3,0),0)</f>
        <v>0</v>
      </c>
      <c r="F2537" s="1">
        <f>IFERROR(VLOOKUP(2053,'PEDIDO 32'!$C$2:$E$230,3,0),0)</f>
        <v>0</v>
      </c>
      <c r="G2537" s="18">
        <f t="shared" si="70"/>
        <v>0</v>
      </c>
    </row>
    <row r="2538" spans="1:7" ht="15.75" x14ac:dyDescent="0.25">
      <c r="A2538" s="15">
        <f>'PEDIDO 32'!$B$2</f>
        <v>0</v>
      </c>
      <c r="B2538" s="12" t="s">
        <v>422</v>
      </c>
      <c r="C2538" s="1">
        <f>IFERROR(VLOOKUP(216,'PEDIDO 32'!$C$2:$E$230,3,0),0)</f>
        <v>0</v>
      </c>
      <c r="D2538" s="1">
        <f>IFERROR(VLOOKUP(217,'PEDIDO 32'!$C$2:$E$230,3,0),0)</f>
        <v>0</v>
      </c>
      <c r="E2538" s="1">
        <f>IFERROR(VLOOKUP(218,'PEDIDO 32'!$C$2:$E$230,3,0),0)</f>
        <v>0</v>
      </c>
      <c r="F2538" s="1">
        <f>IFERROR(VLOOKUP(305,'PEDIDO 32'!$C$2:$E$230,3,0),0)</f>
        <v>0</v>
      </c>
      <c r="G2538" s="18">
        <f t="shared" si="70"/>
        <v>0</v>
      </c>
    </row>
    <row r="2539" spans="1:7" ht="15.75" x14ac:dyDescent="0.25">
      <c r="A2539" s="15">
        <f>'PEDIDO 32'!$B$2</f>
        <v>0</v>
      </c>
      <c r="B2539" s="12" t="s">
        <v>423</v>
      </c>
      <c r="C2539" s="1">
        <f>IFERROR(VLOOKUP(100,'PEDIDO 32'!$C$2:$E$230,3,0),0)</f>
        <v>0</v>
      </c>
      <c r="D2539" s="1">
        <f>IFERROR(VLOOKUP(101,'PEDIDO 32'!$C$2:$E$230,3,0),0)</f>
        <v>0</v>
      </c>
      <c r="E2539" s="1">
        <f>IFERROR(VLOOKUP(102,'PEDIDO 32'!$C$2:$E$230,3,0),0)</f>
        <v>0</v>
      </c>
      <c r="F2539" s="1">
        <f>IFERROR(VLOOKUP(306,'PEDIDO 32'!$C$2:$E$230,3,0),0)</f>
        <v>0</v>
      </c>
      <c r="G2539" s="18">
        <f t="shared" si="70"/>
        <v>0</v>
      </c>
    </row>
    <row r="2540" spans="1:7" ht="15.75" x14ac:dyDescent="0.25">
      <c r="A2540" s="15">
        <f>'PEDIDO 32'!$B$2</f>
        <v>0</v>
      </c>
      <c r="B2540" s="12" t="s">
        <v>424</v>
      </c>
      <c r="C2540" s="1">
        <f>IFERROR(VLOOKUP(104,'PEDIDO 32'!$C$2:$E$230,3,0),0)</f>
        <v>0</v>
      </c>
      <c r="D2540" s="1">
        <f>IFERROR(VLOOKUP(105,'PEDIDO 32'!$C$2:$E$230,3,0),0)</f>
        <v>0</v>
      </c>
      <c r="E2540" s="1">
        <f>IFERROR(VLOOKUP(106,'PEDIDO 32'!$C$2:$E$230,3,0),0)</f>
        <v>0</v>
      </c>
      <c r="F2540" s="1">
        <f>IFERROR(VLOOKUP(307,'PEDIDO 32'!$C$2:$E$230,3,0),0)</f>
        <v>0</v>
      </c>
      <c r="G2540" s="18">
        <f t="shared" si="70"/>
        <v>0</v>
      </c>
    </row>
    <row r="2541" spans="1:7" ht="15.75" x14ac:dyDescent="0.25">
      <c r="A2541" s="15">
        <f>'PEDIDO 32'!$B$2</f>
        <v>0</v>
      </c>
      <c r="B2541" s="12" t="s">
        <v>425</v>
      </c>
      <c r="C2541" s="1">
        <f>IFERROR(VLOOKUP(400,'PEDIDO 32'!$C$2:$E$230,3,0),0)</f>
        <v>0</v>
      </c>
      <c r="D2541" s="1">
        <f>IFERROR(VLOOKUP(401,'PEDIDO 32'!$C$2:$E$230,3,0),0)</f>
        <v>0</v>
      </c>
      <c r="E2541" s="1">
        <f>IFERROR(VLOOKUP(402,'PEDIDO 32'!$C$2:$E$230,3,0),0)</f>
        <v>0</v>
      </c>
      <c r="F2541" s="1">
        <f>IFERROR(VLOOKUP(403,'PEDIDO 32'!$C$2:$E$230,3,0),0)</f>
        <v>0</v>
      </c>
      <c r="G2541" s="18">
        <f t="shared" si="70"/>
        <v>0</v>
      </c>
    </row>
    <row r="2542" spans="1:7" ht="15.75" x14ac:dyDescent="0.25">
      <c r="A2542" s="15">
        <f>'PEDIDO 32'!$B$2</f>
        <v>0</v>
      </c>
      <c r="B2542" s="12" t="s">
        <v>428</v>
      </c>
      <c r="C2542" s="1">
        <f>IFERROR(VLOOKUP(22,'PEDIDO 32'!$C$2:$E$230,3,0),0)</f>
        <v>0</v>
      </c>
      <c r="D2542" s="1"/>
      <c r="E2542" s="1"/>
      <c r="F2542" s="1"/>
      <c r="G2542" s="18">
        <f t="shared" si="70"/>
        <v>0</v>
      </c>
    </row>
    <row r="2543" spans="1:7" ht="15.75" x14ac:dyDescent="0.25">
      <c r="A2543" s="15">
        <f>'PEDIDO 32'!$B$2</f>
        <v>0</v>
      </c>
      <c r="B2543" s="12" t="s">
        <v>429</v>
      </c>
      <c r="C2543" s="1">
        <f>IFERROR(VLOOKUP(21,'PEDIDO 32'!$C$2:$E$230,3,0),0)</f>
        <v>0</v>
      </c>
      <c r="D2543" s="1"/>
      <c r="E2543" s="1"/>
      <c r="F2543" s="1"/>
      <c r="G2543" s="18">
        <f t="shared" si="70"/>
        <v>0</v>
      </c>
    </row>
    <row r="2544" spans="1:7" ht="15.75" x14ac:dyDescent="0.25">
      <c r="A2544" s="15">
        <f>'PEDIDO 32'!$B$2</f>
        <v>0</v>
      </c>
      <c r="B2544" s="12" t="s">
        <v>430</v>
      </c>
      <c r="C2544" s="1">
        <f>IFERROR(VLOOKUP(1125,'PEDIDO 32'!$C$2:$E$230,3,0),0)</f>
        <v>0</v>
      </c>
      <c r="D2544" s="1">
        <f>IFERROR(VLOOKUP(1126,'PEDIDO 32'!$C$2:$E$230,3,0),0)</f>
        <v>0</v>
      </c>
      <c r="E2544" s="1">
        <f>IFERROR(VLOOKUP(1127,'PEDIDO 32'!$C$2:$E$230,3,0),0)</f>
        <v>0</v>
      </c>
      <c r="F2544" s="1">
        <f>IFERROR(VLOOKUP(1128,'PEDIDO 32'!$C$2:$E$230,3,0),0)</f>
        <v>0</v>
      </c>
      <c r="G2544" s="18">
        <f t="shared" si="70"/>
        <v>0</v>
      </c>
    </row>
    <row r="2545" spans="1:7" ht="15.75" x14ac:dyDescent="0.25">
      <c r="A2545" s="15">
        <f>'PEDIDO 32'!$B$2</f>
        <v>0</v>
      </c>
      <c r="B2545" s="12" t="s">
        <v>431</v>
      </c>
      <c r="C2545" s="1">
        <f>IFERROR(VLOOKUP(1133,'PEDIDO 32'!$C$2:$E$230,3,0),0)</f>
        <v>0</v>
      </c>
      <c r="D2545" s="1">
        <f>IFERROR(VLOOKUP(1134,'PEDIDO 32'!$C$2:$E$230,3,0),0)</f>
        <v>0</v>
      </c>
      <c r="E2545" s="1">
        <f>IFERROR(VLOOKUP(1135,'PEDIDO 32'!$C$2:$E$230,3,0),0)</f>
        <v>0</v>
      </c>
      <c r="F2545" s="1">
        <f>IFERROR(VLOOKUP(1136,'PEDIDO 32'!$C$2:$E$230,3,0),0)</f>
        <v>0</v>
      </c>
      <c r="G2545" s="18">
        <f t="shared" si="70"/>
        <v>0</v>
      </c>
    </row>
    <row r="2546" spans="1:7" ht="15.75" x14ac:dyDescent="0.25">
      <c r="A2546" s="15">
        <f>'PEDIDO 32'!$B$2</f>
        <v>0</v>
      </c>
      <c r="B2546" s="12" t="s">
        <v>432</v>
      </c>
      <c r="C2546" s="1">
        <f>IFERROR(VLOOKUP(1105,'PEDIDO 32'!$C$2:$E$230,3,0),0)</f>
        <v>0</v>
      </c>
      <c r="D2546" s="1">
        <f>IFERROR(VLOOKUP(1106,'PEDIDO 32'!$C$2:$E$230,3,0),0)</f>
        <v>0</v>
      </c>
      <c r="E2546" s="1">
        <f>IFERROR(VLOOKUP(1107,'PEDIDO 32'!$C$2:$E$230,3,0),0)</f>
        <v>0</v>
      </c>
      <c r="F2546" s="1">
        <f>IFERROR(VLOOKUP(1108,'PEDIDO 32'!$C$2:$E$230,3,0),0)</f>
        <v>0</v>
      </c>
      <c r="G2546" s="18">
        <f t="shared" si="70"/>
        <v>0</v>
      </c>
    </row>
    <row r="2547" spans="1:7" ht="15.75" x14ac:dyDescent="0.25">
      <c r="A2547" s="15">
        <f>'PEDIDO 32'!$B$2</f>
        <v>0</v>
      </c>
      <c r="B2547" s="12" t="s">
        <v>433</v>
      </c>
      <c r="C2547" s="1">
        <f>IFERROR(VLOOKUP(1109,'PEDIDO 32'!$C$2:$E$230,3,0),0)</f>
        <v>0</v>
      </c>
      <c r="D2547" s="1">
        <f>IFERROR(VLOOKUP(1110,'PEDIDO 32'!$C$2:$E$230,3,0),0)</f>
        <v>0</v>
      </c>
      <c r="E2547" s="1">
        <f>IFERROR(VLOOKUP(1111,'PEDIDO 32'!$C$2:$E$230,3,0),0)</f>
        <v>0</v>
      </c>
      <c r="F2547" s="1">
        <f>IFERROR(VLOOKUP(1112,'PEDIDO 32'!$C$2:$E$230,3,0),0)</f>
        <v>0</v>
      </c>
      <c r="G2547" s="18">
        <f t="shared" si="70"/>
        <v>0</v>
      </c>
    </row>
    <row r="2548" spans="1:7" ht="15.75" x14ac:dyDescent="0.25">
      <c r="A2548" s="15">
        <f>'PEDIDO 32'!$B$2</f>
        <v>0</v>
      </c>
      <c r="B2548" s="12" t="s">
        <v>434</v>
      </c>
      <c r="C2548" s="1">
        <f>IFERROR(VLOOKUP(1113,'PEDIDO 32'!$C$2:$E$230,3,0),0)</f>
        <v>0</v>
      </c>
      <c r="D2548" s="1">
        <f>IFERROR(VLOOKUP(1114,'PEDIDO 32'!$C$2:$E$230,3,0),0)</f>
        <v>0</v>
      </c>
      <c r="E2548" s="1">
        <f>IFERROR(VLOOKUP(1115,'PEDIDO 32'!$C$2:$E$230,3,0),0)</f>
        <v>0</v>
      </c>
      <c r="F2548" s="1">
        <f>IFERROR(VLOOKUP(1116,'PEDIDO 32'!$C$2:$E$230,3,0),0)</f>
        <v>0</v>
      </c>
      <c r="G2548" s="18">
        <f t="shared" si="70"/>
        <v>0</v>
      </c>
    </row>
    <row r="2549" spans="1:7" ht="15.75" x14ac:dyDescent="0.25">
      <c r="A2549" s="15">
        <f>'PEDIDO 32'!$B$2</f>
        <v>0</v>
      </c>
      <c r="B2549" s="12" t="s">
        <v>435</v>
      </c>
      <c r="C2549" s="1">
        <f>IFERROR(VLOOKUP(1117,'PEDIDO 32'!$C$2:$E$230,3,0),0)</f>
        <v>0</v>
      </c>
      <c r="D2549" s="1">
        <f>IFERROR(VLOOKUP(1118,'PEDIDO 32'!$C$2:$E$230,3,0),0)</f>
        <v>0</v>
      </c>
      <c r="E2549" s="1">
        <f>IFERROR(VLOOKUP(1119,'PEDIDO 32'!$C$2:$E$230,3,0),0)</f>
        <v>0</v>
      </c>
      <c r="F2549" s="1">
        <f>IFERROR(VLOOKUP(1120,'PEDIDO 32'!$C$2:$E$230,3,0),0)</f>
        <v>0</v>
      </c>
      <c r="G2549" s="18">
        <f t="shared" si="70"/>
        <v>0</v>
      </c>
    </row>
    <row r="2550" spans="1:7" ht="15.75" x14ac:dyDescent="0.25">
      <c r="A2550" s="15">
        <f>'PEDIDO 32'!$B$2</f>
        <v>0</v>
      </c>
      <c r="B2550" s="12" t="s">
        <v>436</v>
      </c>
      <c r="C2550" s="1">
        <f>IFERROR(VLOOKUP(1121,'PEDIDO 32'!$C$2:$E$230,3,0),0)</f>
        <v>0</v>
      </c>
      <c r="D2550" s="1">
        <f>IFERROR(VLOOKUP(1122,'PEDIDO 32'!$C$2:$E$230,3,0),0)</f>
        <v>0</v>
      </c>
      <c r="E2550" s="1">
        <f>IFERROR(VLOOKUP(1123,'PEDIDO 32'!$C$2:$E$230,3,0),0)</f>
        <v>0</v>
      </c>
      <c r="F2550" s="1">
        <f>IFERROR(VLOOKUP(1124,'PEDIDO 32'!$C$2:$E$230,3,0),0)</f>
        <v>0</v>
      </c>
      <c r="G2550" s="18">
        <f t="shared" si="70"/>
        <v>0</v>
      </c>
    </row>
    <row r="2551" spans="1:7" ht="15.75" x14ac:dyDescent="0.25">
      <c r="A2551" s="15">
        <f>'PEDIDO 32'!$B$2</f>
        <v>0</v>
      </c>
      <c r="B2551" s="12" t="s">
        <v>437</v>
      </c>
      <c r="C2551" s="1">
        <f>IFERROR(VLOOKUP(1129,'PEDIDO 32'!$C$2:$E$230,3,0),0)</f>
        <v>0</v>
      </c>
      <c r="D2551" s="1">
        <f>IFERROR(VLOOKUP(1130,'PEDIDO 32'!$C$2:$E$230,3,0),0)</f>
        <v>0</v>
      </c>
      <c r="E2551" s="1">
        <f>IFERROR(VLOOKUP(1131,'PEDIDO 32'!$C$2:$E$230,3,0),0)</f>
        <v>0</v>
      </c>
      <c r="F2551" s="1">
        <f>IFERROR(VLOOKUP(1132,'PEDIDO 32'!$C$2:$E$230,3,0),0)</f>
        <v>0</v>
      </c>
      <c r="G2551" s="18">
        <f t="shared" si="70"/>
        <v>0</v>
      </c>
    </row>
    <row r="2552" spans="1:7" ht="15.75" x14ac:dyDescent="0.25">
      <c r="A2552" s="15">
        <f>'PEDIDO 32'!$B$2</f>
        <v>0</v>
      </c>
      <c r="B2552" s="12" t="s">
        <v>438</v>
      </c>
      <c r="C2552" s="1">
        <f>IFERROR(VLOOKUP(1137,'PEDIDO 32'!$C$2:$E$230,3,0),0)</f>
        <v>0</v>
      </c>
      <c r="D2552" s="1">
        <f>IFERROR(VLOOKUP(1138,'PEDIDO 32'!$C$2:$E$230,3,0),0)</f>
        <v>0</v>
      </c>
      <c r="E2552" s="1">
        <f>IFERROR(VLOOKUP(1139,'PEDIDO 32'!$C$2:$E$230,3,0),0)</f>
        <v>0</v>
      </c>
      <c r="F2552" s="1">
        <f>IFERROR(VLOOKUP(1140,'PEDIDO 32'!$C$2:$E$230,3,0),0)</f>
        <v>0</v>
      </c>
      <c r="G2552" s="18">
        <f t="shared" si="70"/>
        <v>0</v>
      </c>
    </row>
    <row r="2553" spans="1:7" ht="15.75" x14ac:dyDescent="0.25">
      <c r="A2553" s="15">
        <f>'PEDIDO 32'!$B$2</f>
        <v>0</v>
      </c>
      <c r="B2553" s="12" t="s">
        <v>439</v>
      </c>
      <c r="C2553" s="1">
        <f>IFERROR(VLOOKUP(1141,'PEDIDO 32'!$C$2:$E$230,3,0),0)</f>
        <v>0</v>
      </c>
      <c r="D2553" s="1">
        <f>IFERROR(VLOOKUP(1142,'PEDIDO 32'!$C$2:$E$230,3,0),0)</f>
        <v>0</v>
      </c>
      <c r="E2553" s="1">
        <f>IFERROR(VLOOKUP(1143,'PEDIDO 32'!$C$2:$E$230,3,0),0)</f>
        <v>0</v>
      </c>
      <c r="F2553" s="1">
        <f>IFERROR(VLOOKUP(1144,'PEDIDO 32'!$C$2:$E$230,3,0),0)</f>
        <v>0</v>
      </c>
      <c r="G2553" s="18">
        <f t="shared" si="70"/>
        <v>0</v>
      </c>
    </row>
    <row r="2554" spans="1:7" ht="15.75" x14ac:dyDescent="0.25">
      <c r="A2554" s="15">
        <f>'PEDIDO 32'!$B$2</f>
        <v>0</v>
      </c>
      <c r="B2554" s="12" t="s">
        <v>440</v>
      </c>
      <c r="C2554" s="1">
        <f>IFERROR(VLOOKUP(1145,'PEDIDO 32'!$C$2:$E$230,3,0),0)</f>
        <v>0</v>
      </c>
      <c r="D2554" s="1">
        <f>IFERROR(VLOOKUP(1146,'PEDIDO 32'!$C$2:$E$230,3,0),0)</f>
        <v>0</v>
      </c>
      <c r="E2554" s="1">
        <f>IFERROR(VLOOKUP(1147,'PEDIDO 32'!$C$2:$E$230,3,0),0)</f>
        <v>0</v>
      </c>
      <c r="F2554" s="1">
        <f>IFERROR(VLOOKUP(1148,'PEDIDO 32'!$C$2:$E$230,3,0),0)</f>
        <v>0</v>
      </c>
      <c r="G2554" s="18">
        <f t="shared" si="70"/>
        <v>0</v>
      </c>
    </row>
    <row r="2555" spans="1:7" ht="15.75" x14ac:dyDescent="0.25">
      <c r="A2555" s="15">
        <f>'PEDIDO 32'!$B$2</f>
        <v>0</v>
      </c>
      <c r="B2555" s="12" t="s">
        <v>441</v>
      </c>
      <c r="C2555" s="1">
        <f>IFERROR(VLOOKUP(1149,'PEDIDO 32'!$C$2:$E$230,3,0),0)</f>
        <v>0</v>
      </c>
      <c r="D2555" s="1">
        <f>IFERROR(VLOOKUP(1150,'PEDIDO 32'!$C$2:$E$230,3,0),0)</f>
        <v>0</v>
      </c>
      <c r="E2555" s="1">
        <f>IFERROR(VLOOKUP(1151,'PEDIDO 32'!$C$2:$E$230,3,0),0)</f>
        <v>0</v>
      </c>
      <c r="F2555" s="1">
        <f>IFERROR(VLOOKUP(1152,'PEDIDO 32'!$C$2:$E$230,3,0),0)</f>
        <v>0</v>
      </c>
      <c r="G2555" s="18">
        <f t="shared" si="70"/>
        <v>0</v>
      </c>
    </row>
    <row r="2556" spans="1:7" ht="15.75" x14ac:dyDescent="0.25">
      <c r="A2556" s="15">
        <f>'PEDIDO 32'!$B$2</f>
        <v>0</v>
      </c>
      <c r="B2556" s="12" t="s">
        <v>442</v>
      </c>
      <c r="C2556" s="1">
        <f>IFERROR(VLOOKUP(1153,'PEDIDO 32'!$C$2:$E$230,3,0),0)</f>
        <v>0</v>
      </c>
      <c r="D2556" s="1">
        <f>IFERROR(VLOOKUP(1154,'PEDIDO 32'!$C$2:$E$230,3,0),0)</f>
        <v>0</v>
      </c>
      <c r="E2556" s="1">
        <f>IFERROR(VLOOKUP(1155,'PEDIDO 32'!$C$2:$E$230,3,0),0)</f>
        <v>0</v>
      </c>
      <c r="F2556" s="1">
        <f>IFERROR(VLOOKUP(1156,'PEDIDO 32'!$C$2:$E$230,3,0),0)</f>
        <v>0</v>
      </c>
      <c r="G2556" s="18">
        <f t="shared" si="70"/>
        <v>0</v>
      </c>
    </row>
    <row r="2557" spans="1:7" ht="15.75" x14ac:dyDescent="0.25">
      <c r="A2557" s="15">
        <f>'PEDIDO 32'!$B$2</f>
        <v>0</v>
      </c>
      <c r="B2557" s="12" t="s">
        <v>443</v>
      </c>
      <c r="C2557" s="1">
        <f>IFERROR(VLOOKUP(1157,'PEDIDO 32'!$C$2:$E$230,3,0),0)</f>
        <v>0</v>
      </c>
      <c r="D2557" s="1">
        <f>IFERROR(VLOOKUP(1158,'PEDIDO 32'!$C$2:$E$230,3,0),0)</f>
        <v>0</v>
      </c>
      <c r="E2557" s="1">
        <f>IFERROR(VLOOKUP(1159,'PEDIDO 32'!$C$2:$E$230,3,0),0)</f>
        <v>0</v>
      </c>
      <c r="F2557" s="1">
        <f>IFERROR(VLOOKUP(1160,'PEDIDO 32'!$C$2:$E$230,3,0),0)</f>
        <v>0</v>
      </c>
      <c r="G2557" s="18">
        <f t="shared" si="70"/>
        <v>0</v>
      </c>
    </row>
    <row r="2558" spans="1:7" ht="15.75" x14ac:dyDescent="0.25">
      <c r="A2558" s="15">
        <f>'PEDIDO 32'!$B$2</f>
        <v>0</v>
      </c>
      <c r="B2558" s="12" t="s">
        <v>444</v>
      </c>
      <c r="C2558" s="1">
        <f>IFERROR(VLOOKUP(1161,'PEDIDO 32'!$C$2:$E$230,3,0),0)</f>
        <v>0</v>
      </c>
      <c r="D2558" s="1">
        <f>IFERROR(VLOOKUP(1162,'PEDIDO 32'!$C$2:$E$230,3,0),0)</f>
        <v>0</v>
      </c>
      <c r="E2558" s="1">
        <f>IFERROR(VLOOKUP(1163,'PEDIDO 32'!$C$2:$E$230,3,0),0)</f>
        <v>0</v>
      </c>
      <c r="F2558" s="1">
        <f>IFERROR(VLOOKUP(1164,'PEDIDO 32'!$C$2:$E$230,3,0),0)</f>
        <v>0</v>
      </c>
      <c r="G2558" s="18">
        <f t="shared" si="70"/>
        <v>0</v>
      </c>
    </row>
    <row r="2559" spans="1:7" ht="15.75" x14ac:dyDescent="0.25">
      <c r="A2559" s="15">
        <f>'PEDIDO 32'!$B$2</f>
        <v>0</v>
      </c>
      <c r="B2559" s="12" t="s">
        <v>445</v>
      </c>
      <c r="C2559" s="1">
        <f>IFERROR(VLOOKUP(1165,'PEDIDO 32'!$C$2:$E$230,3,0),0)</f>
        <v>0</v>
      </c>
      <c r="D2559" s="1">
        <f>IFERROR(VLOOKUP(1166,'PEDIDO 32'!$C$2:$E$230,3,0),0)</f>
        <v>0</v>
      </c>
      <c r="E2559" s="1">
        <f>IFERROR(VLOOKUP(1167,'PEDIDO 32'!$C$2:$E$230,3,0),0)</f>
        <v>0</v>
      </c>
      <c r="F2559" s="1">
        <f>IFERROR(VLOOKUP(1168,'PEDIDO 32'!$C$2:$E$230,3,0),0)</f>
        <v>0</v>
      </c>
      <c r="G2559" s="18">
        <f t="shared" si="70"/>
        <v>0</v>
      </c>
    </row>
    <row r="2560" spans="1:7" ht="15.75" x14ac:dyDescent="0.25">
      <c r="A2560" s="15">
        <f>'PEDIDO 32'!$B$2</f>
        <v>0</v>
      </c>
      <c r="B2560" s="12" t="s">
        <v>446</v>
      </c>
      <c r="C2560" s="1">
        <f>IFERROR(VLOOKUP(1169,'PEDIDO 32'!$C$2:$E$230,3,0),0)</f>
        <v>0</v>
      </c>
      <c r="D2560" s="1">
        <f>IFERROR(VLOOKUP(1170,'PEDIDO 32'!$C$2:$E$230,3,0),0)</f>
        <v>0</v>
      </c>
      <c r="E2560" s="1">
        <f>IFERROR(VLOOKUP(1171,'PEDIDO 32'!$C$2:$E$230,3,0),0)</f>
        <v>0</v>
      </c>
      <c r="F2560" s="1">
        <f>IFERROR(VLOOKUP(1172,'PEDIDO 32'!$C$2:$E$230,3,0),0)</f>
        <v>0</v>
      </c>
      <c r="G2560" s="18">
        <f t="shared" si="70"/>
        <v>0</v>
      </c>
    </row>
    <row r="2561" spans="1:7" ht="15.75" x14ac:dyDescent="0.25">
      <c r="A2561" s="15">
        <f>'PEDIDO 32'!$B$2</f>
        <v>0</v>
      </c>
      <c r="B2561" s="12" t="s">
        <v>447</v>
      </c>
      <c r="C2561" s="1">
        <f>IFERROR(VLOOKUP(1173,'PEDIDO 32'!$C$2:$E$230,3,0),0)</f>
        <v>0</v>
      </c>
      <c r="D2561" s="1">
        <f>IFERROR(VLOOKUP(1174,'PEDIDO 32'!$C$2:$E$230,3,0),0)</f>
        <v>0</v>
      </c>
      <c r="E2561" s="1">
        <f>IFERROR(VLOOKUP(1175,'PEDIDO 32'!$C$2:$E$230,3,0),0)</f>
        <v>0</v>
      </c>
      <c r="F2561" s="1">
        <f>IFERROR(VLOOKUP(1176,'PEDIDO 32'!$C$2:$E$230,3,0),0)</f>
        <v>0</v>
      </c>
      <c r="G2561" s="18">
        <f t="shared" si="70"/>
        <v>0</v>
      </c>
    </row>
    <row r="2562" spans="1:7" ht="15.75" x14ac:dyDescent="0.25">
      <c r="A2562" s="15">
        <f>'PEDIDO 32'!$B$2</f>
        <v>0</v>
      </c>
      <c r="B2562" s="12" t="s">
        <v>448</v>
      </c>
      <c r="C2562" s="1">
        <f>IFERROR(VLOOKUP(1249,'PEDIDO 32'!$C$2:$E$230,3,0),0)</f>
        <v>0</v>
      </c>
      <c r="D2562" s="1">
        <f>IFERROR(VLOOKUP(1250,'PEDIDO 32'!$C$2:$E$230,3,0),0)</f>
        <v>0</v>
      </c>
      <c r="E2562" s="1">
        <f>IFERROR(VLOOKUP(1251,'PEDIDO 32'!$C$2:$E$230,3,0),0)</f>
        <v>0</v>
      </c>
      <c r="F2562" s="1">
        <f>IFERROR(VLOOKUP(1252,'PEDIDO 32'!$C$2:$E$230,3,0),0)</f>
        <v>0</v>
      </c>
      <c r="G2562" s="18">
        <f t="shared" si="70"/>
        <v>0</v>
      </c>
    </row>
    <row r="2563" spans="1:7" ht="15.75" x14ac:dyDescent="0.25">
      <c r="A2563" s="15">
        <f>'PEDIDO 32'!$B$2</f>
        <v>0</v>
      </c>
      <c r="B2563" s="12" t="s">
        <v>449</v>
      </c>
      <c r="C2563" s="1">
        <f>IFERROR(VLOOKUP(1177,'PEDIDO 32'!$C$2:$E$230,3,0),0)</f>
        <v>0</v>
      </c>
      <c r="D2563" s="1">
        <f>IFERROR(VLOOKUP(1178,'PEDIDO 32'!$C$2:$E$230,3,0),0)</f>
        <v>0</v>
      </c>
      <c r="E2563" s="1">
        <f>IFERROR(VLOOKUP(1179,'PEDIDO 32'!$C$2:$E$230,3,0),0)</f>
        <v>0</v>
      </c>
      <c r="F2563" s="1">
        <f>IFERROR(VLOOKUP(1180,'PEDIDO 32'!$C$2:$E$230,3,0),0)</f>
        <v>0</v>
      </c>
      <c r="G2563" s="18">
        <f t="shared" si="70"/>
        <v>0</v>
      </c>
    </row>
    <row r="2564" spans="1:7" ht="15.75" x14ac:dyDescent="0.25">
      <c r="A2564" s="15">
        <f>'PEDIDO 32'!$B$2</f>
        <v>0</v>
      </c>
      <c r="B2564" s="12" t="s">
        <v>450</v>
      </c>
      <c r="C2564" s="1">
        <f>IFERROR(VLOOKUP(1181,'PEDIDO 32'!$C$2:$E$230,3,0),0)</f>
        <v>0</v>
      </c>
      <c r="D2564" s="1">
        <f>IFERROR(VLOOKUP(1182,'PEDIDO 32'!$C$2:$E$230,3,0),0)</f>
        <v>0</v>
      </c>
      <c r="E2564" s="1">
        <f>IFERROR(VLOOKUP(1183,'PEDIDO 32'!$C$2:$E$230,3,0),0)</f>
        <v>0</v>
      </c>
      <c r="F2564" s="1">
        <f>IFERROR(VLOOKUP(1184,'PEDIDO 32'!$C$2:$E$230,3,0),0)</f>
        <v>0</v>
      </c>
      <c r="G2564" s="18">
        <f t="shared" si="70"/>
        <v>0</v>
      </c>
    </row>
    <row r="2565" spans="1:7" ht="15.75" x14ac:dyDescent="0.25">
      <c r="A2565" s="15">
        <f>'PEDIDO 32'!$B$2</f>
        <v>0</v>
      </c>
      <c r="B2565" s="12" t="s">
        <v>451</v>
      </c>
      <c r="C2565" s="1">
        <f>IFERROR(VLOOKUP(1185,'PEDIDO 32'!$C$2:$E$230,3,0),0)</f>
        <v>0</v>
      </c>
      <c r="D2565" s="1">
        <f>IFERROR(VLOOKUP(1186,'PEDIDO 32'!$C$2:$E$230,3,0),0)</f>
        <v>0</v>
      </c>
      <c r="E2565" s="1">
        <f>IFERROR(VLOOKUP(1187,'PEDIDO 32'!$C$2:$E$230,3,0),0)</f>
        <v>0</v>
      </c>
      <c r="F2565" s="1">
        <f>IFERROR(VLOOKUP(1188,'PEDIDO 32'!$C$2:$E$230,3,0),0)</f>
        <v>0</v>
      </c>
      <c r="G2565" s="18">
        <f t="shared" si="70"/>
        <v>0</v>
      </c>
    </row>
    <row r="2566" spans="1:7" ht="15.75" x14ac:dyDescent="0.25">
      <c r="A2566" s="15">
        <f>'PEDIDO 32'!$B$2</f>
        <v>0</v>
      </c>
      <c r="B2566" s="12" t="s">
        <v>452</v>
      </c>
      <c r="C2566" s="1">
        <f>IFERROR(VLOOKUP(1189,'PEDIDO 32'!$C$2:$E$230,3,0),0)</f>
        <v>0</v>
      </c>
      <c r="D2566" s="1">
        <f>IFERROR(VLOOKUP(1190,'PEDIDO 32'!$C$2:$E$230,3,0),0)</f>
        <v>0</v>
      </c>
      <c r="E2566" s="1">
        <f>IFERROR(VLOOKUP(1191,'PEDIDO 32'!$C$2:$E$230,3,0),0)</f>
        <v>0</v>
      </c>
      <c r="F2566" s="1">
        <f>IFERROR(VLOOKUP(1192,'PEDIDO 32'!$C$2:$E$230,3,0),0)</f>
        <v>0</v>
      </c>
      <c r="G2566" s="18">
        <f t="shared" si="70"/>
        <v>0</v>
      </c>
    </row>
    <row r="2567" spans="1:7" ht="15.75" x14ac:dyDescent="0.25">
      <c r="A2567" s="15">
        <f>'PEDIDO 32'!$B$2</f>
        <v>0</v>
      </c>
      <c r="B2567" s="12" t="s">
        <v>453</v>
      </c>
      <c r="C2567" s="1">
        <f>IFERROR(VLOOKUP(1193,'PEDIDO 32'!$C$2:$E$230,3,0),0)</f>
        <v>0</v>
      </c>
      <c r="D2567" s="1">
        <f>IFERROR(VLOOKUP(1194,'PEDIDO 32'!$C$2:$E$230,3,0),0)</f>
        <v>0</v>
      </c>
      <c r="E2567" s="1">
        <f>IFERROR(VLOOKUP(1195,'PEDIDO 32'!$C$2:$E$230,3,0),0)</f>
        <v>0</v>
      </c>
      <c r="F2567" s="1">
        <f>IFERROR(VLOOKUP(1196,'PEDIDO 32'!$C$2:$E$230,3,0),0)</f>
        <v>0</v>
      </c>
      <c r="G2567" s="18">
        <f t="shared" si="70"/>
        <v>0</v>
      </c>
    </row>
    <row r="2568" spans="1:7" ht="15.75" x14ac:dyDescent="0.25">
      <c r="A2568" s="15">
        <f>'PEDIDO 32'!$B$2</f>
        <v>0</v>
      </c>
      <c r="B2568" s="12" t="s">
        <v>454</v>
      </c>
      <c r="C2568" s="1">
        <f>IFERROR(VLOOKUP(1197,'PEDIDO 32'!$C$2:$E$230,3,0),0)</f>
        <v>0</v>
      </c>
      <c r="D2568" s="1">
        <f>IFERROR(VLOOKUP(1198,'PEDIDO 32'!$C$2:$E$230,3,0),0)</f>
        <v>0</v>
      </c>
      <c r="E2568" s="1">
        <f>IFERROR(VLOOKUP(1199,'PEDIDO 32'!$C$2:$E$230,3,0),0)</f>
        <v>0</v>
      </c>
      <c r="F2568" s="1">
        <f>IFERROR(VLOOKUP(1200,'PEDIDO 32'!$C$2:$E$230,3,0),0)</f>
        <v>0</v>
      </c>
      <c r="G2568" s="18">
        <f t="shared" si="70"/>
        <v>0</v>
      </c>
    </row>
    <row r="2569" spans="1:7" ht="15.75" x14ac:dyDescent="0.25">
      <c r="A2569" s="15">
        <f>'PEDIDO 32'!$B$2</f>
        <v>0</v>
      </c>
      <c r="B2569" s="12" t="s">
        <v>455</v>
      </c>
      <c r="C2569" s="1">
        <f>IFERROR(VLOOKUP(1201,'PEDIDO 32'!$C$2:$E$230,3,0),0)</f>
        <v>0</v>
      </c>
      <c r="D2569" s="1">
        <f>IFERROR(VLOOKUP(1202,'PEDIDO 32'!$C$2:$E$230,3,0),0)</f>
        <v>0</v>
      </c>
      <c r="E2569" s="1">
        <f>IFERROR(VLOOKUP(1203,'PEDIDO 32'!$C$2:$E$230,3,0),0)</f>
        <v>0</v>
      </c>
      <c r="F2569" s="1">
        <f>IFERROR(VLOOKUP(1204,'PEDIDO 32'!$C$2:$E$230,3,0),0)</f>
        <v>0</v>
      </c>
      <c r="G2569" s="18">
        <f t="shared" si="70"/>
        <v>0</v>
      </c>
    </row>
    <row r="2570" spans="1:7" ht="15.75" x14ac:dyDescent="0.25">
      <c r="A2570" s="15">
        <f>'PEDIDO 32'!$B$2</f>
        <v>0</v>
      </c>
      <c r="B2570" s="12" t="s">
        <v>456</v>
      </c>
      <c r="C2570" s="1">
        <f>IFERROR(VLOOKUP(1205,'PEDIDO 32'!$C$2:$E$230,3,0),0)</f>
        <v>0</v>
      </c>
      <c r="D2570" s="1">
        <f>IFERROR(VLOOKUP(1206,'PEDIDO 32'!$C$2:$E$230,3,0),0)</f>
        <v>0</v>
      </c>
      <c r="E2570" s="1">
        <f>IFERROR(VLOOKUP(1207,'PEDIDO 32'!$C$2:$E$230,3,0),0)</f>
        <v>0</v>
      </c>
      <c r="F2570" s="1">
        <f>IFERROR(VLOOKUP(1208,'PEDIDO 32'!$C$2:$E$230,3,0),0)</f>
        <v>0</v>
      </c>
      <c r="G2570" s="18">
        <f t="shared" si="70"/>
        <v>0</v>
      </c>
    </row>
    <row r="2571" spans="1:7" ht="15.75" x14ac:dyDescent="0.25">
      <c r="A2571" s="15">
        <f>'PEDIDO 32'!$B$2</f>
        <v>0</v>
      </c>
      <c r="B2571" s="12" t="s">
        <v>457</v>
      </c>
      <c r="C2571" s="1">
        <f>IFERROR(VLOOKUP(1213,'PEDIDO 32'!$C$2:$E$230,3,0),0)</f>
        <v>0</v>
      </c>
      <c r="D2571" s="1">
        <f>IFERROR(VLOOKUP(1214,'PEDIDO 32'!$C$2:$E$230,3,0),0)</f>
        <v>0</v>
      </c>
      <c r="E2571" s="1">
        <f>IFERROR(VLOOKUP(1215,'PEDIDO 32'!$C$2:$E$230,3,0),0)</f>
        <v>0</v>
      </c>
      <c r="F2571" s="10">
        <f>IFERROR(VLOOKUP(1216,'PEDIDO 32'!$C$2:$E$230,3,0),0)</f>
        <v>0</v>
      </c>
      <c r="G2571" s="18">
        <f t="shared" si="70"/>
        <v>0</v>
      </c>
    </row>
    <row r="2572" spans="1:7" ht="15.75" x14ac:dyDescent="0.25">
      <c r="A2572" s="15">
        <f>'PEDIDO 32'!$B$2</f>
        <v>0</v>
      </c>
      <c r="B2572" s="12" t="s">
        <v>458</v>
      </c>
      <c r="C2572" s="1">
        <f>IFERROR(VLOOKUP(1209,'PEDIDO 32'!$C$2:$E$230,3,0),0)</f>
        <v>0</v>
      </c>
      <c r="D2572" s="1">
        <f>IFERROR(VLOOKUP(1210,'PEDIDO 32'!$C$2:$E$230,3,0),0)</f>
        <v>0</v>
      </c>
      <c r="E2572" s="1">
        <f>IFERROR(VLOOKUP(1211,'PEDIDO 32'!$C$2:$E$230,3,0),0)</f>
        <v>0</v>
      </c>
      <c r="F2572" s="1">
        <f>IFERROR(VLOOKUP(1212,'PEDIDO 32'!$C$2:$E$230,3,0),0)</f>
        <v>0</v>
      </c>
      <c r="G2572" s="18">
        <f t="shared" si="70"/>
        <v>0</v>
      </c>
    </row>
    <row r="2573" spans="1:7" ht="15.75" x14ac:dyDescent="0.25">
      <c r="A2573" s="15">
        <f>'PEDIDO 32'!$B$2</f>
        <v>0</v>
      </c>
      <c r="B2573" s="12" t="s">
        <v>459</v>
      </c>
      <c r="C2573" s="1">
        <f>IFERROR(VLOOKUP(1217,'PEDIDO 32'!$C$2:$E$230,3,0),0)</f>
        <v>0</v>
      </c>
      <c r="D2573" s="1">
        <f>IFERROR(VLOOKUP(1218,'PEDIDO 32'!$C$2:$E$230,3,0),0)</f>
        <v>0</v>
      </c>
      <c r="E2573" s="1">
        <f>IFERROR(VLOOKUP(1219,'PEDIDO 32'!$C$2:$E$230,3,0),0)</f>
        <v>0</v>
      </c>
      <c r="F2573" s="1">
        <f>IFERROR(VLOOKUP(1220,'PEDIDO 32'!$C$2:$E$230,3,0),0)</f>
        <v>0</v>
      </c>
      <c r="G2573" s="18">
        <f t="shared" si="70"/>
        <v>0</v>
      </c>
    </row>
    <row r="2574" spans="1:7" ht="15.75" x14ac:dyDescent="0.25">
      <c r="A2574" s="15">
        <f>'PEDIDO 32'!$B$2</f>
        <v>0</v>
      </c>
      <c r="B2574" s="12" t="s">
        <v>461</v>
      </c>
      <c r="C2574" s="1">
        <f>IFERROR(VLOOKUP(1225,'PEDIDO 32'!$C$2:$E$230,3,0),0)</f>
        <v>0</v>
      </c>
      <c r="D2574" s="1">
        <f>IFERROR(VLOOKUP(1226,'PEDIDO 32'!$C$2:$E$230,3,0),0)</f>
        <v>0</v>
      </c>
      <c r="E2574" s="1">
        <f>IFERROR(VLOOKUP(1227,'PEDIDO 32'!$C$2:$E$230,3,0),0)</f>
        <v>0</v>
      </c>
      <c r="F2574" s="1">
        <f>IFERROR(VLOOKUP(1228,'PEDIDO 32'!$C$2:$E$230,3,0),0)</f>
        <v>0</v>
      </c>
      <c r="G2574" s="18">
        <f t="shared" si="70"/>
        <v>0</v>
      </c>
    </row>
    <row r="2575" spans="1:7" ht="15.75" x14ac:dyDescent="0.25">
      <c r="A2575" s="15">
        <f>'PEDIDO 32'!$B$2</f>
        <v>0</v>
      </c>
      <c r="B2575" s="12" t="s">
        <v>462</v>
      </c>
      <c r="C2575" s="1">
        <f>IFERROR(VLOOKUP(1221,'PEDIDO 32'!$C$2:$E$230,3,0),0)</f>
        <v>0</v>
      </c>
      <c r="D2575" s="1">
        <f>IFERROR(VLOOKUP(1222,'PEDIDO 32'!$C$2:$E$230,3,0),0)</f>
        <v>0</v>
      </c>
      <c r="E2575" s="1">
        <f>IFERROR(VLOOKUP(1223,'PEDIDO 32'!$C$2:$E$230,3,0),0)</f>
        <v>0</v>
      </c>
      <c r="F2575" s="1">
        <f>IFERROR(VLOOKUP(1224,'PEDIDO 32'!$C$2:$E$230,3,0),0)</f>
        <v>0</v>
      </c>
      <c r="G2575" s="18">
        <f t="shared" si="70"/>
        <v>0</v>
      </c>
    </row>
    <row r="2576" spans="1:7" ht="15.75" x14ac:dyDescent="0.25">
      <c r="A2576" s="15">
        <f>'PEDIDO 32'!$B$2</f>
        <v>0</v>
      </c>
      <c r="B2576" s="12" t="s">
        <v>460</v>
      </c>
      <c r="C2576" s="1">
        <f>IFERROR(VLOOKUP(1229,'PEDIDO 32'!$C$2:$E$230,3,0),0)</f>
        <v>0</v>
      </c>
      <c r="D2576" s="1">
        <f>IFERROR(VLOOKUP(1230,'PEDIDO 32'!$C$2:$E$230,3,0),0)</f>
        <v>0</v>
      </c>
      <c r="E2576" s="1">
        <f>IFERROR(VLOOKUP(1231,'PEDIDO 32'!$C$2:$E$230,3,0),0)</f>
        <v>0</v>
      </c>
      <c r="F2576" s="1">
        <f>IFERROR(VLOOKUP(1232,'PEDIDO 32'!$C$2:$E$230,3,0),0)</f>
        <v>0</v>
      </c>
      <c r="G2576" s="18">
        <f t="shared" si="70"/>
        <v>0</v>
      </c>
    </row>
    <row r="2577" spans="1:7" ht="15.75" x14ac:dyDescent="0.25">
      <c r="A2577" s="15">
        <f>'PEDIDO 32'!$B$2</f>
        <v>0</v>
      </c>
      <c r="B2577" s="12" t="s">
        <v>463</v>
      </c>
      <c r="C2577" s="1">
        <f>IFERROR(VLOOKUP(1233,'PEDIDO 32'!$C$2:$E$230,3,0),0)</f>
        <v>0</v>
      </c>
      <c r="D2577" s="1">
        <f>IFERROR(VLOOKUP(1234,'PEDIDO 32'!$C$2:$E$230,3,0),0)</f>
        <v>0</v>
      </c>
      <c r="E2577" s="1">
        <f>IFERROR(VLOOKUP(1235,'PEDIDO 32'!$C$2:$E$230,3,0),0)</f>
        <v>0</v>
      </c>
      <c r="F2577" s="1">
        <f>IFERROR(VLOOKUP(1236,'PEDIDO 32'!$C$2:$E$230,3,0),0)</f>
        <v>0</v>
      </c>
      <c r="G2577" s="18">
        <f t="shared" si="70"/>
        <v>0</v>
      </c>
    </row>
    <row r="2578" spans="1:7" ht="15.75" x14ac:dyDescent="0.25">
      <c r="A2578" s="15">
        <f>'PEDIDO 32'!$B$2</f>
        <v>0</v>
      </c>
      <c r="B2578" s="12" t="s">
        <v>464</v>
      </c>
      <c r="C2578" s="1">
        <f>IFERROR(VLOOKUP(1237,'PEDIDO 32'!$C$2:$E$230,3,0),0)</f>
        <v>0</v>
      </c>
      <c r="D2578" s="1">
        <f>IFERROR(VLOOKUP(1238,'PEDIDO 32'!$C$2:$E$230,3,0),0)</f>
        <v>0</v>
      </c>
      <c r="E2578" s="1">
        <f>IFERROR(VLOOKUP(1239,'PEDIDO 32'!$C$2:$E$230,3,0),0)</f>
        <v>0</v>
      </c>
      <c r="F2578" s="1">
        <f>IFERROR(VLOOKUP(1240,'PEDIDO 32'!$C$2:$E$230,3,0),0)</f>
        <v>0</v>
      </c>
      <c r="G2578" s="18">
        <f t="shared" ref="G2578:G2590" si="71">SUM(C2578+D2578+E2578+F2578)</f>
        <v>0</v>
      </c>
    </row>
    <row r="2579" spans="1:7" ht="15.75" x14ac:dyDescent="0.25">
      <c r="A2579" s="15">
        <f>'PEDIDO 32'!$B$2</f>
        <v>0</v>
      </c>
      <c r="B2579" s="12" t="s">
        <v>465</v>
      </c>
      <c r="C2579" s="1">
        <f>IFERROR(VLOOKUP(1241,'PEDIDO 32'!$C$2:$E$230,3,0),0)</f>
        <v>0</v>
      </c>
      <c r="D2579" s="1">
        <f>IFERROR(VLOOKUP(1242,'PEDIDO 32'!$C$2:$E$230,3,0),0)</f>
        <v>0</v>
      </c>
      <c r="E2579" s="1">
        <f>IFERROR(VLOOKUP(1243,'PEDIDO 32'!$C$2:$E$230,3,0),0)</f>
        <v>0</v>
      </c>
      <c r="F2579" s="1">
        <f>IFERROR(VLOOKUP(1244,'PEDIDO 32'!$C$2:$E$230,3,0),0)</f>
        <v>0</v>
      </c>
      <c r="G2579" s="18">
        <f t="shared" si="71"/>
        <v>0</v>
      </c>
    </row>
    <row r="2580" spans="1:7" ht="15.75" x14ac:dyDescent="0.25">
      <c r="A2580" s="15">
        <f>'PEDIDO 32'!$B$2</f>
        <v>0</v>
      </c>
      <c r="B2580" s="12" t="s">
        <v>466</v>
      </c>
      <c r="C2580" s="1">
        <f>IFERROR(VLOOKUP(1245,'PEDIDO 32'!$C$2:$E$230,3,0),0)</f>
        <v>0</v>
      </c>
      <c r="D2580" s="1">
        <f>IFERROR(VLOOKUP(1246,'PEDIDO 32'!$C$2:$E$230,3,0),0)</f>
        <v>0</v>
      </c>
      <c r="E2580" s="1">
        <f>IFERROR(VLOOKUP(1247,'PEDIDO 32'!$C$2:$E$230,3,0),0)</f>
        <v>0</v>
      </c>
      <c r="F2580" s="1">
        <f>IFERROR(VLOOKUP(1248,'PEDIDO 32'!$C$2:$E$230,3,0),0)</f>
        <v>0</v>
      </c>
      <c r="G2580" s="18">
        <f t="shared" si="71"/>
        <v>0</v>
      </c>
    </row>
    <row r="2581" spans="1:7" ht="15.75" x14ac:dyDescent="0.25">
      <c r="A2581" s="15">
        <f>'PEDIDO 32'!$B$2</f>
        <v>0</v>
      </c>
      <c r="B2581" s="12" t="s">
        <v>467</v>
      </c>
      <c r="C2581" s="1">
        <f>IFERROR(VLOOKUP(25714,'PEDIDO 32'!$C$2:$E$230,3,0),0)</f>
        <v>0</v>
      </c>
      <c r="D2581" s="1"/>
      <c r="E2581" s="1"/>
      <c r="F2581" s="1"/>
      <c r="G2581" s="18">
        <f t="shared" si="71"/>
        <v>0</v>
      </c>
    </row>
    <row r="2582" spans="1:7" ht="15.75" x14ac:dyDescent="0.25">
      <c r="A2582" s="15">
        <f>'PEDIDO 32'!$B$2</f>
        <v>0</v>
      </c>
      <c r="B2582" s="12" t="s">
        <v>468</v>
      </c>
      <c r="C2582" s="1">
        <f>IFERROR(VLOOKUP(25712,'PEDIDO 32'!$C$2:$E$230,3,0),0)</f>
        <v>0</v>
      </c>
      <c r="D2582" s="1"/>
      <c r="E2582" s="1"/>
      <c r="F2582" s="1"/>
      <c r="G2582" s="18">
        <f t="shared" si="71"/>
        <v>0</v>
      </c>
    </row>
    <row r="2583" spans="1:7" ht="15.75" x14ac:dyDescent="0.25">
      <c r="A2583" s="15">
        <f>'PEDIDO 32'!$B$2</f>
        <v>0</v>
      </c>
      <c r="B2583" s="12" t="s">
        <v>469</v>
      </c>
      <c r="C2583" s="1">
        <f>IFERROR(VLOOKUP(25713,'PEDIDO 32'!$C$2:$E$230,3,0),0)</f>
        <v>0</v>
      </c>
      <c r="D2583" s="1"/>
      <c r="E2583" s="1"/>
      <c r="F2583" s="1"/>
      <c r="G2583" s="18">
        <f t="shared" si="71"/>
        <v>0</v>
      </c>
    </row>
    <row r="2584" spans="1:7" ht="15.75" x14ac:dyDescent="0.25">
      <c r="A2584" s="15">
        <f>'PEDIDO 32'!$B$2</f>
        <v>0</v>
      </c>
      <c r="B2584" s="12" t="s">
        <v>470</v>
      </c>
      <c r="C2584" s="1">
        <f>IFERROR(VLOOKUP(1260,'PEDIDO 32'!$C$2:$E$230,3,0),0)</f>
        <v>0</v>
      </c>
      <c r="D2584" s="1"/>
      <c r="E2584" s="1"/>
      <c r="F2584" s="1"/>
      <c r="G2584" s="18">
        <f t="shared" si="71"/>
        <v>0</v>
      </c>
    </row>
    <row r="2585" spans="1:7" ht="15.75" x14ac:dyDescent="0.25">
      <c r="A2585" s="15">
        <f>'PEDIDO 32'!$B$2</f>
        <v>0</v>
      </c>
      <c r="B2585" s="12" t="s">
        <v>471</v>
      </c>
      <c r="C2585" s="1">
        <f>IFERROR(VLOOKUP(1261,'PEDIDO 32'!$C$2:$E$230,3,0),0)</f>
        <v>0</v>
      </c>
      <c r="D2585" s="1"/>
      <c r="E2585" s="1"/>
      <c r="F2585" s="1"/>
      <c r="G2585" s="18">
        <f t="shared" si="71"/>
        <v>0</v>
      </c>
    </row>
    <row r="2586" spans="1:7" ht="15.75" x14ac:dyDescent="0.25">
      <c r="A2586" s="15">
        <f>'PEDIDO 32'!$B$2</f>
        <v>0</v>
      </c>
      <c r="B2586" s="12" t="s">
        <v>472</v>
      </c>
      <c r="C2586" s="1">
        <f>IFERROR(VLOOKUP(1262,'PEDIDO 32'!$C$2:$E$230,3,0),0)</f>
        <v>0</v>
      </c>
      <c r="D2586" s="1"/>
      <c r="E2586" s="1"/>
      <c r="F2586" s="1"/>
      <c r="G2586" s="18">
        <f t="shared" si="71"/>
        <v>0</v>
      </c>
    </row>
    <row r="2587" spans="1:7" ht="15.75" x14ac:dyDescent="0.25">
      <c r="A2587" s="15">
        <f>'PEDIDO 32'!$B$2</f>
        <v>0</v>
      </c>
      <c r="B2587" s="12" t="s">
        <v>473</v>
      </c>
      <c r="C2587" s="1">
        <f>IFERROR(VLOOKUP(1263,'PEDIDO 32'!$C$2:$E$230,3,0),0)</f>
        <v>0</v>
      </c>
      <c r="D2587" s="1"/>
      <c r="E2587" s="1"/>
      <c r="F2587" s="1"/>
      <c r="G2587" s="18">
        <f t="shared" si="71"/>
        <v>0</v>
      </c>
    </row>
    <row r="2588" spans="1:7" ht="15.75" x14ac:dyDescent="0.25">
      <c r="A2588" s="15">
        <f>'PEDIDO 32'!$B$2</f>
        <v>0</v>
      </c>
      <c r="B2588" s="12" t="s">
        <v>474</v>
      </c>
      <c r="C2588" s="1">
        <f>IFERROR(VLOOKUP(1264,'PEDIDO 32'!$C$2:$E$230,3,0),0)</f>
        <v>0</v>
      </c>
      <c r="D2588" s="1"/>
      <c r="E2588" s="1"/>
      <c r="F2588" s="1"/>
      <c r="G2588" s="18">
        <f t="shared" si="71"/>
        <v>0</v>
      </c>
    </row>
    <row r="2589" spans="1:7" ht="15.75" x14ac:dyDescent="0.25">
      <c r="A2589" s="15">
        <f>'PEDIDO 32'!$B$2</f>
        <v>0</v>
      </c>
      <c r="B2589" s="12" t="s">
        <v>475</v>
      </c>
      <c r="C2589" s="1">
        <f>IFERROR(VLOOKUP(1265,'PEDIDO 32'!$C$2:$E$230,3,0),0)</f>
        <v>0</v>
      </c>
      <c r="D2589" s="1"/>
      <c r="E2589" s="1"/>
      <c r="F2589" s="1"/>
      <c r="G2589" s="18">
        <f t="shared" si="71"/>
        <v>0</v>
      </c>
    </row>
    <row r="2590" spans="1:7" ht="15.75" x14ac:dyDescent="0.25">
      <c r="A2590" s="15">
        <f>'PEDIDO 32'!$B$2</f>
        <v>0</v>
      </c>
      <c r="B2590" s="12" t="s">
        <v>476</v>
      </c>
      <c r="C2590" s="1">
        <f>IFERROR(VLOOKUP(1266,'PEDIDO 32'!$C$2:$E$230,3,0),0)</f>
        <v>0</v>
      </c>
      <c r="D2590" s="1"/>
      <c r="E2590" s="1"/>
      <c r="F2590" s="1"/>
      <c r="G2590" s="18">
        <f t="shared" si="71"/>
        <v>0</v>
      </c>
    </row>
    <row r="2591" spans="1:7" ht="15.75" x14ac:dyDescent="0.25">
      <c r="A2591" s="15">
        <f>'PEDIDO 32'!$B$2</f>
        <v>0</v>
      </c>
      <c r="B2591" s="12" t="s">
        <v>477</v>
      </c>
      <c r="C2591" s="1">
        <f>IFERROR(VLOOKUP(1268,'PEDIDO 32'!$C$2:$E$230,3,0),0)</f>
        <v>0</v>
      </c>
      <c r="D2591" s="1">
        <f>IFERROR(VLOOKUP(1269,'PEDIDO 32'!$C$2:$E$230,3,0),0)</f>
        <v>0</v>
      </c>
      <c r="E2591" s="1">
        <f>IFERROR(VLOOKUP(1270,'PEDIDO 32'!$C$2:$E$230,3,0),0)</f>
        <v>0</v>
      </c>
      <c r="F2591" s="1">
        <f>IFERROR(VLOOKUP(1271,'PEDIDO 32'!$C$2:$E$230,3,0),0)</f>
        <v>0</v>
      </c>
      <c r="G2591" s="18">
        <f t="shared" ref="G2591" si="72">SUM(C2591+D2591+E2591+F2591)</f>
        <v>0</v>
      </c>
    </row>
    <row r="2594" spans="1:7" ht="15.75" x14ac:dyDescent="0.25">
      <c r="A2594" s="15">
        <f>'PEDIDO 33'!$B$2</f>
        <v>0</v>
      </c>
      <c r="B2594" s="12" t="s">
        <v>399</v>
      </c>
      <c r="C2594" s="1">
        <f>IFERROR(VLOOKUP(1,'PEDIDO 33'!$C$2:$E$230,3,0),0)</f>
        <v>0</v>
      </c>
      <c r="D2594" s="1">
        <f>IFERROR(VLOOKUP(2,'PEDIDO 33'!$C$2:$E$230,3,0),0)</f>
        <v>0</v>
      </c>
      <c r="E2594" s="1">
        <f>IFERROR(VLOOKUP(3,'PEDIDO 33'!$C$2:$E$230,3,0),0)</f>
        <v>0</v>
      </c>
      <c r="F2594" s="1">
        <f>IFERROR(VLOOKUP(282,'PEDIDO 33'!$C$2:$E$230,3,0),0)</f>
        <v>0</v>
      </c>
      <c r="G2594" s="18">
        <f>SUM(C2594+D2594+E2594+F2594)</f>
        <v>0</v>
      </c>
    </row>
    <row r="2595" spans="1:7" ht="15.75" x14ac:dyDescent="0.25">
      <c r="A2595" s="15">
        <f>'PEDIDO 33'!$B$2</f>
        <v>0</v>
      </c>
      <c r="B2595" s="12" t="s">
        <v>400</v>
      </c>
      <c r="C2595" s="1">
        <f>IFERROR(VLOOKUP(5,'PEDIDO 33'!$C$2:$E$230,3,0),0)</f>
        <v>0</v>
      </c>
      <c r="D2595" s="1">
        <f>IFERROR(VLOOKUP(6,'PEDIDO 33'!$C$2:$E$230,3,0),0)</f>
        <v>0</v>
      </c>
      <c r="E2595" s="1">
        <f>IFERROR(VLOOKUP(7,'PEDIDO 33'!$C$2:$E$230,3,0),0)</f>
        <v>0</v>
      </c>
      <c r="F2595" s="1">
        <f>IFERROR(VLOOKUP(258,'PEDIDO 33'!$C$2:$E$230,3,0),0)</f>
        <v>0</v>
      </c>
      <c r="G2595" s="18">
        <f t="shared" ref="G2595:G2658" si="73">SUM(C2595+D2595+E2595+F2595)</f>
        <v>0</v>
      </c>
    </row>
    <row r="2596" spans="1:7" ht="15.75" x14ac:dyDescent="0.25">
      <c r="A2596" s="15">
        <f>'PEDIDO 33'!$B$2</f>
        <v>0</v>
      </c>
      <c r="B2596" s="12" t="s">
        <v>401</v>
      </c>
      <c r="C2596" s="1">
        <f>IFERROR(VLOOKUP(13,'PEDIDO 33'!$C$2:$E$230,3,0),0)</f>
        <v>0</v>
      </c>
      <c r="D2596" s="1">
        <f>IFERROR(VLOOKUP(14,'PEDIDO 33'!$C$2:$E$230,3,0),0)</f>
        <v>0</v>
      </c>
      <c r="E2596" s="1">
        <f>IFERROR(VLOOKUP(15,'PEDIDO 33'!$C$2:$E$230,3,0),0)</f>
        <v>0</v>
      </c>
      <c r="F2596" s="1">
        <f>IFERROR(VLOOKUP(289,'PEDIDO 33'!$C$2:$E$230,3,0),0)</f>
        <v>0</v>
      </c>
      <c r="G2596" s="18">
        <f t="shared" si="73"/>
        <v>0</v>
      </c>
    </row>
    <row r="2597" spans="1:7" ht="15.75" x14ac:dyDescent="0.25">
      <c r="A2597" s="15">
        <f>'PEDIDO 33'!$B$2</f>
        <v>0</v>
      </c>
      <c r="B2597" s="12" t="s">
        <v>402</v>
      </c>
      <c r="C2597" s="1">
        <f>IFERROR(VLOOKUP(267,'PEDIDO 33'!$C$2:$E$230,3,0),0)</f>
        <v>0</v>
      </c>
      <c r="D2597" s="1">
        <f>IFERROR(VLOOKUP(268,'PEDIDO 33'!$C$2:$E$230,3,0),0)</f>
        <v>0</v>
      </c>
      <c r="E2597" s="1">
        <f>IFERROR(VLOOKUP(270,'PEDIDO 33'!$C$2:$E$230,3,0),0)</f>
        <v>0</v>
      </c>
      <c r="F2597" s="1">
        <f>IFERROR(VLOOKUP(269,'PEDIDO 33'!$C$2:$E$230,3,0),0)</f>
        <v>0</v>
      </c>
      <c r="G2597" s="18">
        <f t="shared" si="73"/>
        <v>0</v>
      </c>
    </row>
    <row r="2598" spans="1:7" ht="15.75" x14ac:dyDescent="0.25">
      <c r="A2598" s="15">
        <f>'PEDIDO 33'!$B$2</f>
        <v>0</v>
      </c>
      <c r="B2598" s="12" t="s">
        <v>403</v>
      </c>
      <c r="C2598" s="1">
        <f>IFERROR(VLOOKUP(17,'PEDIDO 33'!$C$2:$E$230,3,0),0)</f>
        <v>0</v>
      </c>
      <c r="D2598" s="1">
        <f>IFERROR(VLOOKUP(18,'PEDIDO 33'!$C$2:$E$230,3,0),0)</f>
        <v>0</v>
      </c>
      <c r="E2598" s="1">
        <f>IFERROR(VLOOKUP(19,'PEDIDO 33'!$C$2:$E$230,3,0),0)</f>
        <v>0</v>
      </c>
      <c r="F2598" s="1">
        <f>IFERROR(VLOOKUP(290,'PEDIDO 33'!$C$2:$E$230,3,0),0)</f>
        <v>0</v>
      </c>
      <c r="G2598" s="18">
        <f t="shared" si="73"/>
        <v>0</v>
      </c>
    </row>
    <row r="2599" spans="1:7" ht="15.75" x14ac:dyDescent="0.25">
      <c r="A2599" s="15">
        <f>'PEDIDO 33'!$B$2</f>
        <v>0</v>
      </c>
      <c r="B2599" s="12" t="s">
        <v>404</v>
      </c>
      <c r="C2599" s="1">
        <f>IFERROR(VLOOKUP(23,'PEDIDO 33'!$C$2:$E$230,3,0),0)</f>
        <v>0</v>
      </c>
      <c r="D2599" s="1">
        <f>IFERROR(VLOOKUP(24,'PEDIDO 33'!$C$2:$E$230,3,0),0)</f>
        <v>0</v>
      </c>
      <c r="E2599" s="1">
        <f>IFERROR(VLOOKUP(25,'PEDIDO 33'!$C$2:$E$230,3,0),0)</f>
        <v>0</v>
      </c>
      <c r="F2599" s="1">
        <f>IFERROR(VLOOKUP(291,'PEDIDO 33'!$C$2:$E$230,3,0),0)</f>
        <v>0</v>
      </c>
      <c r="G2599" s="18">
        <f t="shared" si="73"/>
        <v>0</v>
      </c>
    </row>
    <row r="2600" spans="1:7" ht="15.75" x14ac:dyDescent="0.25">
      <c r="A2600" s="15">
        <f>'PEDIDO 33'!$B$2</f>
        <v>0</v>
      </c>
      <c r="B2600" s="12" t="s">
        <v>405</v>
      </c>
      <c r="C2600" s="1">
        <f>IFERROR(VLOOKUP(27,'PEDIDO 33'!$C$2:$E$230,3,0),0)</f>
        <v>0</v>
      </c>
      <c r="D2600" s="1">
        <f>IFERROR(VLOOKUP(28,'PEDIDO 33'!$C$2:$E$230,3,0),0)</f>
        <v>0</v>
      </c>
      <c r="E2600" s="1">
        <f>IFERROR(VLOOKUP(29,'PEDIDO 33'!$C$2:$E$230,3,0),0)</f>
        <v>0</v>
      </c>
      <c r="F2600" s="1">
        <f>IFERROR(VLOOKUP(292,'PEDIDO 33'!$C$2:$E$230,3,0),0)</f>
        <v>0</v>
      </c>
      <c r="G2600" s="18">
        <f t="shared" si="73"/>
        <v>0</v>
      </c>
    </row>
    <row r="2601" spans="1:7" ht="15.75" x14ac:dyDescent="0.25">
      <c r="A2601" s="15">
        <f>'PEDIDO 33'!$B$2</f>
        <v>0</v>
      </c>
      <c r="B2601" s="12" t="s">
        <v>406</v>
      </c>
      <c r="C2601" s="1">
        <f>IFERROR(VLOOKUP(227,'PEDIDO 33'!$C$2:$E$230,3,0),0)</f>
        <v>0</v>
      </c>
      <c r="D2601" s="1">
        <f>IFERROR(VLOOKUP(228,'PEDIDO 33'!$C$2:$E$230,3,0),0)</f>
        <v>0</v>
      </c>
      <c r="E2601" s="1">
        <f>IFERROR(VLOOKUP(229,'PEDIDO 33'!$C$2:$E$230,3,0),0)</f>
        <v>0</v>
      </c>
      <c r="F2601" s="1">
        <f>IFERROR(VLOOKUP(230,'PEDIDO 33'!$C$2:$E$230,3,0),0)</f>
        <v>0</v>
      </c>
      <c r="G2601" s="18">
        <f t="shared" si="73"/>
        <v>0</v>
      </c>
    </row>
    <row r="2602" spans="1:7" ht="15.75" x14ac:dyDescent="0.25">
      <c r="A2602" s="15">
        <f>'PEDIDO 33'!$B$2</f>
        <v>0</v>
      </c>
      <c r="B2602" s="12" t="s">
        <v>407</v>
      </c>
      <c r="C2602" s="1">
        <f>IFERROR(VLOOKUP(231,'PEDIDO 33'!$C$2:$E$230,3,0),0)</f>
        <v>0</v>
      </c>
      <c r="D2602" s="1">
        <f>IFERROR(VLOOKUP(232,'PEDIDO 33'!$C$2:$E$230,3,0),0)</f>
        <v>0</v>
      </c>
      <c r="E2602" s="1">
        <f>IFERROR(VLOOKUP(234,'PEDIDO 33'!$C$2:$E$230,3,0),0)</f>
        <v>0</v>
      </c>
      <c r="F2602" s="1">
        <f>IFERROR(VLOOKUP(233,'PEDIDO 33'!$C$2:$E$230,3,0),0)</f>
        <v>0</v>
      </c>
      <c r="G2602" s="18">
        <f t="shared" si="73"/>
        <v>0</v>
      </c>
    </row>
    <row r="2603" spans="1:7" ht="15.75" x14ac:dyDescent="0.25">
      <c r="A2603" s="15">
        <f>'PEDIDO 33'!$B$2</f>
        <v>0</v>
      </c>
      <c r="B2603" s="12" t="s">
        <v>408</v>
      </c>
      <c r="C2603" s="1">
        <f>IFERROR(VLOOKUP(237,'PEDIDO 33'!$C$2:$E$230,3,0),0)</f>
        <v>0</v>
      </c>
      <c r="D2603" s="1">
        <f>IFERROR(VLOOKUP(238,'PEDIDO 33'!$C$2:$E$230,3,0),0)</f>
        <v>0</v>
      </c>
      <c r="E2603" s="1">
        <f>IFERROR(VLOOKUP(240,'PEDIDO 33'!$C$2:$E$230,3,0),0)</f>
        <v>0</v>
      </c>
      <c r="F2603" s="1">
        <f>IFERROR(VLOOKUP(239,'PEDIDO 33'!$C$2:$E$230,3,0),0)</f>
        <v>0</v>
      </c>
      <c r="G2603" s="18">
        <f t="shared" si="73"/>
        <v>0</v>
      </c>
    </row>
    <row r="2604" spans="1:7" ht="15.75" x14ac:dyDescent="0.25">
      <c r="A2604" s="15">
        <f>'PEDIDO 33'!$B$2</f>
        <v>0</v>
      </c>
      <c r="B2604" s="12" t="s">
        <v>409</v>
      </c>
      <c r="C2604" s="1">
        <f>IFERROR(VLOOKUP(25707,'PEDIDO 33'!$C$2:$E$230,3,0),0)</f>
        <v>0</v>
      </c>
      <c r="D2604" s="1">
        <f>IFERROR(VLOOKUP(25708,'PEDIDO 33'!$C$2:$E$230,3,0),0)</f>
        <v>0</v>
      </c>
      <c r="E2604" s="1">
        <f>IFERROR(VLOOKUP(25710,'PEDIDO 33'!$C$2:$E$230,3,0),0)</f>
        <v>0</v>
      </c>
      <c r="F2604" s="1">
        <f>IFERROR(VLOOKUP(25709,'PEDIDO 33'!$C$2:$E$230,3,0),0)</f>
        <v>0</v>
      </c>
      <c r="G2604" s="18">
        <f t="shared" si="73"/>
        <v>0</v>
      </c>
    </row>
    <row r="2605" spans="1:7" ht="15.75" x14ac:dyDescent="0.25">
      <c r="A2605" s="15">
        <f>'PEDIDO 33'!$B$2</f>
        <v>0</v>
      </c>
      <c r="B2605" s="12" t="s">
        <v>410</v>
      </c>
      <c r="C2605" s="1">
        <f>IFERROR(VLOOKUP(25711,'PEDIDO 33'!$C$2:$E$230,3,0),0)</f>
        <v>0</v>
      </c>
      <c r="D2605" s="1"/>
      <c r="E2605" s="1"/>
      <c r="F2605" s="1"/>
      <c r="G2605" s="18">
        <f t="shared" si="73"/>
        <v>0</v>
      </c>
    </row>
    <row r="2606" spans="1:7" ht="15.75" x14ac:dyDescent="0.25">
      <c r="A2606" s="15">
        <f>'PEDIDO 33'!$B$2</f>
        <v>0</v>
      </c>
      <c r="B2606" s="12" t="s">
        <v>411</v>
      </c>
      <c r="C2606" s="1">
        <f>IFERROR(VLOOKUP(35,'PEDIDO 33'!$C$2:$E$230,3,0),0)</f>
        <v>0</v>
      </c>
      <c r="D2606" s="1">
        <f>IFERROR(VLOOKUP(36,'PEDIDO 33'!$C$2:$E$230,3,0),0)</f>
        <v>0</v>
      </c>
      <c r="E2606" s="1">
        <f>IFERROR(VLOOKUP(37,'PEDIDO 33'!$C$2:$E$230,3,0),0)</f>
        <v>0</v>
      </c>
      <c r="F2606" s="1">
        <f>IFERROR(VLOOKUP(294,'PEDIDO 33'!$C$2:$E$230,3,0),0)</f>
        <v>0</v>
      </c>
      <c r="G2606" s="18">
        <f t="shared" si="73"/>
        <v>0</v>
      </c>
    </row>
    <row r="2607" spans="1:7" ht="15.75" x14ac:dyDescent="0.25">
      <c r="A2607" s="15">
        <f>'PEDIDO 33'!$B$2</f>
        <v>0</v>
      </c>
      <c r="B2607" s="12" t="s">
        <v>412</v>
      </c>
      <c r="C2607" s="1">
        <f>IFERROR(VLOOKUP(39,'PEDIDO 33'!$C$2:$E$230,3,0),0)</f>
        <v>0</v>
      </c>
      <c r="D2607" s="1">
        <f>IFERROR(VLOOKUP(40,'PEDIDO 33'!$C$2:$E$230,3,0),0)</f>
        <v>0</v>
      </c>
      <c r="E2607" s="1">
        <f>IFERROR(VLOOKUP(42,'PEDIDO 33'!$C$2:$E$230,3,0),0)</f>
        <v>0</v>
      </c>
      <c r="F2607" s="1">
        <f>IFERROR(VLOOKUP(295,'PEDIDO 33'!$C$2:$E$230,3,0),0)</f>
        <v>0</v>
      </c>
      <c r="G2607" s="18">
        <f t="shared" si="73"/>
        <v>0</v>
      </c>
    </row>
    <row r="2608" spans="1:7" ht="15.75" x14ac:dyDescent="0.25">
      <c r="A2608" s="15">
        <f>'PEDIDO 33'!$B$2</f>
        <v>0</v>
      </c>
      <c r="B2608" s="12" t="s">
        <v>413</v>
      </c>
      <c r="C2608" s="1">
        <f>IFERROR(VLOOKUP(44,'PEDIDO 33'!$C$2:$E$230,3,0),0)</f>
        <v>0</v>
      </c>
      <c r="D2608" s="1">
        <f>IFERROR(VLOOKUP(45,'PEDIDO 33'!$C$2:$E$230,3,0),0)</f>
        <v>0</v>
      </c>
      <c r="E2608" s="1">
        <f>IFERROR(VLOOKUP(46,'PEDIDO 33'!$C$2:$E$230,3,0),0)</f>
        <v>0</v>
      </c>
      <c r="F2608" s="1">
        <f>IFERROR(VLOOKUP(283,'PEDIDO 33'!$C$2:$E$230,3,0),0)</f>
        <v>0</v>
      </c>
      <c r="G2608" s="18">
        <f t="shared" si="73"/>
        <v>0</v>
      </c>
    </row>
    <row r="2609" spans="1:7" ht="15.75" x14ac:dyDescent="0.25">
      <c r="A2609" s="15">
        <f>'PEDIDO 33'!$B$2</f>
        <v>0</v>
      </c>
      <c r="B2609" s="12" t="s">
        <v>414</v>
      </c>
      <c r="C2609" s="1">
        <f>IFERROR(VLOOKUP(48,'PEDIDO 33'!$C$2:$E$230,3,0),0)</f>
        <v>0</v>
      </c>
      <c r="D2609" s="1">
        <f>IFERROR(VLOOKUP(49,'PEDIDO 33'!$C$2:$E$230,3,0),0)</f>
        <v>0</v>
      </c>
      <c r="E2609" s="1">
        <f>IFERROR(VLOOKUP(50,'PEDIDO 33'!$C$2:$E$230,3,0),0)</f>
        <v>0</v>
      </c>
      <c r="F2609" s="1">
        <f>IFERROR(VLOOKUP(298,'PEDIDO 33'!$C$2:$E$230,3,0),0)</f>
        <v>0</v>
      </c>
      <c r="G2609" s="18">
        <f t="shared" si="73"/>
        <v>0</v>
      </c>
    </row>
    <row r="2610" spans="1:7" ht="15.75" x14ac:dyDescent="0.25">
      <c r="A2610" s="15">
        <f>'PEDIDO 33'!$B$2</f>
        <v>0</v>
      </c>
      <c r="B2610" s="12" t="s">
        <v>415</v>
      </c>
      <c r="C2610" s="1">
        <f>IFERROR(VLOOKUP(52,'PEDIDO 33'!$C$2:$E$230,3,0),0)</f>
        <v>0</v>
      </c>
      <c r="D2610" s="1">
        <f>IFERROR(VLOOKUP(53,'PEDIDO 33'!$C$2:$E$230,3,0),0)</f>
        <v>0</v>
      </c>
      <c r="E2610" s="1">
        <f>IFERROR(VLOOKUP(54,'PEDIDO 33'!$C$2:$E$230,3,0),0)</f>
        <v>0</v>
      </c>
      <c r="F2610" s="1">
        <f>IFERROR(VLOOKUP(299,'PEDIDO 33'!$C$2:$E$230,3,0),0)</f>
        <v>0</v>
      </c>
      <c r="G2610" s="18">
        <f t="shared" si="73"/>
        <v>0</v>
      </c>
    </row>
    <row r="2611" spans="1:7" ht="15.75" x14ac:dyDescent="0.25">
      <c r="A2611" s="15">
        <f>'PEDIDO 33'!$B$2</f>
        <v>0</v>
      </c>
      <c r="B2611" s="12" t="s">
        <v>416</v>
      </c>
      <c r="C2611" s="1">
        <f>IFERROR(VLOOKUP(56,'PEDIDO 33'!$C$2:$E$230,3,0),0)</f>
        <v>0</v>
      </c>
      <c r="D2611" s="1">
        <f>IFERROR(VLOOKUP(61,'PEDIDO 33'!$C$2:$E$230,3,0),0)</f>
        <v>0</v>
      </c>
      <c r="E2611" s="1">
        <f>IFERROR(VLOOKUP(58,'PEDIDO 33'!$C$2:$E$230,3,0),0)</f>
        <v>0</v>
      </c>
      <c r="F2611" s="1">
        <f>IFERROR(VLOOKUP(300,'PEDIDO 33'!$C$2:$E$230,3,0),0)</f>
        <v>0</v>
      </c>
      <c r="G2611" s="18">
        <f t="shared" si="73"/>
        <v>0</v>
      </c>
    </row>
    <row r="2612" spans="1:7" ht="15.75" x14ac:dyDescent="0.25">
      <c r="A2612" s="15">
        <f>'PEDIDO 33'!$B$2</f>
        <v>0</v>
      </c>
      <c r="B2612" s="12" t="s">
        <v>417</v>
      </c>
      <c r="C2612" s="1">
        <f>IFERROR(VLOOKUP(60,'PEDIDO 33'!$C$2:$E$230,3,0),0)</f>
        <v>0</v>
      </c>
      <c r="D2612" s="1">
        <f>IFERROR(VLOOKUP(120,'PEDIDO 33'!$C$2:$E$230,3,0),0)</f>
        <v>0</v>
      </c>
      <c r="E2612" s="1">
        <f>IFERROR(VLOOKUP(62,'PEDIDO 33'!$C$2:$E$230,3,0),0)</f>
        <v>0</v>
      </c>
      <c r="F2612" s="1">
        <f>IFERROR(VLOOKUP(301,'PEDIDO 33'!$C$2:$E$230,3,0),0)</f>
        <v>0</v>
      </c>
      <c r="G2612" s="18">
        <f t="shared" si="73"/>
        <v>0</v>
      </c>
    </row>
    <row r="2613" spans="1:7" ht="15.75" x14ac:dyDescent="0.25">
      <c r="A2613" s="15">
        <f>'PEDIDO 33'!$B$2</f>
        <v>0</v>
      </c>
      <c r="B2613" s="12" t="s">
        <v>426</v>
      </c>
      <c r="C2613" s="1">
        <f>IFERROR(VLOOKUP(112,'PEDIDO 33'!$C$2:$E$230,3,0),0)</f>
        <v>0</v>
      </c>
      <c r="D2613" s="1">
        <f>IFERROR(VLOOKUP(113,'PEDIDO 33'!$C$2:$E$230,3,0),0)</f>
        <v>0</v>
      </c>
      <c r="E2613" s="1">
        <f>IFERROR(VLOOKUP(114,'PEDIDO 33'!$C$2:$E$230,3,0),0)</f>
        <v>0</v>
      </c>
      <c r="F2613" s="1">
        <f>IFERROR(VLOOKUP(296,'PEDIDO 33'!$C$2:$E$230,3,0),0)</f>
        <v>0</v>
      </c>
      <c r="G2613" s="18">
        <f t="shared" si="73"/>
        <v>0</v>
      </c>
    </row>
    <row r="2614" spans="1:7" ht="15.75" x14ac:dyDescent="0.25">
      <c r="A2614" s="15">
        <f>'PEDIDO 33'!$B$2</f>
        <v>0</v>
      </c>
      <c r="B2614" s="12" t="s">
        <v>427</v>
      </c>
      <c r="C2614" s="1">
        <f>IFERROR(VLOOKUP(116,'PEDIDO 33'!$C$2:$E$230,3,0),0)</f>
        <v>0</v>
      </c>
      <c r="D2614" s="1">
        <f>IFERROR(VLOOKUP(117,'PEDIDO 33'!$C$2:$E$230,3,0),0)</f>
        <v>0</v>
      </c>
      <c r="E2614" s="1">
        <f>IFERROR(VLOOKUP(118,'PEDIDO 33'!$C$2:$E$230,3,0),0)</f>
        <v>0</v>
      </c>
      <c r="F2614" s="1">
        <f>IFERROR(VLOOKUP(293,'PEDIDO 33'!$C$2:$E$230,3,0),0)</f>
        <v>0</v>
      </c>
      <c r="G2614" s="18">
        <f t="shared" si="73"/>
        <v>0</v>
      </c>
    </row>
    <row r="2615" spans="1:7" ht="15.75" x14ac:dyDescent="0.25">
      <c r="A2615" s="15">
        <f>'PEDIDO 33'!$B$2</f>
        <v>0</v>
      </c>
      <c r="B2615" s="12" t="s">
        <v>418</v>
      </c>
      <c r="C2615" s="1">
        <f>IFERROR(VLOOKUP(963,'PEDIDO 33'!$C$2:$E$230,3,0),0)</f>
        <v>0</v>
      </c>
      <c r="D2615" s="1">
        <f>IFERROR(VLOOKUP(965,'PEDIDO 33'!$C$2:$E$230,3,0),0)</f>
        <v>0</v>
      </c>
      <c r="E2615" s="1">
        <f>IFERROR(VLOOKUP(966,'PEDIDO 33'!$C$2:$E$230,3,0),0)</f>
        <v>0</v>
      </c>
      <c r="F2615" s="1">
        <f>IFERROR(VLOOKUP(964,'PEDIDO 33'!$C$2:$E$230,3,0),0)</f>
        <v>0</v>
      </c>
      <c r="G2615" s="18">
        <f t="shared" si="73"/>
        <v>0</v>
      </c>
    </row>
    <row r="2616" spans="1:7" ht="15.75" x14ac:dyDescent="0.25">
      <c r="A2616" s="15">
        <f>'PEDIDO 33'!$B$2</f>
        <v>0</v>
      </c>
      <c r="B2616" s="12" t="s">
        <v>419</v>
      </c>
      <c r="C2616" s="1">
        <f>IFERROR(VLOOKUP(2042,'PEDIDO 33'!$C$2:$E$230,3,0),0)</f>
        <v>0</v>
      </c>
      <c r="D2616" s="1">
        <f>IFERROR(VLOOKUP(2041,'PEDIDO 33'!$C$2:$E$230,3,0),0)</f>
        <v>0</v>
      </c>
      <c r="E2616" s="1">
        <f>IFERROR(VLOOKUP(2043,'PEDIDO 33'!$C$2:$E$230,3,0),0)</f>
        <v>0</v>
      </c>
      <c r="F2616" s="1">
        <f>IFERROR(VLOOKUP(2040,'PEDIDO 33'!$C$2:$E$230,3,0),0)</f>
        <v>0</v>
      </c>
      <c r="G2616" s="18">
        <f t="shared" si="73"/>
        <v>0</v>
      </c>
    </row>
    <row r="2617" spans="1:7" ht="15.75" x14ac:dyDescent="0.25">
      <c r="A2617" s="15">
        <f>'PEDIDO 33'!$B$2</f>
        <v>0</v>
      </c>
      <c r="B2617" s="12" t="s">
        <v>420</v>
      </c>
      <c r="C2617" s="1">
        <f>IFERROR(VLOOKUP(2045,'PEDIDO 33'!$C$2:$E$230,3,0),0)</f>
        <v>0</v>
      </c>
      <c r="D2617" s="1">
        <f>IFERROR(VLOOKUP(2046,'PEDIDO 33'!$C$2:$E$230,3,0),0)</f>
        <v>0</v>
      </c>
      <c r="E2617" s="1">
        <f>IFERROR(VLOOKUP(2047,'PEDIDO 33'!$C$2:$E$230,3,0),0)</f>
        <v>0</v>
      </c>
      <c r="F2617" s="1">
        <f>IFERROR(VLOOKUP(2048,'PEDIDO 33'!$C$2:$E$230,3,0),0)</f>
        <v>0</v>
      </c>
      <c r="G2617" s="18">
        <f t="shared" si="73"/>
        <v>0</v>
      </c>
    </row>
    <row r="2618" spans="1:7" ht="15.75" x14ac:dyDescent="0.25">
      <c r="A2618" s="15">
        <f>'PEDIDO 33'!$B$2</f>
        <v>0</v>
      </c>
      <c r="B2618" s="12" t="s">
        <v>421</v>
      </c>
      <c r="C2618" s="1">
        <f>IFERROR(VLOOKUP(2050,'PEDIDO 33'!$C$2:$E$230,3,0),0)</f>
        <v>0</v>
      </c>
      <c r="D2618" s="1">
        <f>IFERROR(VLOOKUP(2051,'PEDIDO 33'!$C$2:$E$230,3,0),0)</f>
        <v>0</v>
      </c>
      <c r="E2618" s="1">
        <f>IFERROR(VLOOKUP(2052,'PEDIDO 33'!$C$2:$E$230,3,0),0)</f>
        <v>0</v>
      </c>
      <c r="F2618" s="1">
        <f>IFERROR(VLOOKUP(2053,'PEDIDO 33'!$C$2:$E$230,3,0),0)</f>
        <v>0</v>
      </c>
      <c r="G2618" s="18">
        <f t="shared" si="73"/>
        <v>0</v>
      </c>
    </row>
    <row r="2619" spans="1:7" ht="15.75" x14ac:dyDescent="0.25">
      <c r="A2619" s="15">
        <f>'PEDIDO 33'!$B$2</f>
        <v>0</v>
      </c>
      <c r="B2619" s="12" t="s">
        <v>422</v>
      </c>
      <c r="C2619" s="1">
        <f>IFERROR(VLOOKUP(216,'PEDIDO 33'!$C$2:$E$230,3,0),0)</f>
        <v>0</v>
      </c>
      <c r="D2619" s="1">
        <f>IFERROR(VLOOKUP(217,'PEDIDO 33'!$C$2:$E$230,3,0),0)</f>
        <v>0</v>
      </c>
      <c r="E2619" s="1">
        <f>IFERROR(VLOOKUP(218,'PEDIDO 33'!$C$2:$E$230,3,0),0)</f>
        <v>0</v>
      </c>
      <c r="F2619" s="1">
        <f>IFERROR(VLOOKUP(305,'PEDIDO 33'!$C$2:$E$230,3,0),0)</f>
        <v>0</v>
      </c>
      <c r="G2619" s="18">
        <f t="shared" si="73"/>
        <v>0</v>
      </c>
    </row>
    <row r="2620" spans="1:7" ht="15.75" x14ac:dyDescent="0.25">
      <c r="A2620" s="15">
        <f>'PEDIDO 33'!$B$2</f>
        <v>0</v>
      </c>
      <c r="B2620" s="12" t="s">
        <v>423</v>
      </c>
      <c r="C2620" s="1">
        <f>IFERROR(VLOOKUP(100,'PEDIDO 33'!$C$2:$E$230,3,0),0)</f>
        <v>0</v>
      </c>
      <c r="D2620" s="1">
        <f>IFERROR(VLOOKUP(101,'PEDIDO 33'!$C$2:$E$230,3,0),0)</f>
        <v>0</v>
      </c>
      <c r="E2620" s="1">
        <f>IFERROR(VLOOKUP(102,'PEDIDO 33'!$C$2:$E$230,3,0),0)</f>
        <v>0</v>
      </c>
      <c r="F2620" s="1">
        <f>IFERROR(VLOOKUP(306,'PEDIDO 33'!$C$2:$E$230,3,0),0)</f>
        <v>0</v>
      </c>
      <c r="G2620" s="18">
        <f t="shared" si="73"/>
        <v>0</v>
      </c>
    </row>
    <row r="2621" spans="1:7" ht="15.75" x14ac:dyDescent="0.25">
      <c r="A2621" s="15">
        <f>'PEDIDO 33'!$B$2</f>
        <v>0</v>
      </c>
      <c r="B2621" s="12" t="s">
        <v>424</v>
      </c>
      <c r="C2621" s="1">
        <f>IFERROR(VLOOKUP(104,'PEDIDO 33'!$C$2:$E$230,3,0),0)</f>
        <v>0</v>
      </c>
      <c r="D2621" s="1">
        <f>IFERROR(VLOOKUP(105,'PEDIDO 33'!$C$2:$E$230,3,0),0)</f>
        <v>0</v>
      </c>
      <c r="E2621" s="1">
        <f>IFERROR(VLOOKUP(106,'PEDIDO 33'!$C$2:$E$230,3,0),0)</f>
        <v>0</v>
      </c>
      <c r="F2621" s="1">
        <f>IFERROR(VLOOKUP(307,'PEDIDO 33'!$C$2:$E$230,3,0),0)</f>
        <v>0</v>
      </c>
      <c r="G2621" s="18">
        <f t="shared" si="73"/>
        <v>0</v>
      </c>
    </row>
    <row r="2622" spans="1:7" ht="15.75" x14ac:dyDescent="0.25">
      <c r="A2622" s="15">
        <f>'PEDIDO 33'!$B$2</f>
        <v>0</v>
      </c>
      <c r="B2622" s="12" t="s">
        <v>425</v>
      </c>
      <c r="C2622" s="1">
        <f>IFERROR(VLOOKUP(400,'PEDIDO 33'!$C$2:$E$230,3,0),0)</f>
        <v>0</v>
      </c>
      <c r="D2622" s="1">
        <f>IFERROR(VLOOKUP(401,'PEDIDO 33'!$C$2:$E$230,3,0),0)</f>
        <v>0</v>
      </c>
      <c r="E2622" s="1">
        <f>IFERROR(VLOOKUP(402,'PEDIDO 33'!$C$2:$E$230,3,0),0)</f>
        <v>0</v>
      </c>
      <c r="F2622" s="1">
        <f>IFERROR(VLOOKUP(403,'PEDIDO 33'!$C$2:$E$230,3,0),0)</f>
        <v>0</v>
      </c>
      <c r="G2622" s="18">
        <f t="shared" si="73"/>
        <v>0</v>
      </c>
    </row>
    <row r="2623" spans="1:7" ht="15.75" x14ac:dyDescent="0.25">
      <c r="A2623" s="15">
        <f>'PEDIDO 33'!$B$2</f>
        <v>0</v>
      </c>
      <c r="B2623" s="12" t="s">
        <v>428</v>
      </c>
      <c r="C2623" s="1">
        <f>IFERROR(VLOOKUP(22,'PEDIDO 33'!$C$2:$E$230,3,0),0)</f>
        <v>0</v>
      </c>
      <c r="D2623" s="1"/>
      <c r="E2623" s="1"/>
      <c r="F2623" s="1"/>
      <c r="G2623" s="18">
        <f t="shared" si="73"/>
        <v>0</v>
      </c>
    </row>
    <row r="2624" spans="1:7" ht="15.75" x14ac:dyDescent="0.25">
      <c r="A2624" s="15">
        <f>'PEDIDO 33'!$B$2</f>
        <v>0</v>
      </c>
      <c r="B2624" s="12" t="s">
        <v>429</v>
      </c>
      <c r="C2624" s="1">
        <f>IFERROR(VLOOKUP(21,'PEDIDO 33'!$C$2:$E$230,3,0),0)</f>
        <v>0</v>
      </c>
      <c r="D2624" s="1"/>
      <c r="E2624" s="1"/>
      <c r="F2624" s="1"/>
      <c r="G2624" s="18">
        <f t="shared" si="73"/>
        <v>0</v>
      </c>
    </row>
    <row r="2625" spans="1:7" ht="15.75" x14ac:dyDescent="0.25">
      <c r="A2625" s="15">
        <f>'PEDIDO 33'!$B$2</f>
        <v>0</v>
      </c>
      <c r="B2625" s="12" t="s">
        <v>430</v>
      </c>
      <c r="C2625" s="1">
        <f>IFERROR(VLOOKUP(1125,'PEDIDO 33'!$C$2:$E$230,3,0),0)</f>
        <v>0</v>
      </c>
      <c r="D2625" s="1">
        <f>IFERROR(VLOOKUP(1126,'PEDIDO 33'!$C$2:$E$230,3,0),0)</f>
        <v>0</v>
      </c>
      <c r="E2625" s="1">
        <f>IFERROR(VLOOKUP(1127,'PEDIDO 33'!$C$2:$E$230,3,0),0)</f>
        <v>0</v>
      </c>
      <c r="F2625" s="1">
        <f>IFERROR(VLOOKUP(1128,'PEDIDO 33'!$C$2:$E$230,3,0),0)</f>
        <v>0</v>
      </c>
      <c r="G2625" s="18">
        <f t="shared" si="73"/>
        <v>0</v>
      </c>
    </row>
    <row r="2626" spans="1:7" ht="15.75" x14ac:dyDescent="0.25">
      <c r="A2626" s="15">
        <f>'PEDIDO 33'!$B$2</f>
        <v>0</v>
      </c>
      <c r="B2626" s="12" t="s">
        <v>431</v>
      </c>
      <c r="C2626" s="1">
        <f>IFERROR(VLOOKUP(1133,'PEDIDO 33'!$C$2:$E$230,3,0),0)</f>
        <v>0</v>
      </c>
      <c r="D2626" s="1">
        <f>IFERROR(VLOOKUP(1134,'PEDIDO 33'!$C$2:$E$230,3,0),0)</f>
        <v>0</v>
      </c>
      <c r="E2626" s="1">
        <f>IFERROR(VLOOKUP(1135,'PEDIDO 33'!$C$2:$E$230,3,0),0)</f>
        <v>0</v>
      </c>
      <c r="F2626" s="1">
        <f>IFERROR(VLOOKUP(1136,'PEDIDO 33'!$C$2:$E$230,3,0),0)</f>
        <v>0</v>
      </c>
      <c r="G2626" s="18">
        <f t="shared" si="73"/>
        <v>0</v>
      </c>
    </row>
    <row r="2627" spans="1:7" ht="15.75" x14ac:dyDescent="0.25">
      <c r="A2627" s="15">
        <f>'PEDIDO 33'!$B$2</f>
        <v>0</v>
      </c>
      <c r="B2627" s="12" t="s">
        <v>432</v>
      </c>
      <c r="C2627" s="1">
        <f>IFERROR(VLOOKUP(1105,'PEDIDO 33'!$C$2:$E$230,3,0),0)</f>
        <v>0</v>
      </c>
      <c r="D2627" s="1">
        <f>IFERROR(VLOOKUP(1106,'PEDIDO 33'!$C$2:$E$230,3,0),0)</f>
        <v>0</v>
      </c>
      <c r="E2627" s="1">
        <f>IFERROR(VLOOKUP(1107,'PEDIDO 33'!$C$2:$E$230,3,0),0)</f>
        <v>0</v>
      </c>
      <c r="F2627" s="1">
        <f>IFERROR(VLOOKUP(1108,'PEDIDO 33'!$C$2:$E$230,3,0),0)</f>
        <v>0</v>
      </c>
      <c r="G2627" s="18">
        <f t="shared" si="73"/>
        <v>0</v>
      </c>
    </row>
    <row r="2628" spans="1:7" ht="15.75" x14ac:dyDescent="0.25">
      <c r="A2628" s="15">
        <f>'PEDIDO 33'!$B$2</f>
        <v>0</v>
      </c>
      <c r="B2628" s="12" t="s">
        <v>433</v>
      </c>
      <c r="C2628" s="1">
        <f>IFERROR(VLOOKUP(1109,'PEDIDO 33'!$C$2:$E$230,3,0),0)</f>
        <v>0</v>
      </c>
      <c r="D2628" s="1">
        <f>IFERROR(VLOOKUP(1110,'PEDIDO 33'!$C$2:$E$230,3,0),0)</f>
        <v>0</v>
      </c>
      <c r="E2628" s="1">
        <f>IFERROR(VLOOKUP(1111,'PEDIDO 33'!$C$2:$E$230,3,0),0)</f>
        <v>0</v>
      </c>
      <c r="F2628" s="1">
        <f>IFERROR(VLOOKUP(1112,'PEDIDO 33'!$C$2:$E$230,3,0),0)</f>
        <v>0</v>
      </c>
      <c r="G2628" s="18">
        <f t="shared" si="73"/>
        <v>0</v>
      </c>
    </row>
    <row r="2629" spans="1:7" ht="15.75" x14ac:dyDescent="0.25">
      <c r="A2629" s="15">
        <f>'PEDIDO 33'!$B$2</f>
        <v>0</v>
      </c>
      <c r="B2629" s="12" t="s">
        <v>434</v>
      </c>
      <c r="C2629" s="1">
        <f>IFERROR(VLOOKUP(1113,'PEDIDO 33'!$C$2:$E$230,3,0),0)</f>
        <v>0</v>
      </c>
      <c r="D2629" s="1">
        <f>IFERROR(VLOOKUP(1114,'PEDIDO 33'!$C$2:$E$230,3,0),0)</f>
        <v>0</v>
      </c>
      <c r="E2629" s="1">
        <f>IFERROR(VLOOKUP(1115,'PEDIDO 33'!$C$2:$E$230,3,0),0)</f>
        <v>0</v>
      </c>
      <c r="F2629" s="1">
        <f>IFERROR(VLOOKUP(1116,'PEDIDO 33'!$C$2:$E$230,3,0),0)</f>
        <v>0</v>
      </c>
      <c r="G2629" s="18">
        <f t="shared" si="73"/>
        <v>0</v>
      </c>
    </row>
    <row r="2630" spans="1:7" ht="15.75" x14ac:dyDescent="0.25">
      <c r="A2630" s="15">
        <f>'PEDIDO 33'!$B$2</f>
        <v>0</v>
      </c>
      <c r="B2630" s="12" t="s">
        <v>435</v>
      </c>
      <c r="C2630" s="1">
        <f>IFERROR(VLOOKUP(1117,'PEDIDO 33'!$C$2:$E$230,3,0),0)</f>
        <v>0</v>
      </c>
      <c r="D2630" s="1">
        <f>IFERROR(VLOOKUP(1118,'PEDIDO 33'!$C$2:$E$230,3,0),0)</f>
        <v>0</v>
      </c>
      <c r="E2630" s="1">
        <f>IFERROR(VLOOKUP(1119,'PEDIDO 33'!$C$2:$E$230,3,0),0)</f>
        <v>0</v>
      </c>
      <c r="F2630" s="1">
        <f>IFERROR(VLOOKUP(1120,'PEDIDO 33'!$C$2:$E$230,3,0),0)</f>
        <v>0</v>
      </c>
      <c r="G2630" s="18">
        <f t="shared" si="73"/>
        <v>0</v>
      </c>
    </row>
    <row r="2631" spans="1:7" ht="15.75" x14ac:dyDescent="0.25">
      <c r="A2631" s="15">
        <f>'PEDIDO 33'!$B$2</f>
        <v>0</v>
      </c>
      <c r="B2631" s="12" t="s">
        <v>436</v>
      </c>
      <c r="C2631" s="1">
        <f>IFERROR(VLOOKUP(1121,'PEDIDO 33'!$C$2:$E$230,3,0),0)</f>
        <v>0</v>
      </c>
      <c r="D2631" s="1">
        <f>IFERROR(VLOOKUP(1122,'PEDIDO 33'!$C$2:$E$230,3,0),0)</f>
        <v>0</v>
      </c>
      <c r="E2631" s="1">
        <f>IFERROR(VLOOKUP(1123,'PEDIDO 33'!$C$2:$E$230,3,0),0)</f>
        <v>0</v>
      </c>
      <c r="F2631" s="1">
        <f>IFERROR(VLOOKUP(1124,'PEDIDO 33'!$C$2:$E$230,3,0),0)</f>
        <v>0</v>
      </c>
      <c r="G2631" s="18">
        <f t="shared" si="73"/>
        <v>0</v>
      </c>
    </row>
    <row r="2632" spans="1:7" ht="15.75" x14ac:dyDescent="0.25">
      <c r="A2632" s="15">
        <f>'PEDIDO 33'!$B$2</f>
        <v>0</v>
      </c>
      <c r="B2632" s="12" t="s">
        <v>437</v>
      </c>
      <c r="C2632" s="1">
        <f>IFERROR(VLOOKUP(1129,'PEDIDO 33'!$C$2:$E$230,3,0),0)</f>
        <v>0</v>
      </c>
      <c r="D2632" s="1">
        <f>IFERROR(VLOOKUP(1130,'PEDIDO 33'!$C$2:$E$230,3,0),0)</f>
        <v>0</v>
      </c>
      <c r="E2632" s="1">
        <f>IFERROR(VLOOKUP(1131,'PEDIDO 33'!$C$2:$E$230,3,0),0)</f>
        <v>0</v>
      </c>
      <c r="F2632" s="1">
        <f>IFERROR(VLOOKUP(1132,'PEDIDO 33'!$C$2:$E$230,3,0),0)</f>
        <v>0</v>
      </c>
      <c r="G2632" s="18">
        <f t="shared" si="73"/>
        <v>0</v>
      </c>
    </row>
    <row r="2633" spans="1:7" ht="15.75" x14ac:dyDescent="0.25">
      <c r="A2633" s="15">
        <f>'PEDIDO 33'!$B$2</f>
        <v>0</v>
      </c>
      <c r="B2633" s="12" t="s">
        <v>438</v>
      </c>
      <c r="C2633" s="1">
        <f>IFERROR(VLOOKUP(1137,'PEDIDO 33'!$C$2:$E$230,3,0),0)</f>
        <v>0</v>
      </c>
      <c r="D2633" s="1">
        <f>IFERROR(VLOOKUP(1138,'PEDIDO 33'!$C$2:$E$230,3,0),0)</f>
        <v>0</v>
      </c>
      <c r="E2633" s="1">
        <f>IFERROR(VLOOKUP(1139,'PEDIDO 33'!$C$2:$E$230,3,0),0)</f>
        <v>0</v>
      </c>
      <c r="F2633" s="1">
        <f>IFERROR(VLOOKUP(1140,'PEDIDO 33'!$C$2:$E$230,3,0),0)</f>
        <v>0</v>
      </c>
      <c r="G2633" s="18">
        <f t="shared" si="73"/>
        <v>0</v>
      </c>
    </row>
    <row r="2634" spans="1:7" ht="15.75" x14ac:dyDescent="0.25">
      <c r="A2634" s="15">
        <f>'PEDIDO 33'!$B$2</f>
        <v>0</v>
      </c>
      <c r="B2634" s="12" t="s">
        <v>439</v>
      </c>
      <c r="C2634" s="1">
        <f>IFERROR(VLOOKUP(1141,'PEDIDO 33'!$C$2:$E$230,3,0),0)</f>
        <v>0</v>
      </c>
      <c r="D2634" s="1">
        <f>IFERROR(VLOOKUP(1142,'PEDIDO 33'!$C$2:$E$230,3,0),0)</f>
        <v>0</v>
      </c>
      <c r="E2634" s="1">
        <f>IFERROR(VLOOKUP(1143,'PEDIDO 33'!$C$2:$E$230,3,0),0)</f>
        <v>0</v>
      </c>
      <c r="F2634" s="1">
        <f>IFERROR(VLOOKUP(1144,'PEDIDO 33'!$C$2:$E$230,3,0),0)</f>
        <v>0</v>
      </c>
      <c r="G2634" s="18">
        <f t="shared" si="73"/>
        <v>0</v>
      </c>
    </row>
    <row r="2635" spans="1:7" ht="15.75" x14ac:dyDescent="0.25">
      <c r="A2635" s="15">
        <f>'PEDIDO 33'!$B$2</f>
        <v>0</v>
      </c>
      <c r="B2635" s="12" t="s">
        <v>440</v>
      </c>
      <c r="C2635" s="1">
        <f>IFERROR(VLOOKUP(1145,'PEDIDO 33'!$C$2:$E$230,3,0),0)</f>
        <v>0</v>
      </c>
      <c r="D2635" s="1">
        <f>IFERROR(VLOOKUP(1146,'PEDIDO 33'!$C$2:$E$230,3,0),0)</f>
        <v>0</v>
      </c>
      <c r="E2635" s="1">
        <f>IFERROR(VLOOKUP(1147,'PEDIDO 33'!$C$2:$E$230,3,0),0)</f>
        <v>0</v>
      </c>
      <c r="F2635" s="1">
        <f>IFERROR(VLOOKUP(1148,'PEDIDO 33'!$C$2:$E$230,3,0),0)</f>
        <v>0</v>
      </c>
      <c r="G2635" s="18">
        <f t="shared" si="73"/>
        <v>0</v>
      </c>
    </row>
    <row r="2636" spans="1:7" ht="15.75" x14ac:dyDescent="0.25">
      <c r="A2636" s="15">
        <f>'PEDIDO 33'!$B$2</f>
        <v>0</v>
      </c>
      <c r="B2636" s="12" t="s">
        <v>441</v>
      </c>
      <c r="C2636" s="1">
        <f>IFERROR(VLOOKUP(1149,'PEDIDO 33'!$C$2:$E$230,3,0),0)</f>
        <v>0</v>
      </c>
      <c r="D2636" s="1">
        <f>IFERROR(VLOOKUP(1150,'PEDIDO 33'!$C$2:$E$230,3,0),0)</f>
        <v>0</v>
      </c>
      <c r="E2636" s="1">
        <f>IFERROR(VLOOKUP(1151,'PEDIDO 33'!$C$2:$E$230,3,0),0)</f>
        <v>0</v>
      </c>
      <c r="F2636" s="1">
        <f>IFERROR(VLOOKUP(1152,'PEDIDO 33'!$C$2:$E$230,3,0),0)</f>
        <v>0</v>
      </c>
      <c r="G2636" s="18">
        <f t="shared" si="73"/>
        <v>0</v>
      </c>
    </row>
    <row r="2637" spans="1:7" ht="15.75" x14ac:dyDescent="0.25">
      <c r="A2637" s="15">
        <f>'PEDIDO 33'!$B$2</f>
        <v>0</v>
      </c>
      <c r="B2637" s="12" t="s">
        <v>442</v>
      </c>
      <c r="C2637" s="1">
        <f>IFERROR(VLOOKUP(1153,'PEDIDO 33'!$C$2:$E$230,3,0),0)</f>
        <v>0</v>
      </c>
      <c r="D2637" s="1">
        <f>IFERROR(VLOOKUP(1154,'PEDIDO 33'!$C$2:$E$230,3,0),0)</f>
        <v>0</v>
      </c>
      <c r="E2637" s="1">
        <f>IFERROR(VLOOKUP(1155,'PEDIDO 33'!$C$2:$E$230,3,0),0)</f>
        <v>0</v>
      </c>
      <c r="F2637" s="1">
        <f>IFERROR(VLOOKUP(1156,'PEDIDO 33'!$C$2:$E$230,3,0),0)</f>
        <v>0</v>
      </c>
      <c r="G2637" s="18">
        <f t="shared" si="73"/>
        <v>0</v>
      </c>
    </row>
    <row r="2638" spans="1:7" ht="15.75" x14ac:dyDescent="0.25">
      <c r="A2638" s="15">
        <f>'PEDIDO 33'!$B$2</f>
        <v>0</v>
      </c>
      <c r="B2638" s="12" t="s">
        <v>443</v>
      </c>
      <c r="C2638" s="1">
        <f>IFERROR(VLOOKUP(1157,'PEDIDO 33'!$C$2:$E$230,3,0),0)</f>
        <v>0</v>
      </c>
      <c r="D2638" s="1">
        <f>IFERROR(VLOOKUP(1158,'PEDIDO 33'!$C$2:$E$230,3,0),0)</f>
        <v>0</v>
      </c>
      <c r="E2638" s="1">
        <f>IFERROR(VLOOKUP(1159,'PEDIDO 33'!$C$2:$E$230,3,0),0)</f>
        <v>0</v>
      </c>
      <c r="F2638" s="1">
        <f>IFERROR(VLOOKUP(1160,'PEDIDO 33'!$C$2:$E$230,3,0),0)</f>
        <v>0</v>
      </c>
      <c r="G2638" s="18">
        <f t="shared" si="73"/>
        <v>0</v>
      </c>
    </row>
    <row r="2639" spans="1:7" ht="15.75" x14ac:dyDescent="0.25">
      <c r="A2639" s="15">
        <f>'PEDIDO 33'!$B$2</f>
        <v>0</v>
      </c>
      <c r="B2639" s="12" t="s">
        <v>444</v>
      </c>
      <c r="C2639" s="1">
        <f>IFERROR(VLOOKUP(1161,'PEDIDO 33'!$C$2:$E$230,3,0),0)</f>
        <v>0</v>
      </c>
      <c r="D2639" s="1">
        <f>IFERROR(VLOOKUP(1162,'PEDIDO 33'!$C$2:$E$230,3,0),0)</f>
        <v>0</v>
      </c>
      <c r="E2639" s="1">
        <f>IFERROR(VLOOKUP(1163,'PEDIDO 33'!$C$2:$E$230,3,0),0)</f>
        <v>0</v>
      </c>
      <c r="F2639" s="1">
        <f>IFERROR(VLOOKUP(1164,'PEDIDO 33'!$C$2:$E$230,3,0),0)</f>
        <v>0</v>
      </c>
      <c r="G2639" s="18">
        <f t="shared" si="73"/>
        <v>0</v>
      </c>
    </row>
    <row r="2640" spans="1:7" ht="15.75" x14ac:dyDescent="0.25">
      <c r="A2640" s="15">
        <f>'PEDIDO 33'!$B$2</f>
        <v>0</v>
      </c>
      <c r="B2640" s="12" t="s">
        <v>445</v>
      </c>
      <c r="C2640" s="1">
        <f>IFERROR(VLOOKUP(1165,'PEDIDO 33'!$C$2:$E$230,3,0),0)</f>
        <v>0</v>
      </c>
      <c r="D2640" s="1">
        <f>IFERROR(VLOOKUP(1166,'PEDIDO 33'!$C$2:$E$230,3,0),0)</f>
        <v>0</v>
      </c>
      <c r="E2640" s="1">
        <f>IFERROR(VLOOKUP(1167,'PEDIDO 33'!$C$2:$E$230,3,0),0)</f>
        <v>0</v>
      </c>
      <c r="F2640" s="1">
        <f>IFERROR(VLOOKUP(1168,'PEDIDO 33'!$C$2:$E$230,3,0),0)</f>
        <v>0</v>
      </c>
      <c r="G2640" s="18">
        <f t="shared" si="73"/>
        <v>0</v>
      </c>
    </row>
    <row r="2641" spans="1:7" ht="15.75" x14ac:dyDescent="0.25">
      <c r="A2641" s="15">
        <f>'PEDIDO 33'!$B$2</f>
        <v>0</v>
      </c>
      <c r="B2641" s="12" t="s">
        <v>446</v>
      </c>
      <c r="C2641" s="1">
        <f>IFERROR(VLOOKUP(1169,'PEDIDO 33'!$C$2:$E$230,3,0),0)</f>
        <v>0</v>
      </c>
      <c r="D2641" s="1">
        <f>IFERROR(VLOOKUP(1170,'PEDIDO 33'!$C$2:$E$230,3,0),0)</f>
        <v>0</v>
      </c>
      <c r="E2641" s="1">
        <f>IFERROR(VLOOKUP(1171,'PEDIDO 33'!$C$2:$E$230,3,0),0)</f>
        <v>0</v>
      </c>
      <c r="F2641" s="1">
        <f>IFERROR(VLOOKUP(1172,'PEDIDO 33'!$C$2:$E$230,3,0),0)</f>
        <v>0</v>
      </c>
      <c r="G2641" s="18">
        <f t="shared" si="73"/>
        <v>0</v>
      </c>
    </row>
    <row r="2642" spans="1:7" ht="15.75" x14ac:dyDescent="0.25">
      <c r="A2642" s="15">
        <f>'PEDIDO 33'!$B$2</f>
        <v>0</v>
      </c>
      <c r="B2642" s="12" t="s">
        <v>447</v>
      </c>
      <c r="C2642" s="1">
        <f>IFERROR(VLOOKUP(1173,'PEDIDO 33'!$C$2:$E$230,3,0),0)</f>
        <v>0</v>
      </c>
      <c r="D2642" s="1">
        <f>IFERROR(VLOOKUP(1174,'PEDIDO 33'!$C$2:$E$230,3,0),0)</f>
        <v>0</v>
      </c>
      <c r="E2642" s="1">
        <f>IFERROR(VLOOKUP(1175,'PEDIDO 33'!$C$2:$E$230,3,0),0)</f>
        <v>0</v>
      </c>
      <c r="F2642" s="1">
        <f>IFERROR(VLOOKUP(1176,'PEDIDO 33'!$C$2:$E$230,3,0),0)</f>
        <v>0</v>
      </c>
      <c r="G2642" s="18">
        <f t="shared" si="73"/>
        <v>0</v>
      </c>
    </row>
    <row r="2643" spans="1:7" ht="15.75" x14ac:dyDescent="0.25">
      <c r="A2643" s="15">
        <f>'PEDIDO 33'!$B$2</f>
        <v>0</v>
      </c>
      <c r="B2643" s="12" t="s">
        <v>448</v>
      </c>
      <c r="C2643" s="1">
        <f>IFERROR(VLOOKUP(1249,'PEDIDO 33'!$C$2:$E$230,3,0),0)</f>
        <v>0</v>
      </c>
      <c r="D2643" s="1">
        <f>IFERROR(VLOOKUP(1250,'PEDIDO 33'!$C$2:$E$230,3,0),0)</f>
        <v>0</v>
      </c>
      <c r="E2643" s="1">
        <f>IFERROR(VLOOKUP(1251,'PEDIDO 33'!$C$2:$E$230,3,0),0)</f>
        <v>0</v>
      </c>
      <c r="F2643" s="1">
        <f>IFERROR(VLOOKUP(1252,'PEDIDO 33'!$C$2:$E$230,3,0),0)</f>
        <v>0</v>
      </c>
      <c r="G2643" s="18">
        <f t="shared" si="73"/>
        <v>0</v>
      </c>
    </row>
    <row r="2644" spans="1:7" ht="15.75" x14ac:dyDescent="0.25">
      <c r="A2644" s="15">
        <f>'PEDIDO 33'!$B$2</f>
        <v>0</v>
      </c>
      <c r="B2644" s="12" t="s">
        <v>449</v>
      </c>
      <c r="C2644" s="1">
        <f>IFERROR(VLOOKUP(1177,'PEDIDO 33'!$C$2:$E$230,3,0),0)</f>
        <v>0</v>
      </c>
      <c r="D2644" s="1">
        <f>IFERROR(VLOOKUP(1178,'PEDIDO 33'!$C$2:$E$230,3,0),0)</f>
        <v>0</v>
      </c>
      <c r="E2644" s="1">
        <f>IFERROR(VLOOKUP(1179,'PEDIDO 33'!$C$2:$E$230,3,0),0)</f>
        <v>0</v>
      </c>
      <c r="F2644" s="1">
        <f>IFERROR(VLOOKUP(1180,'PEDIDO 33'!$C$2:$E$230,3,0),0)</f>
        <v>0</v>
      </c>
      <c r="G2644" s="18">
        <f t="shared" si="73"/>
        <v>0</v>
      </c>
    </row>
    <row r="2645" spans="1:7" ht="15.75" x14ac:dyDescent="0.25">
      <c r="A2645" s="15">
        <f>'PEDIDO 33'!$B$2</f>
        <v>0</v>
      </c>
      <c r="B2645" s="12" t="s">
        <v>450</v>
      </c>
      <c r="C2645" s="1">
        <f>IFERROR(VLOOKUP(1181,'PEDIDO 33'!$C$2:$E$230,3,0),0)</f>
        <v>0</v>
      </c>
      <c r="D2645" s="1">
        <f>IFERROR(VLOOKUP(1182,'PEDIDO 33'!$C$2:$E$230,3,0),0)</f>
        <v>0</v>
      </c>
      <c r="E2645" s="1">
        <f>IFERROR(VLOOKUP(1183,'PEDIDO 33'!$C$2:$E$230,3,0),0)</f>
        <v>0</v>
      </c>
      <c r="F2645" s="1">
        <f>IFERROR(VLOOKUP(1184,'PEDIDO 33'!$C$2:$E$230,3,0),0)</f>
        <v>0</v>
      </c>
      <c r="G2645" s="18">
        <f t="shared" si="73"/>
        <v>0</v>
      </c>
    </row>
    <row r="2646" spans="1:7" ht="15.75" x14ac:dyDescent="0.25">
      <c r="A2646" s="15">
        <f>'PEDIDO 33'!$B$2</f>
        <v>0</v>
      </c>
      <c r="B2646" s="12" t="s">
        <v>451</v>
      </c>
      <c r="C2646" s="1">
        <f>IFERROR(VLOOKUP(1185,'PEDIDO 33'!$C$2:$E$230,3,0),0)</f>
        <v>0</v>
      </c>
      <c r="D2646" s="1">
        <f>IFERROR(VLOOKUP(1186,'PEDIDO 33'!$C$2:$E$230,3,0),0)</f>
        <v>0</v>
      </c>
      <c r="E2646" s="1">
        <f>IFERROR(VLOOKUP(1187,'PEDIDO 33'!$C$2:$E$230,3,0),0)</f>
        <v>0</v>
      </c>
      <c r="F2646" s="1">
        <f>IFERROR(VLOOKUP(1188,'PEDIDO 33'!$C$2:$E$230,3,0),0)</f>
        <v>0</v>
      </c>
      <c r="G2646" s="18">
        <f t="shared" si="73"/>
        <v>0</v>
      </c>
    </row>
    <row r="2647" spans="1:7" ht="15.75" x14ac:dyDescent="0.25">
      <c r="A2647" s="15">
        <f>'PEDIDO 33'!$B$2</f>
        <v>0</v>
      </c>
      <c r="B2647" s="12" t="s">
        <v>452</v>
      </c>
      <c r="C2647" s="1">
        <f>IFERROR(VLOOKUP(1189,'PEDIDO 33'!$C$2:$E$230,3,0),0)</f>
        <v>0</v>
      </c>
      <c r="D2647" s="1">
        <f>IFERROR(VLOOKUP(1190,'PEDIDO 33'!$C$2:$E$230,3,0),0)</f>
        <v>0</v>
      </c>
      <c r="E2647" s="1">
        <f>IFERROR(VLOOKUP(1191,'PEDIDO 33'!$C$2:$E$230,3,0),0)</f>
        <v>0</v>
      </c>
      <c r="F2647" s="1">
        <f>IFERROR(VLOOKUP(1192,'PEDIDO 33'!$C$2:$E$230,3,0),0)</f>
        <v>0</v>
      </c>
      <c r="G2647" s="18">
        <f t="shared" si="73"/>
        <v>0</v>
      </c>
    </row>
    <row r="2648" spans="1:7" ht="15.75" x14ac:dyDescent="0.25">
      <c r="A2648" s="15">
        <f>'PEDIDO 33'!$B$2</f>
        <v>0</v>
      </c>
      <c r="B2648" s="12" t="s">
        <v>453</v>
      </c>
      <c r="C2648" s="1">
        <f>IFERROR(VLOOKUP(1193,'PEDIDO 33'!$C$2:$E$230,3,0),0)</f>
        <v>0</v>
      </c>
      <c r="D2648" s="1">
        <f>IFERROR(VLOOKUP(1194,'PEDIDO 33'!$C$2:$E$230,3,0),0)</f>
        <v>0</v>
      </c>
      <c r="E2648" s="1">
        <f>IFERROR(VLOOKUP(1195,'PEDIDO 33'!$C$2:$E$230,3,0),0)</f>
        <v>0</v>
      </c>
      <c r="F2648" s="1">
        <f>IFERROR(VLOOKUP(1196,'PEDIDO 33'!$C$2:$E$230,3,0),0)</f>
        <v>0</v>
      </c>
      <c r="G2648" s="18">
        <f t="shared" si="73"/>
        <v>0</v>
      </c>
    </row>
    <row r="2649" spans="1:7" ht="15.75" x14ac:dyDescent="0.25">
      <c r="A2649" s="15">
        <f>'PEDIDO 33'!$B$2</f>
        <v>0</v>
      </c>
      <c r="B2649" s="12" t="s">
        <v>454</v>
      </c>
      <c r="C2649" s="1">
        <f>IFERROR(VLOOKUP(1197,'PEDIDO 33'!$C$2:$E$230,3,0),0)</f>
        <v>0</v>
      </c>
      <c r="D2649" s="1">
        <f>IFERROR(VLOOKUP(1198,'PEDIDO 33'!$C$2:$E$230,3,0),0)</f>
        <v>0</v>
      </c>
      <c r="E2649" s="1">
        <f>IFERROR(VLOOKUP(1199,'PEDIDO 33'!$C$2:$E$230,3,0),0)</f>
        <v>0</v>
      </c>
      <c r="F2649" s="1">
        <f>IFERROR(VLOOKUP(1200,'PEDIDO 33'!$C$2:$E$230,3,0),0)</f>
        <v>0</v>
      </c>
      <c r="G2649" s="18">
        <f t="shared" si="73"/>
        <v>0</v>
      </c>
    </row>
    <row r="2650" spans="1:7" ht="15.75" x14ac:dyDescent="0.25">
      <c r="A2650" s="15">
        <f>'PEDIDO 33'!$B$2</f>
        <v>0</v>
      </c>
      <c r="B2650" s="12" t="s">
        <v>455</v>
      </c>
      <c r="C2650" s="1">
        <f>IFERROR(VLOOKUP(1201,'PEDIDO 33'!$C$2:$E$230,3,0),0)</f>
        <v>0</v>
      </c>
      <c r="D2650" s="1">
        <f>IFERROR(VLOOKUP(1202,'PEDIDO 33'!$C$2:$E$230,3,0),0)</f>
        <v>0</v>
      </c>
      <c r="E2650" s="1">
        <f>IFERROR(VLOOKUP(1203,'PEDIDO 33'!$C$2:$E$230,3,0),0)</f>
        <v>0</v>
      </c>
      <c r="F2650" s="1">
        <f>IFERROR(VLOOKUP(1204,'PEDIDO 33'!$C$2:$E$230,3,0),0)</f>
        <v>0</v>
      </c>
      <c r="G2650" s="18">
        <f t="shared" si="73"/>
        <v>0</v>
      </c>
    </row>
    <row r="2651" spans="1:7" ht="15.75" x14ac:dyDescent="0.25">
      <c r="A2651" s="15">
        <f>'PEDIDO 33'!$B$2</f>
        <v>0</v>
      </c>
      <c r="B2651" s="12" t="s">
        <v>456</v>
      </c>
      <c r="C2651" s="1">
        <f>IFERROR(VLOOKUP(1205,'PEDIDO 33'!$C$2:$E$230,3,0),0)</f>
        <v>0</v>
      </c>
      <c r="D2651" s="1">
        <f>IFERROR(VLOOKUP(1206,'PEDIDO 33'!$C$2:$E$230,3,0),0)</f>
        <v>0</v>
      </c>
      <c r="E2651" s="1">
        <f>IFERROR(VLOOKUP(1207,'PEDIDO 33'!$C$2:$E$230,3,0),0)</f>
        <v>0</v>
      </c>
      <c r="F2651" s="1">
        <f>IFERROR(VLOOKUP(1208,'PEDIDO 33'!$C$2:$E$230,3,0),0)</f>
        <v>0</v>
      </c>
      <c r="G2651" s="18">
        <f t="shared" si="73"/>
        <v>0</v>
      </c>
    </row>
    <row r="2652" spans="1:7" ht="15.75" x14ac:dyDescent="0.25">
      <c r="A2652" s="15">
        <f>'PEDIDO 33'!$B$2</f>
        <v>0</v>
      </c>
      <c r="B2652" s="12" t="s">
        <v>457</v>
      </c>
      <c r="C2652" s="1">
        <f>IFERROR(VLOOKUP(1213,'PEDIDO 33'!$C$2:$E$230,3,0),0)</f>
        <v>0</v>
      </c>
      <c r="D2652" s="1">
        <f>IFERROR(VLOOKUP(1214,'PEDIDO 33'!$C$2:$E$230,3,0),0)</f>
        <v>0</v>
      </c>
      <c r="E2652" s="1">
        <f>IFERROR(VLOOKUP(1215,'PEDIDO 33'!$C$2:$E$230,3,0),0)</f>
        <v>0</v>
      </c>
      <c r="F2652" s="10">
        <f>IFERROR(VLOOKUP(1216,'PEDIDO 33'!$C$2:$E$230,3,0),0)</f>
        <v>0</v>
      </c>
      <c r="G2652" s="18">
        <f t="shared" si="73"/>
        <v>0</v>
      </c>
    </row>
    <row r="2653" spans="1:7" ht="15.75" x14ac:dyDescent="0.25">
      <c r="A2653" s="15">
        <f>'PEDIDO 33'!$B$2</f>
        <v>0</v>
      </c>
      <c r="B2653" s="12" t="s">
        <v>458</v>
      </c>
      <c r="C2653" s="1">
        <f>IFERROR(VLOOKUP(1209,'PEDIDO 33'!$C$2:$E$230,3,0),0)</f>
        <v>0</v>
      </c>
      <c r="D2653" s="1">
        <f>IFERROR(VLOOKUP(1210,'PEDIDO 33'!$C$2:$E$230,3,0),0)</f>
        <v>0</v>
      </c>
      <c r="E2653" s="1">
        <f>IFERROR(VLOOKUP(1211,'PEDIDO 33'!$C$2:$E$230,3,0),0)</f>
        <v>0</v>
      </c>
      <c r="F2653" s="1">
        <f>IFERROR(VLOOKUP(1212,'PEDIDO 33'!$C$2:$E$230,3,0),0)</f>
        <v>0</v>
      </c>
      <c r="G2653" s="18">
        <f t="shared" si="73"/>
        <v>0</v>
      </c>
    </row>
    <row r="2654" spans="1:7" ht="15.75" x14ac:dyDescent="0.25">
      <c r="A2654" s="15">
        <f>'PEDIDO 33'!$B$2</f>
        <v>0</v>
      </c>
      <c r="B2654" s="12" t="s">
        <v>459</v>
      </c>
      <c r="C2654" s="1">
        <f>IFERROR(VLOOKUP(1217,'PEDIDO 33'!$C$2:$E$230,3,0),0)</f>
        <v>0</v>
      </c>
      <c r="D2654" s="1">
        <f>IFERROR(VLOOKUP(1218,'PEDIDO 33'!$C$2:$E$230,3,0),0)</f>
        <v>0</v>
      </c>
      <c r="E2654" s="1">
        <f>IFERROR(VLOOKUP(1219,'PEDIDO 33'!$C$2:$E$230,3,0),0)</f>
        <v>0</v>
      </c>
      <c r="F2654" s="1">
        <f>IFERROR(VLOOKUP(1220,'PEDIDO 33'!$C$2:$E$230,3,0),0)</f>
        <v>0</v>
      </c>
      <c r="G2654" s="18">
        <f t="shared" si="73"/>
        <v>0</v>
      </c>
    </row>
    <row r="2655" spans="1:7" ht="15.75" x14ac:dyDescent="0.25">
      <c r="A2655" s="15">
        <f>'PEDIDO 33'!$B$2</f>
        <v>0</v>
      </c>
      <c r="B2655" s="12" t="s">
        <v>461</v>
      </c>
      <c r="C2655" s="1">
        <f>IFERROR(VLOOKUP(1225,'PEDIDO 33'!$C$2:$E$230,3,0),0)</f>
        <v>0</v>
      </c>
      <c r="D2655" s="1">
        <f>IFERROR(VLOOKUP(1226,'PEDIDO 33'!$C$2:$E$230,3,0),0)</f>
        <v>0</v>
      </c>
      <c r="E2655" s="1">
        <f>IFERROR(VLOOKUP(1227,'PEDIDO 33'!$C$2:$E$230,3,0),0)</f>
        <v>0</v>
      </c>
      <c r="F2655" s="1">
        <f>IFERROR(VLOOKUP(1228,'PEDIDO 33'!$C$2:$E$230,3,0),0)</f>
        <v>0</v>
      </c>
      <c r="G2655" s="18">
        <f t="shared" si="73"/>
        <v>0</v>
      </c>
    </row>
    <row r="2656" spans="1:7" ht="15.75" x14ac:dyDescent="0.25">
      <c r="A2656" s="15">
        <f>'PEDIDO 33'!$B$2</f>
        <v>0</v>
      </c>
      <c r="B2656" s="12" t="s">
        <v>462</v>
      </c>
      <c r="C2656" s="1">
        <f>IFERROR(VLOOKUP(1221,'PEDIDO 33'!$C$2:$E$230,3,0),0)</f>
        <v>0</v>
      </c>
      <c r="D2656" s="1">
        <f>IFERROR(VLOOKUP(1222,'PEDIDO 33'!$C$2:$E$230,3,0),0)</f>
        <v>0</v>
      </c>
      <c r="E2656" s="1">
        <f>IFERROR(VLOOKUP(1223,'PEDIDO 33'!$C$2:$E$230,3,0),0)</f>
        <v>0</v>
      </c>
      <c r="F2656" s="1">
        <f>IFERROR(VLOOKUP(1224,'PEDIDO 33'!$C$2:$E$230,3,0),0)</f>
        <v>0</v>
      </c>
      <c r="G2656" s="18">
        <f t="shared" si="73"/>
        <v>0</v>
      </c>
    </row>
    <row r="2657" spans="1:7" ht="15.75" x14ac:dyDescent="0.25">
      <c r="A2657" s="15">
        <f>'PEDIDO 33'!$B$2</f>
        <v>0</v>
      </c>
      <c r="B2657" s="12" t="s">
        <v>460</v>
      </c>
      <c r="C2657" s="1">
        <f>IFERROR(VLOOKUP(1229,'PEDIDO 33'!$C$2:$E$230,3,0),0)</f>
        <v>0</v>
      </c>
      <c r="D2657" s="1">
        <f>IFERROR(VLOOKUP(1230,'PEDIDO 33'!$C$2:$E$230,3,0),0)</f>
        <v>0</v>
      </c>
      <c r="E2657" s="1">
        <f>IFERROR(VLOOKUP(1231,'PEDIDO 33'!$C$2:$E$230,3,0),0)</f>
        <v>0</v>
      </c>
      <c r="F2657" s="1">
        <f>IFERROR(VLOOKUP(1232,'PEDIDO 33'!$C$2:$E$230,3,0),0)</f>
        <v>0</v>
      </c>
      <c r="G2657" s="18">
        <f t="shared" si="73"/>
        <v>0</v>
      </c>
    </row>
    <row r="2658" spans="1:7" ht="15.75" x14ac:dyDescent="0.25">
      <c r="A2658" s="15">
        <f>'PEDIDO 33'!$B$2</f>
        <v>0</v>
      </c>
      <c r="B2658" s="12" t="s">
        <v>463</v>
      </c>
      <c r="C2658" s="1">
        <f>IFERROR(VLOOKUP(1233,'PEDIDO 33'!$C$2:$E$230,3,0),0)</f>
        <v>0</v>
      </c>
      <c r="D2658" s="1">
        <f>IFERROR(VLOOKUP(1234,'PEDIDO 33'!$C$2:$E$230,3,0),0)</f>
        <v>0</v>
      </c>
      <c r="E2658" s="1">
        <f>IFERROR(VLOOKUP(1235,'PEDIDO 33'!$C$2:$E$230,3,0),0)</f>
        <v>0</v>
      </c>
      <c r="F2658" s="1">
        <f>IFERROR(VLOOKUP(1236,'PEDIDO 33'!$C$2:$E$230,3,0),0)</f>
        <v>0</v>
      </c>
      <c r="G2658" s="18">
        <f t="shared" si="73"/>
        <v>0</v>
      </c>
    </row>
    <row r="2659" spans="1:7" ht="15.75" x14ac:dyDescent="0.25">
      <c r="A2659" s="15">
        <f>'PEDIDO 33'!$B$2</f>
        <v>0</v>
      </c>
      <c r="B2659" s="12" t="s">
        <v>464</v>
      </c>
      <c r="C2659" s="1">
        <f>IFERROR(VLOOKUP(1237,'PEDIDO 33'!$C$2:$E$230,3,0),0)</f>
        <v>0</v>
      </c>
      <c r="D2659" s="1">
        <f>IFERROR(VLOOKUP(1238,'PEDIDO 33'!$C$2:$E$230,3,0),0)</f>
        <v>0</v>
      </c>
      <c r="E2659" s="1">
        <f>IFERROR(VLOOKUP(1239,'PEDIDO 33'!$C$2:$E$230,3,0),0)</f>
        <v>0</v>
      </c>
      <c r="F2659" s="1">
        <f>IFERROR(VLOOKUP(1240,'PEDIDO 33'!$C$2:$E$230,3,0),0)</f>
        <v>0</v>
      </c>
      <c r="G2659" s="18">
        <f t="shared" ref="G2659:G2671" si="74">SUM(C2659+D2659+E2659+F2659)</f>
        <v>0</v>
      </c>
    </row>
    <row r="2660" spans="1:7" ht="15.75" x14ac:dyDescent="0.25">
      <c r="A2660" s="15">
        <f>'PEDIDO 33'!$B$2</f>
        <v>0</v>
      </c>
      <c r="B2660" s="12" t="s">
        <v>465</v>
      </c>
      <c r="C2660" s="1">
        <f>IFERROR(VLOOKUP(1241,'PEDIDO 33'!$C$2:$E$230,3,0),0)</f>
        <v>0</v>
      </c>
      <c r="D2660" s="1">
        <f>IFERROR(VLOOKUP(1242,'PEDIDO 33'!$C$2:$E$230,3,0),0)</f>
        <v>0</v>
      </c>
      <c r="E2660" s="1">
        <f>IFERROR(VLOOKUP(1243,'PEDIDO 33'!$C$2:$E$230,3,0),0)</f>
        <v>0</v>
      </c>
      <c r="F2660" s="1">
        <f>IFERROR(VLOOKUP(1244,'PEDIDO 33'!$C$2:$E$230,3,0),0)</f>
        <v>0</v>
      </c>
      <c r="G2660" s="18">
        <f t="shared" si="74"/>
        <v>0</v>
      </c>
    </row>
    <row r="2661" spans="1:7" ht="15.75" x14ac:dyDescent="0.25">
      <c r="A2661" s="15">
        <f>'PEDIDO 33'!$B$2</f>
        <v>0</v>
      </c>
      <c r="B2661" s="12" t="s">
        <v>466</v>
      </c>
      <c r="C2661" s="1">
        <f>IFERROR(VLOOKUP(1245,'PEDIDO 33'!$C$2:$E$230,3,0),0)</f>
        <v>0</v>
      </c>
      <c r="D2661" s="1">
        <f>IFERROR(VLOOKUP(1246,'PEDIDO 33'!$C$2:$E$230,3,0),0)</f>
        <v>0</v>
      </c>
      <c r="E2661" s="1">
        <f>IFERROR(VLOOKUP(1247,'PEDIDO 33'!$C$2:$E$230,3,0),0)</f>
        <v>0</v>
      </c>
      <c r="F2661" s="1">
        <f>IFERROR(VLOOKUP(1248,'PEDIDO 33'!$C$2:$E$230,3,0),0)</f>
        <v>0</v>
      </c>
      <c r="G2661" s="18">
        <f t="shared" si="74"/>
        <v>0</v>
      </c>
    </row>
    <row r="2662" spans="1:7" ht="15.75" x14ac:dyDescent="0.25">
      <c r="A2662" s="15">
        <f>'PEDIDO 33'!$B$2</f>
        <v>0</v>
      </c>
      <c r="B2662" s="12" t="s">
        <v>467</v>
      </c>
      <c r="C2662" s="1">
        <f>IFERROR(VLOOKUP(25714,'PEDIDO 33'!$C$2:$E$230,3,0),0)</f>
        <v>0</v>
      </c>
      <c r="D2662" s="1"/>
      <c r="E2662" s="1"/>
      <c r="F2662" s="1"/>
      <c r="G2662" s="18">
        <f t="shared" si="74"/>
        <v>0</v>
      </c>
    </row>
    <row r="2663" spans="1:7" ht="15.75" x14ac:dyDescent="0.25">
      <c r="A2663" s="15">
        <f>'PEDIDO 33'!$B$2</f>
        <v>0</v>
      </c>
      <c r="B2663" s="12" t="s">
        <v>468</v>
      </c>
      <c r="C2663" s="1">
        <f>IFERROR(VLOOKUP(25712,'PEDIDO 33'!$C$2:$E$230,3,0),0)</f>
        <v>0</v>
      </c>
      <c r="D2663" s="1"/>
      <c r="E2663" s="1"/>
      <c r="F2663" s="1"/>
      <c r="G2663" s="18">
        <f t="shared" si="74"/>
        <v>0</v>
      </c>
    </row>
    <row r="2664" spans="1:7" ht="15.75" x14ac:dyDescent="0.25">
      <c r="A2664" s="15">
        <f>'PEDIDO 33'!$B$2</f>
        <v>0</v>
      </c>
      <c r="B2664" s="12" t="s">
        <v>469</v>
      </c>
      <c r="C2664" s="1">
        <f>IFERROR(VLOOKUP(25713,'PEDIDO 33'!$C$2:$E$230,3,0),0)</f>
        <v>0</v>
      </c>
      <c r="D2664" s="1"/>
      <c r="E2664" s="1"/>
      <c r="F2664" s="1"/>
      <c r="G2664" s="18">
        <f t="shared" si="74"/>
        <v>0</v>
      </c>
    </row>
    <row r="2665" spans="1:7" ht="15.75" x14ac:dyDescent="0.25">
      <c r="A2665" s="15">
        <f>'PEDIDO 33'!$B$2</f>
        <v>0</v>
      </c>
      <c r="B2665" s="12" t="s">
        <v>470</v>
      </c>
      <c r="C2665" s="1">
        <f>IFERROR(VLOOKUP(1260,'PEDIDO 33'!$C$2:$E$230,3,0),0)</f>
        <v>0</v>
      </c>
      <c r="D2665" s="1"/>
      <c r="E2665" s="1"/>
      <c r="F2665" s="1"/>
      <c r="G2665" s="18">
        <f t="shared" si="74"/>
        <v>0</v>
      </c>
    </row>
    <row r="2666" spans="1:7" ht="15.75" x14ac:dyDescent="0.25">
      <c r="A2666" s="15">
        <f>'PEDIDO 33'!$B$2</f>
        <v>0</v>
      </c>
      <c r="B2666" s="12" t="s">
        <v>471</v>
      </c>
      <c r="C2666" s="1">
        <f>IFERROR(VLOOKUP(1261,'PEDIDO 33'!$C$2:$E$230,3,0),0)</f>
        <v>0</v>
      </c>
      <c r="D2666" s="1"/>
      <c r="E2666" s="1"/>
      <c r="F2666" s="1"/>
      <c r="G2666" s="18">
        <f t="shared" si="74"/>
        <v>0</v>
      </c>
    </row>
    <row r="2667" spans="1:7" ht="15.75" x14ac:dyDescent="0.25">
      <c r="A2667" s="15">
        <f>'PEDIDO 33'!$B$2</f>
        <v>0</v>
      </c>
      <c r="B2667" s="12" t="s">
        <v>472</v>
      </c>
      <c r="C2667" s="1">
        <f>IFERROR(VLOOKUP(1262,'PEDIDO 33'!$C$2:$E$230,3,0),0)</f>
        <v>0</v>
      </c>
      <c r="D2667" s="1"/>
      <c r="E2667" s="1"/>
      <c r="F2667" s="1"/>
      <c r="G2667" s="18">
        <f t="shared" si="74"/>
        <v>0</v>
      </c>
    </row>
    <row r="2668" spans="1:7" ht="15.75" x14ac:dyDescent="0.25">
      <c r="A2668" s="15">
        <f>'PEDIDO 33'!$B$2</f>
        <v>0</v>
      </c>
      <c r="B2668" s="12" t="s">
        <v>473</v>
      </c>
      <c r="C2668" s="1">
        <f>IFERROR(VLOOKUP(1263,'PEDIDO 33'!$C$2:$E$230,3,0),0)</f>
        <v>0</v>
      </c>
      <c r="D2668" s="1"/>
      <c r="E2668" s="1"/>
      <c r="F2668" s="1"/>
      <c r="G2668" s="18">
        <f t="shared" si="74"/>
        <v>0</v>
      </c>
    </row>
    <row r="2669" spans="1:7" ht="15.75" x14ac:dyDescent="0.25">
      <c r="A2669" s="15">
        <f>'PEDIDO 33'!$B$2</f>
        <v>0</v>
      </c>
      <c r="B2669" s="12" t="s">
        <v>474</v>
      </c>
      <c r="C2669" s="1">
        <f>IFERROR(VLOOKUP(1264,'PEDIDO 33'!$C$2:$E$230,3,0),0)</f>
        <v>0</v>
      </c>
      <c r="D2669" s="1"/>
      <c r="E2669" s="1"/>
      <c r="F2669" s="1"/>
      <c r="G2669" s="18">
        <f t="shared" si="74"/>
        <v>0</v>
      </c>
    </row>
    <row r="2670" spans="1:7" ht="15.75" x14ac:dyDescent="0.25">
      <c r="A2670" s="15">
        <f>'PEDIDO 33'!$B$2</f>
        <v>0</v>
      </c>
      <c r="B2670" s="12" t="s">
        <v>475</v>
      </c>
      <c r="C2670" s="1">
        <f>IFERROR(VLOOKUP(1265,'PEDIDO 33'!$C$2:$E$230,3,0),0)</f>
        <v>0</v>
      </c>
      <c r="D2670" s="1"/>
      <c r="E2670" s="1"/>
      <c r="F2670" s="1"/>
      <c r="G2670" s="18">
        <f t="shared" si="74"/>
        <v>0</v>
      </c>
    </row>
    <row r="2671" spans="1:7" ht="15.75" x14ac:dyDescent="0.25">
      <c r="A2671" s="15">
        <f>'PEDIDO 33'!$B$2</f>
        <v>0</v>
      </c>
      <c r="B2671" s="12" t="s">
        <v>476</v>
      </c>
      <c r="C2671" s="1">
        <f>IFERROR(VLOOKUP(1266,'PEDIDO 33'!$C$2:$E$230,3,0),0)</f>
        <v>0</v>
      </c>
      <c r="D2671" s="1"/>
      <c r="E2671" s="1"/>
      <c r="F2671" s="1"/>
      <c r="G2671" s="18">
        <f t="shared" si="74"/>
        <v>0</v>
      </c>
    </row>
    <row r="2672" spans="1:7" ht="15.75" x14ac:dyDescent="0.25">
      <c r="A2672" s="15">
        <f>'PEDIDO 33'!$B$2</f>
        <v>0</v>
      </c>
      <c r="B2672" s="12" t="s">
        <v>477</v>
      </c>
      <c r="C2672" s="1">
        <f>IFERROR(VLOOKUP(1268,'PEDIDO 33'!$C$2:$E$230,3,0),0)</f>
        <v>0</v>
      </c>
      <c r="D2672" s="1">
        <f>IFERROR(VLOOKUP(1269,'PEDIDO 33'!$C$2:$E$230,3,0),0)</f>
        <v>0</v>
      </c>
      <c r="E2672" s="1">
        <f>IFERROR(VLOOKUP(1270,'PEDIDO 33'!$C$2:$E$230,3,0),0)</f>
        <v>0</v>
      </c>
      <c r="F2672" s="1">
        <f>IFERROR(VLOOKUP(1271,'PEDIDO 33'!$C$2:$E$230,3,0),0)</f>
        <v>0</v>
      </c>
      <c r="G2672" s="18">
        <f t="shared" ref="G2672" si="75">SUM(C2672+D2672+E2672+F2672)</f>
        <v>0</v>
      </c>
    </row>
    <row r="2675" spans="1:7" ht="15.75" x14ac:dyDescent="0.25">
      <c r="A2675" s="15">
        <f>'PEDIDO 34'!$B$2</f>
        <v>0</v>
      </c>
      <c r="B2675" s="12" t="s">
        <v>399</v>
      </c>
      <c r="C2675" s="1">
        <f>IFERROR(VLOOKUP(1,'PEDIDO 34'!$C$2:$E$230,3,0),0)</f>
        <v>0</v>
      </c>
      <c r="D2675" s="1">
        <f>IFERROR(VLOOKUP(2,'PEDIDO 34'!$C$2:$E$230,3,0),0)</f>
        <v>0</v>
      </c>
      <c r="E2675" s="1">
        <f>IFERROR(VLOOKUP(3,'PEDIDO 34'!$C$2:$E$230,3,0),0)</f>
        <v>0</v>
      </c>
      <c r="F2675" s="1">
        <f>IFERROR(VLOOKUP(282,'PEDIDO 34'!$C$2:$E$230,3,0),0)</f>
        <v>0</v>
      </c>
      <c r="G2675" s="18">
        <f>SUM(C2675+D2675+E2675+F2675)</f>
        <v>0</v>
      </c>
    </row>
    <row r="2676" spans="1:7" ht="15.75" x14ac:dyDescent="0.25">
      <c r="A2676" s="15">
        <f>'PEDIDO 34'!$B$2</f>
        <v>0</v>
      </c>
      <c r="B2676" s="12" t="s">
        <v>400</v>
      </c>
      <c r="C2676" s="1">
        <f>IFERROR(VLOOKUP(5,'PEDIDO 34'!$C$2:$E$230,3,0),0)</f>
        <v>0</v>
      </c>
      <c r="D2676" s="1">
        <f>IFERROR(VLOOKUP(6,'PEDIDO 34'!$C$2:$E$230,3,0),0)</f>
        <v>0</v>
      </c>
      <c r="E2676" s="1">
        <f>IFERROR(VLOOKUP(7,'PEDIDO 34'!$C$2:$E$230,3,0),0)</f>
        <v>0</v>
      </c>
      <c r="F2676" s="1">
        <f>IFERROR(VLOOKUP(258,'PEDIDO 34'!$C$2:$E$230,3,0),0)</f>
        <v>0</v>
      </c>
      <c r="G2676" s="18">
        <f t="shared" ref="G2676:G2739" si="76">SUM(C2676+D2676+E2676+F2676)</f>
        <v>0</v>
      </c>
    </row>
    <row r="2677" spans="1:7" ht="15.75" x14ac:dyDescent="0.25">
      <c r="A2677" s="15">
        <f>'PEDIDO 34'!$B$2</f>
        <v>0</v>
      </c>
      <c r="B2677" s="12" t="s">
        <v>401</v>
      </c>
      <c r="C2677" s="1">
        <f>IFERROR(VLOOKUP(13,'PEDIDO 34'!$C$2:$E$230,3,0),0)</f>
        <v>0</v>
      </c>
      <c r="D2677" s="1">
        <f>IFERROR(VLOOKUP(14,'PEDIDO 34'!$C$2:$E$230,3,0),0)</f>
        <v>0</v>
      </c>
      <c r="E2677" s="1">
        <f>IFERROR(VLOOKUP(15,'PEDIDO 34'!$C$2:$E$230,3,0),0)</f>
        <v>0</v>
      </c>
      <c r="F2677" s="1">
        <f>IFERROR(VLOOKUP(289,'PEDIDO 34'!$C$2:$E$230,3,0),0)</f>
        <v>0</v>
      </c>
      <c r="G2677" s="18">
        <f t="shared" si="76"/>
        <v>0</v>
      </c>
    </row>
    <row r="2678" spans="1:7" ht="15.75" x14ac:dyDescent="0.25">
      <c r="A2678" s="15">
        <f>'PEDIDO 34'!$B$2</f>
        <v>0</v>
      </c>
      <c r="B2678" s="12" t="s">
        <v>402</v>
      </c>
      <c r="C2678" s="1">
        <f>IFERROR(VLOOKUP(267,'PEDIDO 34'!$C$2:$E$230,3,0),0)</f>
        <v>0</v>
      </c>
      <c r="D2678" s="1">
        <f>IFERROR(VLOOKUP(268,'PEDIDO 34'!$C$2:$E$230,3,0),0)</f>
        <v>0</v>
      </c>
      <c r="E2678" s="1">
        <f>IFERROR(VLOOKUP(270,'PEDIDO 34'!$C$2:$E$230,3,0),0)</f>
        <v>0</v>
      </c>
      <c r="F2678" s="1">
        <f>IFERROR(VLOOKUP(269,'PEDIDO 34'!$C$2:$E$230,3,0),0)</f>
        <v>0</v>
      </c>
      <c r="G2678" s="18">
        <f t="shared" si="76"/>
        <v>0</v>
      </c>
    </row>
    <row r="2679" spans="1:7" ht="15.75" x14ac:dyDescent="0.25">
      <c r="A2679" s="15">
        <f>'PEDIDO 34'!$B$2</f>
        <v>0</v>
      </c>
      <c r="B2679" s="12" t="s">
        <v>403</v>
      </c>
      <c r="C2679" s="1">
        <f>IFERROR(VLOOKUP(17,'PEDIDO 34'!$C$2:$E$230,3,0),0)</f>
        <v>0</v>
      </c>
      <c r="D2679" s="1">
        <f>IFERROR(VLOOKUP(18,'PEDIDO 34'!$C$2:$E$230,3,0),0)</f>
        <v>0</v>
      </c>
      <c r="E2679" s="1">
        <f>IFERROR(VLOOKUP(19,'PEDIDO 34'!$C$2:$E$230,3,0),0)</f>
        <v>0</v>
      </c>
      <c r="F2679" s="1">
        <f>IFERROR(VLOOKUP(290,'PEDIDO 34'!$C$2:$E$230,3,0),0)</f>
        <v>0</v>
      </c>
      <c r="G2679" s="18">
        <f t="shared" si="76"/>
        <v>0</v>
      </c>
    </row>
    <row r="2680" spans="1:7" ht="15.75" x14ac:dyDescent="0.25">
      <c r="A2680" s="15">
        <f>'PEDIDO 34'!$B$2</f>
        <v>0</v>
      </c>
      <c r="B2680" s="12" t="s">
        <v>404</v>
      </c>
      <c r="C2680" s="1">
        <f>IFERROR(VLOOKUP(23,'PEDIDO 34'!$C$2:$E$230,3,0),0)</f>
        <v>0</v>
      </c>
      <c r="D2680" s="1">
        <f>IFERROR(VLOOKUP(24,'PEDIDO 34'!$C$2:$E$230,3,0),0)</f>
        <v>0</v>
      </c>
      <c r="E2680" s="1">
        <f>IFERROR(VLOOKUP(25,'PEDIDO 34'!$C$2:$E$230,3,0),0)</f>
        <v>0</v>
      </c>
      <c r="F2680" s="1">
        <f>IFERROR(VLOOKUP(291,'PEDIDO 34'!$C$2:$E$230,3,0),0)</f>
        <v>0</v>
      </c>
      <c r="G2680" s="18">
        <f t="shared" si="76"/>
        <v>0</v>
      </c>
    </row>
    <row r="2681" spans="1:7" ht="15.75" x14ac:dyDescent="0.25">
      <c r="A2681" s="15">
        <f>'PEDIDO 34'!$B$2</f>
        <v>0</v>
      </c>
      <c r="B2681" s="12" t="s">
        <v>405</v>
      </c>
      <c r="C2681" s="1">
        <f>IFERROR(VLOOKUP(27,'PEDIDO 34'!$C$2:$E$230,3,0),0)</f>
        <v>0</v>
      </c>
      <c r="D2681" s="1">
        <f>IFERROR(VLOOKUP(28,'PEDIDO 34'!$C$2:$E$230,3,0),0)</f>
        <v>0</v>
      </c>
      <c r="E2681" s="1">
        <f>IFERROR(VLOOKUP(29,'PEDIDO 34'!$C$2:$E$230,3,0),0)</f>
        <v>0</v>
      </c>
      <c r="F2681" s="1">
        <f>IFERROR(VLOOKUP(292,'PEDIDO 34'!$C$2:$E$230,3,0),0)</f>
        <v>0</v>
      </c>
      <c r="G2681" s="18">
        <f t="shared" si="76"/>
        <v>0</v>
      </c>
    </row>
    <row r="2682" spans="1:7" ht="15.75" x14ac:dyDescent="0.25">
      <c r="A2682" s="15">
        <f>'PEDIDO 34'!$B$2</f>
        <v>0</v>
      </c>
      <c r="B2682" s="12" t="s">
        <v>406</v>
      </c>
      <c r="C2682" s="1">
        <f>IFERROR(VLOOKUP(227,'PEDIDO 34'!$C$2:$E$230,3,0),0)</f>
        <v>0</v>
      </c>
      <c r="D2682" s="1">
        <f>IFERROR(VLOOKUP(228,'PEDIDO 34'!$C$2:$E$230,3,0),0)</f>
        <v>0</v>
      </c>
      <c r="E2682" s="1">
        <f>IFERROR(VLOOKUP(229,'PEDIDO 34'!$C$2:$E$230,3,0),0)</f>
        <v>0</v>
      </c>
      <c r="F2682" s="1">
        <f>IFERROR(VLOOKUP(230,'PEDIDO 34'!$C$2:$E$230,3,0),0)</f>
        <v>0</v>
      </c>
      <c r="G2682" s="18">
        <f t="shared" si="76"/>
        <v>0</v>
      </c>
    </row>
    <row r="2683" spans="1:7" ht="15.75" x14ac:dyDescent="0.25">
      <c r="A2683" s="15">
        <f>'PEDIDO 34'!$B$2</f>
        <v>0</v>
      </c>
      <c r="B2683" s="12" t="s">
        <v>407</v>
      </c>
      <c r="C2683" s="1">
        <f>IFERROR(VLOOKUP(231,'PEDIDO 34'!$C$2:$E$230,3,0),0)</f>
        <v>0</v>
      </c>
      <c r="D2683" s="1">
        <f>IFERROR(VLOOKUP(232,'PEDIDO 34'!$C$2:$E$230,3,0),0)</f>
        <v>0</v>
      </c>
      <c r="E2683" s="1">
        <f>IFERROR(VLOOKUP(234,'PEDIDO 34'!$C$2:$E$230,3,0),0)</f>
        <v>0</v>
      </c>
      <c r="F2683" s="1">
        <f>IFERROR(VLOOKUP(233,'PEDIDO 34'!$C$2:$E$230,3,0),0)</f>
        <v>0</v>
      </c>
      <c r="G2683" s="18">
        <f t="shared" si="76"/>
        <v>0</v>
      </c>
    </row>
    <row r="2684" spans="1:7" ht="15.75" x14ac:dyDescent="0.25">
      <c r="A2684" s="15">
        <f>'PEDIDO 34'!$B$2</f>
        <v>0</v>
      </c>
      <c r="B2684" s="12" t="s">
        <v>408</v>
      </c>
      <c r="C2684" s="1">
        <f>IFERROR(VLOOKUP(237,'PEDIDO 34'!$C$2:$E$230,3,0),0)</f>
        <v>0</v>
      </c>
      <c r="D2684" s="1">
        <f>IFERROR(VLOOKUP(238,'PEDIDO 34'!$C$2:$E$230,3,0),0)</f>
        <v>0</v>
      </c>
      <c r="E2684" s="1">
        <f>IFERROR(VLOOKUP(240,'PEDIDO 34'!$C$2:$E$230,3,0),0)</f>
        <v>0</v>
      </c>
      <c r="F2684" s="1">
        <f>IFERROR(VLOOKUP(239,'PEDIDO 34'!$C$2:$E$230,3,0),0)</f>
        <v>0</v>
      </c>
      <c r="G2684" s="18">
        <f t="shared" si="76"/>
        <v>0</v>
      </c>
    </row>
    <row r="2685" spans="1:7" ht="15.75" x14ac:dyDescent="0.25">
      <c r="A2685" s="15">
        <f>'PEDIDO 34'!$B$2</f>
        <v>0</v>
      </c>
      <c r="B2685" s="12" t="s">
        <v>409</v>
      </c>
      <c r="C2685" s="1">
        <f>IFERROR(VLOOKUP(25707,'PEDIDO 34'!$C$2:$E$230,3,0),0)</f>
        <v>0</v>
      </c>
      <c r="D2685" s="1">
        <f>IFERROR(VLOOKUP(25708,'PEDIDO 34'!$C$2:$E$230,3,0),0)</f>
        <v>0</v>
      </c>
      <c r="E2685" s="1">
        <f>IFERROR(VLOOKUP(25710,'PEDIDO 34'!$C$2:$E$230,3,0),0)</f>
        <v>0</v>
      </c>
      <c r="F2685" s="1">
        <f>IFERROR(VLOOKUP(25709,'PEDIDO 34'!$C$2:$E$230,3,0),0)</f>
        <v>0</v>
      </c>
      <c r="G2685" s="18">
        <f t="shared" si="76"/>
        <v>0</v>
      </c>
    </row>
    <row r="2686" spans="1:7" ht="15.75" x14ac:dyDescent="0.25">
      <c r="A2686" s="15">
        <f>'PEDIDO 34'!$B$2</f>
        <v>0</v>
      </c>
      <c r="B2686" s="12" t="s">
        <v>410</v>
      </c>
      <c r="C2686" s="1">
        <f>IFERROR(VLOOKUP(25711,'PEDIDO 34'!$C$2:$E$230,3,0),0)</f>
        <v>0</v>
      </c>
      <c r="D2686" s="1"/>
      <c r="E2686" s="1"/>
      <c r="F2686" s="1"/>
      <c r="G2686" s="18">
        <f t="shared" si="76"/>
        <v>0</v>
      </c>
    </row>
    <row r="2687" spans="1:7" ht="15.75" x14ac:dyDescent="0.25">
      <c r="A2687" s="15">
        <f>'PEDIDO 34'!$B$2</f>
        <v>0</v>
      </c>
      <c r="B2687" s="12" t="s">
        <v>411</v>
      </c>
      <c r="C2687" s="1">
        <f>IFERROR(VLOOKUP(35,'PEDIDO 34'!$C$2:$E$230,3,0),0)</f>
        <v>0</v>
      </c>
      <c r="D2687" s="1">
        <f>IFERROR(VLOOKUP(36,'PEDIDO 34'!$C$2:$E$230,3,0),0)</f>
        <v>0</v>
      </c>
      <c r="E2687" s="1">
        <f>IFERROR(VLOOKUP(37,'PEDIDO 34'!$C$2:$E$230,3,0),0)</f>
        <v>0</v>
      </c>
      <c r="F2687" s="1">
        <f>IFERROR(VLOOKUP(294,'PEDIDO 34'!$C$2:$E$230,3,0),0)</f>
        <v>0</v>
      </c>
      <c r="G2687" s="18">
        <f t="shared" si="76"/>
        <v>0</v>
      </c>
    </row>
    <row r="2688" spans="1:7" ht="15.75" x14ac:dyDescent="0.25">
      <c r="A2688" s="15">
        <f>'PEDIDO 34'!$B$2</f>
        <v>0</v>
      </c>
      <c r="B2688" s="12" t="s">
        <v>412</v>
      </c>
      <c r="C2688" s="1">
        <f>IFERROR(VLOOKUP(39,'PEDIDO 34'!$C$2:$E$230,3,0),0)</f>
        <v>0</v>
      </c>
      <c r="D2688" s="1">
        <f>IFERROR(VLOOKUP(40,'PEDIDO 34'!$C$2:$E$230,3,0),0)</f>
        <v>0</v>
      </c>
      <c r="E2688" s="1">
        <f>IFERROR(VLOOKUP(42,'PEDIDO 34'!$C$2:$E$230,3,0),0)</f>
        <v>0</v>
      </c>
      <c r="F2688" s="1">
        <f>IFERROR(VLOOKUP(295,'PEDIDO 34'!$C$2:$E$230,3,0),0)</f>
        <v>0</v>
      </c>
      <c r="G2688" s="18">
        <f t="shared" si="76"/>
        <v>0</v>
      </c>
    </row>
    <row r="2689" spans="1:7" ht="15.75" x14ac:dyDescent="0.25">
      <c r="A2689" s="15">
        <f>'PEDIDO 34'!$B$2</f>
        <v>0</v>
      </c>
      <c r="B2689" s="12" t="s">
        <v>413</v>
      </c>
      <c r="C2689" s="1">
        <f>IFERROR(VLOOKUP(44,'PEDIDO 34'!$C$2:$E$230,3,0),0)</f>
        <v>0</v>
      </c>
      <c r="D2689" s="1">
        <f>IFERROR(VLOOKUP(45,'PEDIDO 34'!$C$2:$E$230,3,0),0)</f>
        <v>0</v>
      </c>
      <c r="E2689" s="1">
        <f>IFERROR(VLOOKUP(46,'PEDIDO 34'!$C$2:$E$230,3,0),0)</f>
        <v>0</v>
      </c>
      <c r="F2689" s="1">
        <f>IFERROR(VLOOKUP(283,'PEDIDO 34'!$C$2:$E$230,3,0),0)</f>
        <v>0</v>
      </c>
      <c r="G2689" s="18">
        <f t="shared" si="76"/>
        <v>0</v>
      </c>
    </row>
    <row r="2690" spans="1:7" ht="15.75" x14ac:dyDescent="0.25">
      <c r="A2690" s="15">
        <f>'PEDIDO 34'!$B$2</f>
        <v>0</v>
      </c>
      <c r="B2690" s="12" t="s">
        <v>414</v>
      </c>
      <c r="C2690" s="1">
        <f>IFERROR(VLOOKUP(48,'PEDIDO 34'!$C$2:$E$230,3,0),0)</f>
        <v>0</v>
      </c>
      <c r="D2690" s="1">
        <f>IFERROR(VLOOKUP(49,'PEDIDO 34'!$C$2:$E$230,3,0),0)</f>
        <v>0</v>
      </c>
      <c r="E2690" s="1">
        <f>IFERROR(VLOOKUP(50,'PEDIDO 34'!$C$2:$E$230,3,0),0)</f>
        <v>0</v>
      </c>
      <c r="F2690" s="1">
        <f>IFERROR(VLOOKUP(298,'PEDIDO 34'!$C$2:$E$230,3,0),0)</f>
        <v>0</v>
      </c>
      <c r="G2690" s="18">
        <f t="shared" si="76"/>
        <v>0</v>
      </c>
    </row>
    <row r="2691" spans="1:7" ht="15.75" x14ac:dyDescent="0.25">
      <c r="A2691" s="15">
        <f>'PEDIDO 34'!$B$2</f>
        <v>0</v>
      </c>
      <c r="B2691" s="12" t="s">
        <v>415</v>
      </c>
      <c r="C2691" s="1">
        <f>IFERROR(VLOOKUP(52,'PEDIDO 34'!$C$2:$E$230,3,0),0)</f>
        <v>0</v>
      </c>
      <c r="D2691" s="1">
        <f>IFERROR(VLOOKUP(53,'PEDIDO 34'!$C$2:$E$230,3,0),0)</f>
        <v>0</v>
      </c>
      <c r="E2691" s="1">
        <f>IFERROR(VLOOKUP(54,'PEDIDO 34'!$C$2:$E$230,3,0),0)</f>
        <v>0</v>
      </c>
      <c r="F2691" s="1">
        <f>IFERROR(VLOOKUP(299,'PEDIDO 34'!$C$2:$E$230,3,0),0)</f>
        <v>0</v>
      </c>
      <c r="G2691" s="18">
        <f t="shared" si="76"/>
        <v>0</v>
      </c>
    </row>
    <row r="2692" spans="1:7" ht="15.75" x14ac:dyDescent="0.25">
      <c r="A2692" s="15">
        <f>'PEDIDO 34'!$B$2</f>
        <v>0</v>
      </c>
      <c r="B2692" s="12" t="s">
        <v>416</v>
      </c>
      <c r="C2692" s="1">
        <f>IFERROR(VLOOKUP(56,'PEDIDO 34'!$C$2:$E$230,3,0),0)</f>
        <v>0</v>
      </c>
      <c r="D2692" s="1">
        <f>IFERROR(VLOOKUP(61,'PEDIDO 34'!$C$2:$E$230,3,0),0)</f>
        <v>0</v>
      </c>
      <c r="E2692" s="1">
        <f>IFERROR(VLOOKUP(58,'PEDIDO 34'!$C$2:$E$230,3,0),0)</f>
        <v>0</v>
      </c>
      <c r="F2692" s="1">
        <f>IFERROR(VLOOKUP(300,'PEDIDO 34'!$C$2:$E$230,3,0),0)</f>
        <v>0</v>
      </c>
      <c r="G2692" s="18">
        <f t="shared" si="76"/>
        <v>0</v>
      </c>
    </row>
    <row r="2693" spans="1:7" ht="15.75" x14ac:dyDescent="0.25">
      <c r="A2693" s="15">
        <f>'PEDIDO 34'!$B$2</f>
        <v>0</v>
      </c>
      <c r="B2693" s="12" t="s">
        <v>417</v>
      </c>
      <c r="C2693" s="1">
        <f>IFERROR(VLOOKUP(60,'PEDIDO 34'!$C$2:$E$230,3,0),0)</f>
        <v>0</v>
      </c>
      <c r="D2693" s="1">
        <f>IFERROR(VLOOKUP(120,'PEDIDO 34'!$C$2:$E$230,3,0),0)</f>
        <v>0</v>
      </c>
      <c r="E2693" s="1">
        <f>IFERROR(VLOOKUP(62,'PEDIDO 34'!$C$2:$E$230,3,0),0)</f>
        <v>0</v>
      </c>
      <c r="F2693" s="1">
        <f>IFERROR(VLOOKUP(301,'PEDIDO 34'!$C$2:$E$230,3,0),0)</f>
        <v>0</v>
      </c>
      <c r="G2693" s="18">
        <f t="shared" si="76"/>
        <v>0</v>
      </c>
    </row>
    <row r="2694" spans="1:7" ht="15.75" x14ac:dyDescent="0.25">
      <c r="A2694" s="15">
        <f>'PEDIDO 34'!$B$2</f>
        <v>0</v>
      </c>
      <c r="B2694" s="12" t="s">
        <v>426</v>
      </c>
      <c r="C2694" s="1">
        <f>IFERROR(VLOOKUP(112,'PEDIDO 34'!$C$2:$E$230,3,0),0)</f>
        <v>0</v>
      </c>
      <c r="D2694" s="1">
        <f>IFERROR(VLOOKUP(113,'PEDIDO 34'!$C$2:$E$230,3,0),0)</f>
        <v>0</v>
      </c>
      <c r="E2694" s="1">
        <f>IFERROR(VLOOKUP(114,'PEDIDO 34'!$C$2:$E$230,3,0),0)</f>
        <v>0</v>
      </c>
      <c r="F2694" s="1">
        <f>IFERROR(VLOOKUP(296,'PEDIDO 34'!$C$2:$E$230,3,0),0)</f>
        <v>0</v>
      </c>
      <c r="G2694" s="18">
        <f t="shared" si="76"/>
        <v>0</v>
      </c>
    </row>
    <row r="2695" spans="1:7" ht="15.75" x14ac:dyDescent="0.25">
      <c r="A2695" s="15">
        <f>'PEDIDO 34'!$B$2</f>
        <v>0</v>
      </c>
      <c r="B2695" s="12" t="s">
        <v>427</v>
      </c>
      <c r="C2695" s="1">
        <f>IFERROR(VLOOKUP(116,'PEDIDO 34'!$C$2:$E$230,3,0),0)</f>
        <v>0</v>
      </c>
      <c r="D2695" s="1">
        <f>IFERROR(VLOOKUP(117,'PEDIDO 34'!$C$2:$E$230,3,0),0)</f>
        <v>0</v>
      </c>
      <c r="E2695" s="1">
        <f>IFERROR(VLOOKUP(118,'PEDIDO 34'!$C$2:$E$230,3,0),0)</f>
        <v>0</v>
      </c>
      <c r="F2695" s="1">
        <f>IFERROR(VLOOKUP(293,'PEDIDO 34'!$C$2:$E$230,3,0),0)</f>
        <v>0</v>
      </c>
      <c r="G2695" s="18">
        <f t="shared" si="76"/>
        <v>0</v>
      </c>
    </row>
    <row r="2696" spans="1:7" ht="15.75" x14ac:dyDescent="0.25">
      <c r="A2696" s="15">
        <f>'PEDIDO 34'!$B$2</f>
        <v>0</v>
      </c>
      <c r="B2696" s="12" t="s">
        <v>418</v>
      </c>
      <c r="C2696" s="1">
        <f>IFERROR(VLOOKUP(963,'PEDIDO 34'!$C$2:$E$230,3,0),0)</f>
        <v>0</v>
      </c>
      <c r="D2696" s="1">
        <f>IFERROR(VLOOKUP(965,'PEDIDO 34'!$C$2:$E$230,3,0),0)</f>
        <v>0</v>
      </c>
      <c r="E2696" s="1">
        <f>IFERROR(VLOOKUP(966,'PEDIDO 34'!$C$2:$E$230,3,0),0)</f>
        <v>0</v>
      </c>
      <c r="F2696" s="1">
        <f>IFERROR(VLOOKUP(964,'PEDIDO 34'!$C$2:$E$230,3,0),0)</f>
        <v>0</v>
      </c>
      <c r="G2696" s="18">
        <f t="shared" si="76"/>
        <v>0</v>
      </c>
    </row>
    <row r="2697" spans="1:7" ht="15.75" x14ac:dyDescent="0.25">
      <c r="A2697" s="15">
        <f>'PEDIDO 34'!$B$2</f>
        <v>0</v>
      </c>
      <c r="B2697" s="12" t="s">
        <v>419</v>
      </c>
      <c r="C2697" s="1">
        <f>IFERROR(VLOOKUP(2042,'PEDIDO 34'!$C$2:$E$230,3,0),0)</f>
        <v>0</v>
      </c>
      <c r="D2697" s="1">
        <f>IFERROR(VLOOKUP(2041,'PEDIDO 34'!$C$2:$E$230,3,0),0)</f>
        <v>0</v>
      </c>
      <c r="E2697" s="1">
        <f>IFERROR(VLOOKUP(2043,'PEDIDO 34'!$C$2:$E$230,3,0),0)</f>
        <v>0</v>
      </c>
      <c r="F2697" s="1">
        <f>IFERROR(VLOOKUP(2040,'PEDIDO 34'!$C$2:$E$230,3,0),0)</f>
        <v>0</v>
      </c>
      <c r="G2697" s="18">
        <f t="shared" si="76"/>
        <v>0</v>
      </c>
    </row>
    <row r="2698" spans="1:7" ht="15.75" x14ac:dyDescent="0.25">
      <c r="A2698" s="15">
        <f>'PEDIDO 34'!$B$2</f>
        <v>0</v>
      </c>
      <c r="B2698" s="12" t="s">
        <v>420</v>
      </c>
      <c r="C2698" s="1">
        <f>IFERROR(VLOOKUP(2045,'PEDIDO 34'!$C$2:$E$230,3,0),0)</f>
        <v>0</v>
      </c>
      <c r="D2698" s="1">
        <f>IFERROR(VLOOKUP(2046,'PEDIDO 34'!$C$2:$E$230,3,0),0)</f>
        <v>0</v>
      </c>
      <c r="E2698" s="1">
        <f>IFERROR(VLOOKUP(2047,'PEDIDO 34'!$C$2:$E$230,3,0),0)</f>
        <v>0</v>
      </c>
      <c r="F2698" s="1">
        <f>IFERROR(VLOOKUP(2048,'PEDIDO 34'!$C$2:$E$230,3,0),0)</f>
        <v>0</v>
      </c>
      <c r="G2698" s="18">
        <f t="shared" si="76"/>
        <v>0</v>
      </c>
    </row>
    <row r="2699" spans="1:7" ht="15.75" x14ac:dyDescent="0.25">
      <c r="A2699" s="15">
        <f>'PEDIDO 34'!$B$2</f>
        <v>0</v>
      </c>
      <c r="B2699" s="12" t="s">
        <v>421</v>
      </c>
      <c r="C2699" s="1">
        <f>IFERROR(VLOOKUP(2050,'PEDIDO 34'!$C$2:$E$230,3,0),0)</f>
        <v>0</v>
      </c>
      <c r="D2699" s="1">
        <f>IFERROR(VLOOKUP(2051,'PEDIDO 34'!$C$2:$E$230,3,0),0)</f>
        <v>0</v>
      </c>
      <c r="E2699" s="1">
        <f>IFERROR(VLOOKUP(2052,'PEDIDO 34'!$C$2:$E$230,3,0),0)</f>
        <v>0</v>
      </c>
      <c r="F2699" s="1">
        <f>IFERROR(VLOOKUP(2053,'PEDIDO 34'!$C$2:$E$230,3,0),0)</f>
        <v>0</v>
      </c>
      <c r="G2699" s="18">
        <f t="shared" si="76"/>
        <v>0</v>
      </c>
    </row>
    <row r="2700" spans="1:7" ht="15.75" x14ac:dyDescent="0.25">
      <c r="A2700" s="15">
        <f>'PEDIDO 34'!$B$2</f>
        <v>0</v>
      </c>
      <c r="B2700" s="12" t="s">
        <v>422</v>
      </c>
      <c r="C2700" s="1">
        <f>IFERROR(VLOOKUP(216,'PEDIDO 34'!$C$2:$E$230,3,0),0)</f>
        <v>0</v>
      </c>
      <c r="D2700" s="1">
        <f>IFERROR(VLOOKUP(217,'PEDIDO 34'!$C$2:$E$230,3,0),0)</f>
        <v>0</v>
      </c>
      <c r="E2700" s="1">
        <f>IFERROR(VLOOKUP(218,'PEDIDO 34'!$C$2:$E$230,3,0),0)</f>
        <v>0</v>
      </c>
      <c r="F2700" s="1">
        <f>IFERROR(VLOOKUP(305,'PEDIDO 34'!$C$2:$E$230,3,0),0)</f>
        <v>0</v>
      </c>
      <c r="G2700" s="18">
        <f t="shared" si="76"/>
        <v>0</v>
      </c>
    </row>
    <row r="2701" spans="1:7" ht="15.75" x14ac:dyDescent="0.25">
      <c r="A2701" s="15">
        <f>'PEDIDO 34'!$B$2</f>
        <v>0</v>
      </c>
      <c r="B2701" s="12" t="s">
        <v>423</v>
      </c>
      <c r="C2701" s="1">
        <f>IFERROR(VLOOKUP(100,'PEDIDO 34'!$C$2:$E$230,3,0),0)</f>
        <v>0</v>
      </c>
      <c r="D2701" s="1">
        <f>IFERROR(VLOOKUP(101,'PEDIDO 34'!$C$2:$E$230,3,0),0)</f>
        <v>0</v>
      </c>
      <c r="E2701" s="1">
        <f>IFERROR(VLOOKUP(102,'PEDIDO 34'!$C$2:$E$230,3,0),0)</f>
        <v>0</v>
      </c>
      <c r="F2701" s="1">
        <f>IFERROR(VLOOKUP(306,'PEDIDO 34'!$C$2:$E$230,3,0),0)</f>
        <v>0</v>
      </c>
      <c r="G2701" s="18">
        <f t="shared" si="76"/>
        <v>0</v>
      </c>
    </row>
    <row r="2702" spans="1:7" ht="15.75" x14ac:dyDescent="0.25">
      <c r="A2702" s="15">
        <f>'PEDIDO 34'!$B$2</f>
        <v>0</v>
      </c>
      <c r="B2702" s="12" t="s">
        <v>424</v>
      </c>
      <c r="C2702" s="1">
        <f>IFERROR(VLOOKUP(104,'PEDIDO 34'!$C$2:$E$230,3,0),0)</f>
        <v>0</v>
      </c>
      <c r="D2702" s="1">
        <f>IFERROR(VLOOKUP(105,'PEDIDO 34'!$C$2:$E$230,3,0),0)</f>
        <v>0</v>
      </c>
      <c r="E2702" s="1">
        <f>IFERROR(VLOOKUP(106,'PEDIDO 34'!$C$2:$E$230,3,0),0)</f>
        <v>0</v>
      </c>
      <c r="F2702" s="1">
        <f>IFERROR(VLOOKUP(307,'PEDIDO 34'!$C$2:$E$230,3,0),0)</f>
        <v>0</v>
      </c>
      <c r="G2702" s="18">
        <f t="shared" si="76"/>
        <v>0</v>
      </c>
    </row>
    <row r="2703" spans="1:7" ht="15.75" x14ac:dyDescent="0.25">
      <c r="A2703" s="15">
        <f>'PEDIDO 34'!$B$2</f>
        <v>0</v>
      </c>
      <c r="B2703" s="12" t="s">
        <v>425</v>
      </c>
      <c r="C2703" s="1">
        <f>IFERROR(VLOOKUP(400,'PEDIDO 34'!$C$2:$E$230,3,0),0)</f>
        <v>0</v>
      </c>
      <c r="D2703" s="1">
        <f>IFERROR(VLOOKUP(401,'PEDIDO 34'!$C$2:$E$230,3,0),0)</f>
        <v>0</v>
      </c>
      <c r="E2703" s="1">
        <f>IFERROR(VLOOKUP(402,'PEDIDO 34'!$C$2:$E$230,3,0),0)</f>
        <v>0</v>
      </c>
      <c r="F2703" s="1">
        <f>IFERROR(VLOOKUP(403,'PEDIDO 34'!$C$2:$E$230,3,0),0)</f>
        <v>0</v>
      </c>
      <c r="G2703" s="18">
        <f t="shared" si="76"/>
        <v>0</v>
      </c>
    </row>
    <row r="2704" spans="1:7" ht="15.75" x14ac:dyDescent="0.25">
      <c r="A2704" s="15">
        <f>'PEDIDO 34'!$B$2</f>
        <v>0</v>
      </c>
      <c r="B2704" s="12" t="s">
        <v>428</v>
      </c>
      <c r="C2704" s="1">
        <f>IFERROR(VLOOKUP(22,'PEDIDO 34'!$C$2:$E$230,3,0),0)</f>
        <v>0</v>
      </c>
      <c r="D2704" s="1"/>
      <c r="E2704" s="1"/>
      <c r="F2704" s="1"/>
      <c r="G2704" s="18">
        <f t="shared" si="76"/>
        <v>0</v>
      </c>
    </row>
    <row r="2705" spans="1:7" ht="15.75" x14ac:dyDescent="0.25">
      <c r="A2705" s="15">
        <f>'PEDIDO 34'!$B$2</f>
        <v>0</v>
      </c>
      <c r="B2705" s="12" t="s">
        <v>429</v>
      </c>
      <c r="C2705" s="1">
        <f>IFERROR(VLOOKUP(21,'PEDIDO 34'!$C$2:$E$230,3,0),0)</f>
        <v>0</v>
      </c>
      <c r="D2705" s="1"/>
      <c r="E2705" s="1"/>
      <c r="F2705" s="1"/>
      <c r="G2705" s="18">
        <f t="shared" si="76"/>
        <v>0</v>
      </c>
    </row>
    <row r="2706" spans="1:7" ht="15.75" x14ac:dyDescent="0.25">
      <c r="A2706" s="15">
        <f>'PEDIDO 34'!$B$2</f>
        <v>0</v>
      </c>
      <c r="B2706" s="12" t="s">
        <v>430</v>
      </c>
      <c r="C2706" s="1">
        <f>IFERROR(VLOOKUP(1125,'PEDIDO 34'!$C$2:$E$230,3,0),0)</f>
        <v>0</v>
      </c>
      <c r="D2706" s="1">
        <f>IFERROR(VLOOKUP(1126,'PEDIDO 34'!$C$2:$E$230,3,0),0)</f>
        <v>0</v>
      </c>
      <c r="E2706" s="1">
        <f>IFERROR(VLOOKUP(1127,'PEDIDO 34'!$C$2:$E$230,3,0),0)</f>
        <v>0</v>
      </c>
      <c r="F2706" s="1">
        <f>IFERROR(VLOOKUP(1128,'PEDIDO 34'!$C$2:$E$230,3,0),0)</f>
        <v>0</v>
      </c>
      <c r="G2706" s="18">
        <f t="shared" si="76"/>
        <v>0</v>
      </c>
    </row>
    <row r="2707" spans="1:7" ht="15.75" x14ac:dyDescent="0.25">
      <c r="A2707" s="15">
        <f>'PEDIDO 34'!$B$2</f>
        <v>0</v>
      </c>
      <c r="B2707" s="12" t="s">
        <v>431</v>
      </c>
      <c r="C2707" s="1">
        <f>IFERROR(VLOOKUP(1133,'PEDIDO 34'!$C$2:$E$230,3,0),0)</f>
        <v>0</v>
      </c>
      <c r="D2707" s="1">
        <f>IFERROR(VLOOKUP(1134,'PEDIDO 34'!$C$2:$E$230,3,0),0)</f>
        <v>0</v>
      </c>
      <c r="E2707" s="1">
        <f>IFERROR(VLOOKUP(1135,'PEDIDO 34'!$C$2:$E$230,3,0),0)</f>
        <v>0</v>
      </c>
      <c r="F2707" s="1">
        <f>IFERROR(VLOOKUP(1136,'PEDIDO 34'!$C$2:$E$230,3,0),0)</f>
        <v>0</v>
      </c>
      <c r="G2707" s="18">
        <f t="shared" si="76"/>
        <v>0</v>
      </c>
    </row>
    <row r="2708" spans="1:7" ht="15.75" x14ac:dyDescent="0.25">
      <c r="A2708" s="15">
        <f>'PEDIDO 34'!$B$2</f>
        <v>0</v>
      </c>
      <c r="B2708" s="12" t="s">
        <v>432</v>
      </c>
      <c r="C2708" s="1">
        <f>IFERROR(VLOOKUP(1105,'PEDIDO 34'!$C$2:$E$230,3,0),0)</f>
        <v>0</v>
      </c>
      <c r="D2708" s="1">
        <f>IFERROR(VLOOKUP(1106,'PEDIDO 34'!$C$2:$E$230,3,0),0)</f>
        <v>0</v>
      </c>
      <c r="E2708" s="1">
        <f>IFERROR(VLOOKUP(1107,'PEDIDO 34'!$C$2:$E$230,3,0),0)</f>
        <v>0</v>
      </c>
      <c r="F2708" s="1">
        <f>IFERROR(VLOOKUP(1108,'PEDIDO 34'!$C$2:$E$230,3,0),0)</f>
        <v>0</v>
      </c>
      <c r="G2708" s="18">
        <f t="shared" si="76"/>
        <v>0</v>
      </c>
    </row>
    <row r="2709" spans="1:7" ht="15.75" x14ac:dyDescent="0.25">
      <c r="A2709" s="15">
        <f>'PEDIDO 34'!$B$2</f>
        <v>0</v>
      </c>
      <c r="B2709" s="12" t="s">
        <v>433</v>
      </c>
      <c r="C2709" s="1">
        <f>IFERROR(VLOOKUP(1109,'PEDIDO 34'!$C$2:$E$230,3,0),0)</f>
        <v>0</v>
      </c>
      <c r="D2709" s="1">
        <f>IFERROR(VLOOKUP(1110,'PEDIDO 34'!$C$2:$E$230,3,0),0)</f>
        <v>0</v>
      </c>
      <c r="E2709" s="1">
        <f>IFERROR(VLOOKUP(1111,'PEDIDO 34'!$C$2:$E$230,3,0),0)</f>
        <v>0</v>
      </c>
      <c r="F2709" s="1">
        <f>IFERROR(VLOOKUP(1112,'PEDIDO 34'!$C$2:$E$230,3,0),0)</f>
        <v>0</v>
      </c>
      <c r="G2709" s="18">
        <f t="shared" si="76"/>
        <v>0</v>
      </c>
    </row>
    <row r="2710" spans="1:7" ht="15.75" x14ac:dyDescent="0.25">
      <c r="A2710" s="15">
        <f>'PEDIDO 34'!$B$2</f>
        <v>0</v>
      </c>
      <c r="B2710" s="12" t="s">
        <v>434</v>
      </c>
      <c r="C2710" s="1">
        <f>IFERROR(VLOOKUP(1113,'PEDIDO 34'!$C$2:$E$230,3,0),0)</f>
        <v>0</v>
      </c>
      <c r="D2710" s="1">
        <f>IFERROR(VLOOKUP(1114,'PEDIDO 34'!$C$2:$E$230,3,0),0)</f>
        <v>0</v>
      </c>
      <c r="E2710" s="1">
        <f>IFERROR(VLOOKUP(1115,'PEDIDO 34'!$C$2:$E$230,3,0),0)</f>
        <v>0</v>
      </c>
      <c r="F2710" s="1">
        <f>IFERROR(VLOOKUP(1116,'PEDIDO 34'!$C$2:$E$230,3,0),0)</f>
        <v>0</v>
      </c>
      <c r="G2710" s="18">
        <f t="shared" si="76"/>
        <v>0</v>
      </c>
    </row>
    <row r="2711" spans="1:7" ht="15.75" x14ac:dyDescent="0.25">
      <c r="A2711" s="15">
        <f>'PEDIDO 34'!$B$2</f>
        <v>0</v>
      </c>
      <c r="B2711" s="12" t="s">
        <v>435</v>
      </c>
      <c r="C2711" s="1">
        <f>IFERROR(VLOOKUP(1117,'PEDIDO 34'!$C$2:$E$230,3,0),0)</f>
        <v>0</v>
      </c>
      <c r="D2711" s="1">
        <f>IFERROR(VLOOKUP(1118,'PEDIDO 34'!$C$2:$E$230,3,0),0)</f>
        <v>0</v>
      </c>
      <c r="E2711" s="1">
        <f>IFERROR(VLOOKUP(1119,'PEDIDO 34'!$C$2:$E$230,3,0),0)</f>
        <v>0</v>
      </c>
      <c r="F2711" s="1">
        <f>IFERROR(VLOOKUP(1120,'PEDIDO 34'!$C$2:$E$230,3,0),0)</f>
        <v>0</v>
      </c>
      <c r="G2711" s="18">
        <f t="shared" si="76"/>
        <v>0</v>
      </c>
    </row>
    <row r="2712" spans="1:7" ht="15.75" x14ac:dyDescent="0.25">
      <c r="A2712" s="15">
        <f>'PEDIDO 34'!$B$2</f>
        <v>0</v>
      </c>
      <c r="B2712" s="12" t="s">
        <v>436</v>
      </c>
      <c r="C2712" s="1">
        <f>IFERROR(VLOOKUP(1121,'PEDIDO 34'!$C$2:$E$230,3,0),0)</f>
        <v>0</v>
      </c>
      <c r="D2712" s="1">
        <f>IFERROR(VLOOKUP(1122,'PEDIDO 34'!$C$2:$E$230,3,0),0)</f>
        <v>0</v>
      </c>
      <c r="E2712" s="1">
        <f>IFERROR(VLOOKUP(1123,'PEDIDO 34'!$C$2:$E$230,3,0),0)</f>
        <v>0</v>
      </c>
      <c r="F2712" s="1">
        <f>IFERROR(VLOOKUP(1124,'PEDIDO 34'!$C$2:$E$230,3,0),0)</f>
        <v>0</v>
      </c>
      <c r="G2712" s="18">
        <f t="shared" si="76"/>
        <v>0</v>
      </c>
    </row>
    <row r="2713" spans="1:7" ht="15.75" x14ac:dyDescent="0.25">
      <c r="A2713" s="15">
        <f>'PEDIDO 34'!$B$2</f>
        <v>0</v>
      </c>
      <c r="B2713" s="12" t="s">
        <v>437</v>
      </c>
      <c r="C2713" s="1">
        <f>IFERROR(VLOOKUP(1129,'PEDIDO 34'!$C$2:$E$230,3,0),0)</f>
        <v>0</v>
      </c>
      <c r="D2713" s="1">
        <f>IFERROR(VLOOKUP(1130,'PEDIDO 34'!$C$2:$E$230,3,0),0)</f>
        <v>0</v>
      </c>
      <c r="E2713" s="1">
        <f>IFERROR(VLOOKUP(1131,'PEDIDO 34'!$C$2:$E$230,3,0),0)</f>
        <v>0</v>
      </c>
      <c r="F2713" s="1">
        <f>IFERROR(VLOOKUP(1132,'PEDIDO 34'!$C$2:$E$230,3,0),0)</f>
        <v>0</v>
      </c>
      <c r="G2713" s="18">
        <f t="shared" si="76"/>
        <v>0</v>
      </c>
    </row>
    <row r="2714" spans="1:7" ht="15.75" x14ac:dyDescent="0.25">
      <c r="A2714" s="15">
        <f>'PEDIDO 34'!$B$2</f>
        <v>0</v>
      </c>
      <c r="B2714" s="12" t="s">
        <v>438</v>
      </c>
      <c r="C2714" s="1">
        <f>IFERROR(VLOOKUP(1137,'PEDIDO 34'!$C$2:$E$230,3,0),0)</f>
        <v>0</v>
      </c>
      <c r="D2714" s="1">
        <f>IFERROR(VLOOKUP(1138,'PEDIDO 34'!$C$2:$E$230,3,0),0)</f>
        <v>0</v>
      </c>
      <c r="E2714" s="1">
        <f>IFERROR(VLOOKUP(1139,'PEDIDO 34'!$C$2:$E$230,3,0),0)</f>
        <v>0</v>
      </c>
      <c r="F2714" s="1">
        <f>IFERROR(VLOOKUP(1140,'PEDIDO 34'!$C$2:$E$230,3,0),0)</f>
        <v>0</v>
      </c>
      <c r="G2714" s="18">
        <f t="shared" si="76"/>
        <v>0</v>
      </c>
    </row>
    <row r="2715" spans="1:7" ht="15.75" x14ac:dyDescent="0.25">
      <c r="A2715" s="15">
        <f>'PEDIDO 34'!$B$2</f>
        <v>0</v>
      </c>
      <c r="B2715" s="12" t="s">
        <v>439</v>
      </c>
      <c r="C2715" s="1">
        <f>IFERROR(VLOOKUP(1141,'PEDIDO 34'!$C$2:$E$230,3,0),0)</f>
        <v>0</v>
      </c>
      <c r="D2715" s="1">
        <f>IFERROR(VLOOKUP(1142,'PEDIDO 34'!$C$2:$E$230,3,0),0)</f>
        <v>0</v>
      </c>
      <c r="E2715" s="1">
        <f>IFERROR(VLOOKUP(1143,'PEDIDO 34'!$C$2:$E$230,3,0),0)</f>
        <v>0</v>
      </c>
      <c r="F2715" s="1">
        <f>IFERROR(VLOOKUP(1144,'PEDIDO 34'!$C$2:$E$230,3,0),0)</f>
        <v>0</v>
      </c>
      <c r="G2715" s="18">
        <f t="shared" si="76"/>
        <v>0</v>
      </c>
    </row>
    <row r="2716" spans="1:7" ht="15.75" x14ac:dyDescent="0.25">
      <c r="A2716" s="15">
        <f>'PEDIDO 34'!$B$2</f>
        <v>0</v>
      </c>
      <c r="B2716" s="12" t="s">
        <v>440</v>
      </c>
      <c r="C2716" s="1">
        <f>IFERROR(VLOOKUP(1145,'PEDIDO 34'!$C$2:$E$230,3,0),0)</f>
        <v>0</v>
      </c>
      <c r="D2716" s="1">
        <f>IFERROR(VLOOKUP(1146,'PEDIDO 34'!$C$2:$E$230,3,0),0)</f>
        <v>0</v>
      </c>
      <c r="E2716" s="1">
        <f>IFERROR(VLOOKUP(1147,'PEDIDO 34'!$C$2:$E$230,3,0),0)</f>
        <v>0</v>
      </c>
      <c r="F2716" s="1">
        <f>IFERROR(VLOOKUP(1148,'PEDIDO 34'!$C$2:$E$230,3,0),0)</f>
        <v>0</v>
      </c>
      <c r="G2716" s="18">
        <f t="shared" si="76"/>
        <v>0</v>
      </c>
    </row>
    <row r="2717" spans="1:7" ht="15.75" x14ac:dyDescent="0.25">
      <c r="A2717" s="15">
        <f>'PEDIDO 34'!$B$2</f>
        <v>0</v>
      </c>
      <c r="B2717" s="12" t="s">
        <v>441</v>
      </c>
      <c r="C2717" s="1">
        <f>IFERROR(VLOOKUP(1149,'PEDIDO 34'!$C$2:$E$230,3,0),0)</f>
        <v>0</v>
      </c>
      <c r="D2717" s="1">
        <f>IFERROR(VLOOKUP(1150,'PEDIDO 34'!$C$2:$E$230,3,0),0)</f>
        <v>0</v>
      </c>
      <c r="E2717" s="1">
        <f>IFERROR(VLOOKUP(1151,'PEDIDO 34'!$C$2:$E$230,3,0),0)</f>
        <v>0</v>
      </c>
      <c r="F2717" s="1">
        <f>IFERROR(VLOOKUP(1152,'PEDIDO 34'!$C$2:$E$230,3,0),0)</f>
        <v>0</v>
      </c>
      <c r="G2717" s="18">
        <f t="shared" si="76"/>
        <v>0</v>
      </c>
    </row>
    <row r="2718" spans="1:7" ht="15.75" x14ac:dyDescent="0.25">
      <c r="A2718" s="15">
        <f>'PEDIDO 34'!$B$2</f>
        <v>0</v>
      </c>
      <c r="B2718" s="12" t="s">
        <v>442</v>
      </c>
      <c r="C2718" s="1">
        <f>IFERROR(VLOOKUP(1153,'PEDIDO 34'!$C$2:$E$230,3,0),0)</f>
        <v>0</v>
      </c>
      <c r="D2718" s="1">
        <f>IFERROR(VLOOKUP(1154,'PEDIDO 34'!$C$2:$E$230,3,0),0)</f>
        <v>0</v>
      </c>
      <c r="E2718" s="1">
        <f>IFERROR(VLOOKUP(1155,'PEDIDO 34'!$C$2:$E$230,3,0),0)</f>
        <v>0</v>
      </c>
      <c r="F2718" s="1">
        <f>IFERROR(VLOOKUP(1156,'PEDIDO 34'!$C$2:$E$230,3,0),0)</f>
        <v>0</v>
      </c>
      <c r="G2718" s="18">
        <f t="shared" si="76"/>
        <v>0</v>
      </c>
    </row>
    <row r="2719" spans="1:7" ht="15.75" x14ac:dyDescent="0.25">
      <c r="A2719" s="15">
        <f>'PEDIDO 34'!$B$2</f>
        <v>0</v>
      </c>
      <c r="B2719" s="12" t="s">
        <v>443</v>
      </c>
      <c r="C2719" s="1">
        <f>IFERROR(VLOOKUP(1157,'PEDIDO 34'!$C$2:$E$230,3,0),0)</f>
        <v>0</v>
      </c>
      <c r="D2719" s="1">
        <f>IFERROR(VLOOKUP(1158,'PEDIDO 34'!$C$2:$E$230,3,0),0)</f>
        <v>0</v>
      </c>
      <c r="E2719" s="1">
        <f>IFERROR(VLOOKUP(1159,'PEDIDO 34'!$C$2:$E$230,3,0),0)</f>
        <v>0</v>
      </c>
      <c r="F2719" s="1">
        <f>IFERROR(VLOOKUP(1160,'PEDIDO 34'!$C$2:$E$230,3,0),0)</f>
        <v>0</v>
      </c>
      <c r="G2719" s="18">
        <f t="shared" si="76"/>
        <v>0</v>
      </c>
    </row>
    <row r="2720" spans="1:7" ht="15.75" x14ac:dyDescent="0.25">
      <c r="A2720" s="15">
        <f>'PEDIDO 34'!$B$2</f>
        <v>0</v>
      </c>
      <c r="B2720" s="12" t="s">
        <v>444</v>
      </c>
      <c r="C2720" s="1">
        <f>IFERROR(VLOOKUP(1161,'PEDIDO 34'!$C$2:$E$230,3,0),0)</f>
        <v>0</v>
      </c>
      <c r="D2720" s="1">
        <f>IFERROR(VLOOKUP(1162,'PEDIDO 34'!$C$2:$E$230,3,0),0)</f>
        <v>0</v>
      </c>
      <c r="E2720" s="1">
        <f>IFERROR(VLOOKUP(1163,'PEDIDO 34'!$C$2:$E$230,3,0),0)</f>
        <v>0</v>
      </c>
      <c r="F2720" s="1">
        <f>IFERROR(VLOOKUP(1164,'PEDIDO 34'!$C$2:$E$230,3,0),0)</f>
        <v>0</v>
      </c>
      <c r="G2720" s="18">
        <f t="shared" si="76"/>
        <v>0</v>
      </c>
    </row>
    <row r="2721" spans="1:7" ht="15.75" x14ac:dyDescent="0.25">
      <c r="A2721" s="15">
        <f>'PEDIDO 34'!$B$2</f>
        <v>0</v>
      </c>
      <c r="B2721" s="12" t="s">
        <v>445</v>
      </c>
      <c r="C2721" s="1">
        <f>IFERROR(VLOOKUP(1165,'PEDIDO 34'!$C$2:$E$230,3,0),0)</f>
        <v>0</v>
      </c>
      <c r="D2721" s="1">
        <f>IFERROR(VLOOKUP(1166,'PEDIDO 34'!$C$2:$E$230,3,0),0)</f>
        <v>0</v>
      </c>
      <c r="E2721" s="1">
        <f>IFERROR(VLOOKUP(1167,'PEDIDO 34'!$C$2:$E$230,3,0),0)</f>
        <v>0</v>
      </c>
      <c r="F2721" s="1">
        <f>IFERROR(VLOOKUP(1168,'PEDIDO 34'!$C$2:$E$230,3,0),0)</f>
        <v>0</v>
      </c>
      <c r="G2721" s="18">
        <f t="shared" si="76"/>
        <v>0</v>
      </c>
    </row>
    <row r="2722" spans="1:7" ht="15.75" x14ac:dyDescent="0.25">
      <c r="A2722" s="15">
        <f>'PEDIDO 34'!$B$2</f>
        <v>0</v>
      </c>
      <c r="B2722" s="12" t="s">
        <v>446</v>
      </c>
      <c r="C2722" s="1">
        <f>IFERROR(VLOOKUP(1169,'PEDIDO 34'!$C$2:$E$230,3,0),0)</f>
        <v>0</v>
      </c>
      <c r="D2722" s="1">
        <f>IFERROR(VLOOKUP(1170,'PEDIDO 34'!$C$2:$E$230,3,0),0)</f>
        <v>0</v>
      </c>
      <c r="E2722" s="1">
        <f>IFERROR(VLOOKUP(1171,'PEDIDO 34'!$C$2:$E$230,3,0),0)</f>
        <v>0</v>
      </c>
      <c r="F2722" s="1">
        <f>IFERROR(VLOOKUP(1172,'PEDIDO 34'!$C$2:$E$230,3,0),0)</f>
        <v>0</v>
      </c>
      <c r="G2722" s="18">
        <f t="shared" si="76"/>
        <v>0</v>
      </c>
    </row>
    <row r="2723" spans="1:7" ht="15.75" x14ac:dyDescent="0.25">
      <c r="A2723" s="15">
        <f>'PEDIDO 34'!$B$2</f>
        <v>0</v>
      </c>
      <c r="B2723" s="12" t="s">
        <v>447</v>
      </c>
      <c r="C2723" s="1">
        <f>IFERROR(VLOOKUP(1173,'PEDIDO 34'!$C$2:$E$230,3,0),0)</f>
        <v>0</v>
      </c>
      <c r="D2723" s="1">
        <f>IFERROR(VLOOKUP(1174,'PEDIDO 34'!$C$2:$E$230,3,0),0)</f>
        <v>0</v>
      </c>
      <c r="E2723" s="1">
        <f>IFERROR(VLOOKUP(1175,'PEDIDO 34'!$C$2:$E$230,3,0),0)</f>
        <v>0</v>
      </c>
      <c r="F2723" s="1">
        <f>IFERROR(VLOOKUP(1176,'PEDIDO 34'!$C$2:$E$230,3,0),0)</f>
        <v>0</v>
      </c>
      <c r="G2723" s="18">
        <f t="shared" si="76"/>
        <v>0</v>
      </c>
    </row>
    <row r="2724" spans="1:7" ht="15.75" x14ac:dyDescent="0.25">
      <c r="A2724" s="15">
        <f>'PEDIDO 34'!$B$2</f>
        <v>0</v>
      </c>
      <c r="B2724" s="12" t="s">
        <v>448</v>
      </c>
      <c r="C2724" s="1">
        <f>IFERROR(VLOOKUP(1249,'PEDIDO 34'!$C$2:$E$230,3,0),0)</f>
        <v>0</v>
      </c>
      <c r="D2724" s="1">
        <f>IFERROR(VLOOKUP(1250,'PEDIDO 34'!$C$2:$E$230,3,0),0)</f>
        <v>0</v>
      </c>
      <c r="E2724" s="1">
        <f>IFERROR(VLOOKUP(1251,'PEDIDO 34'!$C$2:$E$230,3,0),0)</f>
        <v>0</v>
      </c>
      <c r="F2724" s="1">
        <f>IFERROR(VLOOKUP(1252,'PEDIDO 34'!$C$2:$E$230,3,0),0)</f>
        <v>0</v>
      </c>
      <c r="G2724" s="18">
        <f t="shared" si="76"/>
        <v>0</v>
      </c>
    </row>
    <row r="2725" spans="1:7" ht="15.75" x14ac:dyDescent="0.25">
      <c r="A2725" s="15">
        <f>'PEDIDO 34'!$B$2</f>
        <v>0</v>
      </c>
      <c r="B2725" s="12" t="s">
        <v>449</v>
      </c>
      <c r="C2725" s="1">
        <f>IFERROR(VLOOKUP(1177,'PEDIDO 34'!$C$2:$E$230,3,0),0)</f>
        <v>0</v>
      </c>
      <c r="D2725" s="1">
        <f>IFERROR(VLOOKUP(1178,'PEDIDO 34'!$C$2:$E$230,3,0),0)</f>
        <v>0</v>
      </c>
      <c r="E2725" s="1">
        <f>IFERROR(VLOOKUP(1179,'PEDIDO 34'!$C$2:$E$230,3,0),0)</f>
        <v>0</v>
      </c>
      <c r="F2725" s="1">
        <f>IFERROR(VLOOKUP(1180,'PEDIDO 34'!$C$2:$E$230,3,0),0)</f>
        <v>0</v>
      </c>
      <c r="G2725" s="18">
        <f t="shared" si="76"/>
        <v>0</v>
      </c>
    </row>
    <row r="2726" spans="1:7" ht="15.75" x14ac:dyDescent="0.25">
      <c r="A2726" s="15">
        <f>'PEDIDO 34'!$B$2</f>
        <v>0</v>
      </c>
      <c r="B2726" s="12" t="s">
        <v>450</v>
      </c>
      <c r="C2726" s="1">
        <f>IFERROR(VLOOKUP(1181,'PEDIDO 34'!$C$2:$E$230,3,0),0)</f>
        <v>0</v>
      </c>
      <c r="D2726" s="1">
        <f>IFERROR(VLOOKUP(1182,'PEDIDO 34'!$C$2:$E$230,3,0),0)</f>
        <v>0</v>
      </c>
      <c r="E2726" s="1">
        <f>IFERROR(VLOOKUP(1183,'PEDIDO 34'!$C$2:$E$230,3,0),0)</f>
        <v>0</v>
      </c>
      <c r="F2726" s="1">
        <f>IFERROR(VLOOKUP(1184,'PEDIDO 34'!$C$2:$E$230,3,0),0)</f>
        <v>0</v>
      </c>
      <c r="G2726" s="18">
        <f t="shared" si="76"/>
        <v>0</v>
      </c>
    </row>
    <row r="2727" spans="1:7" ht="15.75" x14ac:dyDescent="0.25">
      <c r="A2727" s="15">
        <f>'PEDIDO 34'!$B$2</f>
        <v>0</v>
      </c>
      <c r="B2727" s="12" t="s">
        <v>451</v>
      </c>
      <c r="C2727" s="1">
        <f>IFERROR(VLOOKUP(1185,'PEDIDO 34'!$C$2:$E$230,3,0),0)</f>
        <v>0</v>
      </c>
      <c r="D2727" s="1">
        <f>IFERROR(VLOOKUP(1186,'PEDIDO 34'!$C$2:$E$230,3,0),0)</f>
        <v>0</v>
      </c>
      <c r="E2727" s="1">
        <f>IFERROR(VLOOKUP(1187,'PEDIDO 34'!$C$2:$E$230,3,0),0)</f>
        <v>0</v>
      </c>
      <c r="F2727" s="1">
        <f>IFERROR(VLOOKUP(1188,'PEDIDO 34'!$C$2:$E$230,3,0),0)</f>
        <v>0</v>
      </c>
      <c r="G2727" s="18">
        <f t="shared" si="76"/>
        <v>0</v>
      </c>
    </row>
    <row r="2728" spans="1:7" ht="15.75" x14ac:dyDescent="0.25">
      <c r="A2728" s="15">
        <f>'PEDIDO 34'!$B$2</f>
        <v>0</v>
      </c>
      <c r="B2728" s="12" t="s">
        <v>452</v>
      </c>
      <c r="C2728" s="1">
        <f>IFERROR(VLOOKUP(1189,'PEDIDO 34'!$C$2:$E$230,3,0),0)</f>
        <v>0</v>
      </c>
      <c r="D2728" s="1">
        <f>IFERROR(VLOOKUP(1190,'PEDIDO 34'!$C$2:$E$230,3,0),0)</f>
        <v>0</v>
      </c>
      <c r="E2728" s="1">
        <f>IFERROR(VLOOKUP(1191,'PEDIDO 34'!$C$2:$E$230,3,0),0)</f>
        <v>0</v>
      </c>
      <c r="F2728" s="1">
        <f>IFERROR(VLOOKUP(1192,'PEDIDO 34'!$C$2:$E$230,3,0),0)</f>
        <v>0</v>
      </c>
      <c r="G2728" s="18">
        <f t="shared" si="76"/>
        <v>0</v>
      </c>
    </row>
    <row r="2729" spans="1:7" ht="15.75" x14ac:dyDescent="0.25">
      <c r="A2729" s="15">
        <f>'PEDIDO 34'!$B$2</f>
        <v>0</v>
      </c>
      <c r="B2729" s="12" t="s">
        <v>453</v>
      </c>
      <c r="C2729" s="1">
        <f>IFERROR(VLOOKUP(1193,'PEDIDO 34'!$C$2:$E$230,3,0),0)</f>
        <v>0</v>
      </c>
      <c r="D2729" s="1">
        <f>IFERROR(VLOOKUP(1194,'PEDIDO 34'!$C$2:$E$230,3,0),0)</f>
        <v>0</v>
      </c>
      <c r="E2729" s="1">
        <f>IFERROR(VLOOKUP(1195,'PEDIDO 34'!$C$2:$E$230,3,0),0)</f>
        <v>0</v>
      </c>
      <c r="F2729" s="1">
        <f>IFERROR(VLOOKUP(1196,'PEDIDO 34'!$C$2:$E$230,3,0),0)</f>
        <v>0</v>
      </c>
      <c r="G2729" s="18">
        <f t="shared" si="76"/>
        <v>0</v>
      </c>
    </row>
    <row r="2730" spans="1:7" ht="15.75" x14ac:dyDescent="0.25">
      <c r="A2730" s="15">
        <f>'PEDIDO 34'!$B$2</f>
        <v>0</v>
      </c>
      <c r="B2730" s="12" t="s">
        <v>454</v>
      </c>
      <c r="C2730" s="1">
        <f>IFERROR(VLOOKUP(1197,'PEDIDO 34'!$C$2:$E$230,3,0),0)</f>
        <v>0</v>
      </c>
      <c r="D2730" s="1">
        <f>IFERROR(VLOOKUP(1198,'PEDIDO 34'!$C$2:$E$230,3,0),0)</f>
        <v>0</v>
      </c>
      <c r="E2730" s="1">
        <f>IFERROR(VLOOKUP(1199,'PEDIDO 34'!$C$2:$E$230,3,0),0)</f>
        <v>0</v>
      </c>
      <c r="F2730" s="1">
        <f>IFERROR(VLOOKUP(1200,'PEDIDO 34'!$C$2:$E$230,3,0),0)</f>
        <v>0</v>
      </c>
      <c r="G2730" s="18">
        <f t="shared" si="76"/>
        <v>0</v>
      </c>
    </row>
    <row r="2731" spans="1:7" ht="15.75" x14ac:dyDescent="0.25">
      <c r="A2731" s="15">
        <f>'PEDIDO 34'!$B$2</f>
        <v>0</v>
      </c>
      <c r="B2731" s="12" t="s">
        <v>455</v>
      </c>
      <c r="C2731" s="1">
        <f>IFERROR(VLOOKUP(1201,'PEDIDO 34'!$C$2:$E$230,3,0),0)</f>
        <v>0</v>
      </c>
      <c r="D2731" s="1">
        <f>IFERROR(VLOOKUP(1202,'PEDIDO 34'!$C$2:$E$230,3,0),0)</f>
        <v>0</v>
      </c>
      <c r="E2731" s="1">
        <f>IFERROR(VLOOKUP(1203,'PEDIDO 34'!$C$2:$E$230,3,0),0)</f>
        <v>0</v>
      </c>
      <c r="F2731" s="1">
        <f>IFERROR(VLOOKUP(1204,'PEDIDO 34'!$C$2:$E$230,3,0),0)</f>
        <v>0</v>
      </c>
      <c r="G2731" s="18">
        <f t="shared" si="76"/>
        <v>0</v>
      </c>
    </row>
    <row r="2732" spans="1:7" ht="15.75" x14ac:dyDescent="0.25">
      <c r="A2732" s="15">
        <f>'PEDIDO 34'!$B$2</f>
        <v>0</v>
      </c>
      <c r="B2732" s="12" t="s">
        <v>456</v>
      </c>
      <c r="C2732" s="1">
        <f>IFERROR(VLOOKUP(1205,'PEDIDO 34'!$C$2:$E$230,3,0),0)</f>
        <v>0</v>
      </c>
      <c r="D2732" s="1">
        <f>IFERROR(VLOOKUP(1206,'PEDIDO 34'!$C$2:$E$230,3,0),0)</f>
        <v>0</v>
      </c>
      <c r="E2732" s="1">
        <f>IFERROR(VLOOKUP(1207,'PEDIDO 34'!$C$2:$E$230,3,0),0)</f>
        <v>0</v>
      </c>
      <c r="F2732" s="1">
        <f>IFERROR(VLOOKUP(1208,'PEDIDO 34'!$C$2:$E$230,3,0),0)</f>
        <v>0</v>
      </c>
      <c r="G2732" s="18">
        <f t="shared" si="76"/>
        <v>0</v>
      </c>
    </row>
    <row r="2733" spans="1:7" ht="15.75" x14ac:dyDescent="0.25">
      <c r="A2733" s="15">
        <f>'PEDIDO 34'!$B$2</f>
        <v>0</v>
      </c>
      <c r="B2733" s="12" t="s">
        <v>457</v>
      </c>
      <c r="C2733" s="1">
        <f>IFERROR(VLOOKUP(1213,'PEDIDO 34'!$C$2:$E$230,3,0),0)</f>
        <v>0</v>
      </c>
      <c r="D2733" s="1">
        <f>IFERROR(VLOOKUP(1214,'PEDIDO 34'!$C$2:$E$230,3,0),0)</f>
        <v>0</v>
      </c>
      <c r="E2733" s="1">
        <f>IFERROR(VLOOKUP(1215,'PEDIDO 34'!$C$2:$E$230,3,0),0)</f>
        <v>0</v>
      </c>
      <c r="F2733" s="10">
        <f>IFERROR(VLOOKUP(1216,'PEDIDO 34'!$C$2:$E$230,3,0),0)</f>
        <v>0</v>
      </c>
      <c r="G2733" s="18">
        <f t="shared" si="76"/>
        <v>0</v>
      </c>
    </row>
    <row r="2734" spans="1:7" ht="15.75" x14ac:dyDescent="0.25">
      <c r="A2734" s="15">
        <f>'PEDIDO 34'!$B$2</f>
        <v>0</v>
      </c>
      <c r="B2734" s="12" t="s">
        <v>458</v>
      </c>
      <c r="C2734" s="1">
        <f>IFERROR(VLOOKUP(1209,'PEDIDO 34'!$C$2:$E$230,3,0),0)</f>
        <v>0</v>
      </c>
      <c r="D2734" s="1">
        <f>IFERROR(VLOOKUP(1210,'PEDIDO 34'!$C$2:$E$230,3,0),0)</f>
        <v>0</v>
      </c>
      <c r="E2734" s="1">
        <f>IFERROR(VLOOKUP(1211,'PEDIDO 34'!$C$2:$E$230,3,0),0)</f>
        <v>0</v>
      </c>
      <c r="F2734" s="1">
        <f>IFERROR(VLOOKUP(1212,'PEDIDO 34'!$C$2:$E$230,3,0),0)</f>
        <v>0</v>
      </c>
      <c r="G2734" s="18">
        <f t="shared" si="76"/>
        <v>0</v>
      </c>
    </row>
    <row r="2735" spans="1:7" ht="15.75" x14ac:dyDescent="0.25">
      <c r="A2735" s="15">
        <f>'PEDIDO 34'!$B$2</f>
        <v>0</v>
      </c>
      <c r="B2735" s="12" t="s">
        <v>459</v>
      </c>
      <c r="C2735" s="1">
        <f>IFERROR(VLOOKUP(1217,'PEDIDO 34'!$C$2:$E$230,3,0),0)</f>
        <v>0</v>
      </c>
      <c r="D2735" s="1">
        <f>IFERROR(VLOOKUP(1218,'PEDIDO 34'!$C$2:$E$230,3,0),0)</f>
        <v>0</v>
      </c>
      <c r="E2735" s="1">
        <f>IFERROR(VLOOKUP(1219,'PEDIDO 34'!$C$2:$E$230,3,0),0)</f>
        <v>0</v>
      </c>
      <c r="F2735" s="1">
        <f>IFERROR(VLOOKUP(1220,'PEDIDO 34'!$C$2:$E$230,3,0),0)</f>
        <v>0</v>
      </c>
      <c r="G2735" s="18">
        <f t="shared" si="76"/>
        <v>0</v>
      </c>
    </row>
    <row r="2736" spans="1:7" ht="15.75" x14ac:dyDescent="0.25">
      <c r="A2736" s="15">
        <f>'PEDIDO 34'!$B$2</f>
        <v>0</v>
      </c>
      <c r="B2736" s="12" t="s">
        <v>461</v>
      </c>
      <c r="C2736" s="1">
        <f>IFERROR(VLOOKUP(1225,'PEDIDO 34'!$C$2:$E$230,3,0),0)</f>
        <v>0</v>
      </c>
      <c r="D2736" s="1">
        <f>IFERROR(VLOOKUP(1226,'PEDIDO 34'!$C$2:$E$230,3,0),0)</f>
        <v>0</v>
      </c>
      <c r="E2736" s="1">
        <f>IFERROR(VLOOKUP(1227,'PEDIDO 34'!$C$2:$E$230,3,0),0)</f>
        <v>0</v>
      </c>
      <c r="F2736" s="1">
        <f>IFERROR(VLOOKUP(1228,'PEDIDO 34'!$C$2:$E$230,3,0),0)</f>
        <v>0</v>
      </c>
      <c r="G2736" s="18">
        <f t="shared" si="76"/>
        <v>0</v>
      </c>
    </row>
    <row r="2737" spans="1:7" ht="15.75" x14ac:dyDescent="0.25">
      <c r="A2737" s="15">
        <f>'PEDIDO 34'!$B$2</f>
        <v>0</v>
      </c>
      <c r="B2737" s="12" t="s">
        <v>462</v>
      </c>
      <c r="C2737" s="1">
        <f>IFERROR(VLOOKUP(1221,'PEDIDO 34'!$C$2:$E$230,3,0),0)</f>
        <v>0</v>
      </c>
      <c r="D2737" s="1">
        <f>IFERROR(VLOOKUP(1222,'PEDIDO 34'!$C$2:$E$230,3,0),0)</f>
        <v>0</v>
      </c>
      <c r="E2737" s="1">
        <f>IFERROR(VLOOKUP(1223,'PEDIDO 34'!$C$2:$E$230,3,0),0)</f>
        <v>0</v>
      </c>
      <c r="F2737" s="1">
        <f>IFERROR(VLOOKUP(1224,'PEDIDO 34'!$C$2:$E$230,3,0),0)</f>
        <v>0</v>
      </c>
      <c r="G2737" s="18">
        <f t="shared" si="76"/>
        <v>0</v>
      </c>
    </row>
    <row r="2738" spans="1:7" ht="15.75" x14ac:dyDescent="0.25">
      <c r="A2738" s="15">
        <f>'PEDIDO 34'!$B$2</f>
        <v>0</v>
      </c>
      <c r="B2738" s="12" t="s">
        <v>460</v>
      </c>
      <c r="C2738" s="1">
        <f>IFERROR(VLOOKUP(1229,'PEDIDO 34'!$C$2:$E$230,3,0),0)</f>
        <v>0</v>
      </c>
      <c r="D2738" s="1">
        <f>IFERROR(VLOOKUP(1230,'PEDIDO 34'!$C$2:$E$230,3,0),0)</f>
        <v>0</v>
      </c>
      <c r="E2738" s="1">
        <f>IFERROR(VLOOKUP(1231,'PEDIDO 34'!$C$2:$E$230,3,0),0)</f>
        <v>0</v>
      </c>
      <c r="F2738" s="1">
        <f>IFERROR(VLOOKUP(1232,'PEDIDO 34'!$C$2:$E$230,3,0),0)</f>
        <v>0</v>
      </c>
      <c r="G2738" s="18">
        <f t="shared" si="76"/>
        <v>0</v>
      </c>
    </row>
    <row r="2739" spans="1:7" ht="15.75" x14ac:dyDescent="0.25">
      <c r="A2739" s="15">
        <f>'PEDIDO 34'!$B$2</f>
        <v>0</v>
      </c>
      <c r="B2739" s="12" t="s">
        <v>463</v>
      </c>
      <c r="C2739" s="1">
        <f>IFERROR(VLOOKUP(1233,'PEDIDO 34'!$C$2:$E$230,3,0),0)</f>
        <v>0</v>
      </c>
      <c r="D2739" s="1">
        <f>IFERROR(VLOOKUP(1234,'PEDIDO 34'!$C$2:$E$230,3,0),0)</f>
        <v>0</v>
      </c>
      <c r="E2739" s="1">
        <f>IFERROR(VLOOKUP(1235,'PEDIDO 34'!$C$2:$E$230,3,0),0)</f>
        <v>0</v>
      </c>
      <c r="F2739" s="1">
        <f>IFERROR(VLOOKUP(1236,'PEDIDO 34'!$C$2:$E$230,3,0),0)</f>
        <v>0</v>
      </c>
      <c r="G2739" s="18">
        <f t="shared" si="76"/>
        <v>0</v>
      </c>
    </row>
    <row r="2740" spans="1:7" ht="15.75" x14ac:dyDescent="0.25">
      <c r="A2740" s="15">
        <f>'PEDIDO 34'!$B$2</f>
        <v>0</v>
      </c>
      <c r="B2740" s="12" t="s">
        <v>464</v>
      </c>
      <c r="C2740" s="1">
        <f>IFERROR(VLOOKUP(1237,'PEDIDO 34'!$C$2:$E$230,3,0),0)</f>
        <v>0</v>
      </c>
      <c r="D2740" s="1">
        <f>IFERROR(VLOOKUP(1238,'PEDIDO 34'!$C$2:$E$230,3,0),0)</f>
        <v>0</v>
      </c>
      <c r="E2740" s="1">
        <f>IFERROR(VLOOKUP(1239,'PEDIDO 34'!$C$2:$E$230,3,0),0)</f>
        <v>0</v>
      </c>
      <c r="F2740" s="1">
        <f>IFERROR(VLOOKUP(1240,'PEDIDO 34'!$C$2:$E$230,3,0),0)</f>
        <v>0</v>
      </c>
      <c r="G2740" s="18">
        <f t="shared" ref="G2740:G2752" si="77">SUM(C2740+D2740+E2740+F2740)</f>
        <v>0</v>
      </c>
    </row>
    <row r="2741" spans="1:7" ht="15.75" x14ac:dyDescent="0.25">
      <c r="A2741" s="15">
        <f>'PEDIDO 34'!$B$2</f>
        <v>0</v>
      </c>
      <c r="B2741" s="12" t="s">
        <v>465</v>
      </c>
      <c r="C2741" s="1">
        <f>IFERROR(VLOOKUP(1241,'PEDIDO 34'!$C$2:$E$230,3,0),0)</f>
        <v>0</v>
      </c>
      <c r="D2741" s="1">
        <f>IFERROR(VLOOKUP(1242,'PEDIDO 34'!$C$2:$E$230,3,0),0)</f>
        <v>0</v>
      </c>
      <c r="E2741" s="1">
        <f>IFERROR(VLOOKUP(1243,'PEDIDO 34'!$C$2:$E$230,3,0),0)</f>
        <v>0</v>
      </c>
      <c r="F2741" s="1">
        <f>IFERROR(VLOOKUP(1244,'PEDIDO 34'!$C$2:$E$230,3,0),0)</f>
        <v>0</v>
      </c>
      <c r="G2741" s="18">
        <f t="shared" si="77"/>
        <v>0</v>
      </c>
    </row>
    <row r="2742" spans="1:7" ht="15.75" x14ac:dyDescent="0.25">
      <c r="A2742" s="15">
        <f>'PEDIDO 34'!$B$2</f>
        <v>0</v>
      </c>
      <c r="B2742" s="12" t="s">
        <v>466</v>
      </c>
      <c r="C2742" s="1">
        <f>IFERROR(VLOOKUP(1245,'PEDIDO 34'!$C$2:$E$230,3,0),0)</f>
        <v>0</v>
      </c>
      <c r="D2742" s="1">
        <f>IFERROR(VLOOKUP(1246,'PEDIDO 34'!$C$2:$E$230,3,0),0)</f>
        <v>0</v>
      </c>
      <c r="E2742" s="1">
        <f>IFERROR(VLOOKUP(1247,'PEDIDO 34'!$C$2:$E$230,3,0),0)</f>
        <v>0</v>
      </c>
      <c r="F2742" s="1">
        <f>IFERROR(VLOOKUP(1248,'PEDIDO 34'!$C$2:$E$230,3,0),0)</f>
        <v>0</v>
      </c>
      <c r="G2742" s="18">
        <f t="shared" si="77"/>
        <v>0</v>
      </c>
    </row>
    <row r="2743" spans="1:7" ht="15.75" x14ac:dyDescent="0.25">
      <c r="A2743" s="15">
        <f>'PEDIDO 34'!$B$2</f>
        <v>0</v>
      </c>
      <c r="B2743" s="12" t="s">
        <v>467</v>
      </c>
      <c r="C2743" s="1">
        <f>IFERROR(VLOOKUP(25714,'PEDIDO 34'!$C$2:$E$230,3,0),0)</f>
        <v>0</v>
      </c>
      <c r="D2743" s="1"/>
      <c r="E2743" s="1"/>
      <c r="F2743" s="1"/>
      <c r="G2743" s="18">
        <f t="shared" si="77"/>
        <v>0</v>
      </c>
    </row>
    <row r="2744" spans="1:7" ht="15.75" x14ac:dyDescent="0.25">
      <c r="A2744" s="15">
        <f>'PEDIDO 34'!$B$2</f>
        <v>0</v>
      </c>
      <c r="B2744" s="12" t="s">
        <v>468</v>
      </c>
      <c r="C2744" s="1">
        <f>IFERROR(VLOOKUP(25712,'PEDIDO 34'!$C$2:$E$230,3,0),0)</f>
        <v>0</v>
      </c>
      <c r="D2744" s="1"/>
      <c r="E2744" s="1"/>
      <c r="F2744" s="1"/>
      <c r="G2744" s="18">
        <f t="shared" si="77"/>
        <v>0</v>
      </c>
    </row>
    <row r="2745" spans="1:7" ht="15.75" x14ac:dyDescent="0.25">
      <c r="A2745" s="15">
        <f>'PEDIDO 34'!$B$2</f>
        <v>0</v>
      </c>
      <c r="B2745" s="12" t="s">
        <v>469</v>
      </c>
      <c r="C2745" s="1">
        <f>IFERROR(VLOOKUP(25713,'PEDIDO 34'!$C$2:$E$230,3,0),0)</f>
        <v>0</v>
      </c>
      <c r="D2745" s="1"/>
      <c r="E2745" s="1"/>
      <c r="F2745" s="1"/>
      <c r="G2745" s="18">
        <f t="shared" si="77"/>
        <v>0</v>
      </c>
    </row>
    <row r="2746" spans="1:7" ht="15.75" x14ac:dyDescent="0.25">
      <c r="A2746" s="15">
        <f>'PEDIDO 34'!$B$2</f>
        <v>0</v>
      </c>
      <c r="B2746" s="12" t="s">
        <v>470</v>
      </c>
      <c r="C2746" s="1">
        <f>IFERROR(VLOOKUP(1260,'PEDIDO 34'!$C$2:$E$230,3,0),0)</f>
        <v>0</v>
      </c>
      <c r="D2746" s="1"/>
      <c r="E2746" s="1"/>
      <c r="F2746" s="1"/>
      <c r="G2746" s="18">
        <f t="shared" si="77"/>
        <v>0</v>
      </c>
    </row>
    <row r="2747" spans="1:7" ht="15.75" x14ac:dyDescent="0.25">
      <c r="A2747" s="15">
        <f>'PEDIDO 34'!$B$2</f>
        <v>0</v>
      </c>
      <c r="B2747" s="12" t="s">
        <v>471</v>
      </c>
      <c r="C2747" s="1">
        <f>IFERROR(VLOOKUP(1261,'PEDIDO 34'!$C$2:$E$230,3,0),0)</f>
        <v>0</v>
      </c>
      <c r="D2747" s="1"/>
      <c r="E2747" s="1"/>
      <c r="F2747" s="1"/>
      <c r="G2747" s="18">
        <f t="shared" si="77"/>
        <v>0</v>
      </c>
    </row>
    <row r="2748" spans="1:7" ht="15.75" x14ac:dyDescent="0.25">
      <c r="A2748" s="15">
        <f>'PEDIDO 34'!$B$2</f>
        <v>0</v>
      </c>
      <c r="B2748" s="12" t="s">
        <v>472</v>
      </c>
      <c r="C2748" s="1">
        <f>IFERROR(VLOOKUP(1262,'PEDIDO 34'!$C$2:$E$230,3,0),0)</f>
        <v>0</v>
      </c>
      <c r="D2748" s="1"/>
      <c r="E2748" s="1"/>
      <c r="F2748" s="1"/>
      <c r="G2748" s="18">
        <f t="shared" si="77"/>
        <v>0</v>
      </c>
    </row>
    <row r="2749" spans="1:7" ht="15.75" x14ac:dyDescent="0.25">
      <c r="A2749" s="15">
        <f>'PEDIDO 34'!$B$2</f>
        <v>0</v>
      </c>
      <c r="B2749" s="12" t="s">
        <v>473</v>
      </c>
      <c r="C2749" s="1">
        <f>IFERROR(VLOOKUP(1263,'PEDIDO 34'!$C$2:$E$230,3,0),0)</f>
        <v>0</v>
      </c>
      <c r="D2749" s="1"/>
      <c r="E2749" s="1"/>
      <c r="F2749" s="1"/>
      <c r="G2749" s="18">
        <f t="shared" si="77"/>
        <v>0</v>
      </c>
    </row>
    <row r="2750" spans="1:7" ht="15.75" x14ac:dyDescent="0.25">
      <c r="A2750" s="15">
        <f>'PEDIDO 34'!$B$2</f>
        <v>0</v>
      </c>
      <c r="B2750" s="12" t="s">
        <v>474</v>
      </c>
      <c r="C2750" s="1">
        <f>IFERROR(VLOOKUP(1264,'PEDIDO 34'!$C$2:$E$230,3,0),0)</f>
        <v>0</v>
      </c>
      <c r="D2750" s="1"/>
      <c r="E2750" s="1"/>
      <c r="F2750" s="1"/>
      <c r="G2750" s="18">
        <f t="shared" si="77"/>
        <v>0</v>
      </c>
    </row>
    <row r="2751" spans="1:7" ht="15.75" x14ac:dyDescent="0.25">
      <c r="A2751" s="15">
        <f>'PEDIDO 34'!$B$2</f>
        <v>0</v>
      </c>
      <c r="B2751" s="12" t="s">
        <v>475</v>
      </c>
      <c r="C2751" s="1">
        <f>IFERROR(VLOOKUP(1265,'PEDIDO 34'!$C$2:$E$230,3,0),0)</f>
        <v>0</v>
      </c>
      <c r="D2751" s="1"/>
      <c r="E2751" s="1"/>
      <c r="F2751" s="1"/>
      <c r="G2751" s="18">
        <f t="shared" si="77"/>
        <v>0</v>
      </c>
    </row>
    <row r="2752" spans="1:7" ht="15.75" x14ac:dyDescent="0.25">
      <c r="A2752" s="15">
        <f>'PEDIDO 34'!$B$2</f>
        <v>0</v>
      </c>
      <c r="B2752" s="12" t="s">
        <v>476</v>
      </c>
      <c r="C2752" s="1">
        <f>IFERROR(VLOOKUP(1266,'PEDIDO 34'!$C$2:$E$230,3,0),0)</f>
        <v>0</v>
      </c>
      <c r="D2752" s="1"/>
      <c r="E2752" s="1"/>
      <c r="F2752" s="1"/>
      <c r="G2752" s="18">
        <f t="shared" si="77"/>
        <v>0</v>
      </c>
    </row>
    <row r="2753" spans="1:7" ht="15.75" x14ac:dyDescent="0.25">
      <c r="A2753" s="15">
        <f>'PEDIDO 34'!$B$2</f>
        <v>0</v>
      </c>
      <c r="B2753" s="12" t="s">
        <v>477</v>
      </c>
      <c r="C2753" s="1">
        <f>IFERROR(VLOOKUP(1268,'PEDIDO 34'!$C$2:$E$230,3,0),0)</f>
        <v>0</v>
      </c>
      <c r="D2753" s="1">
        <f>IFERROR(VLOOKUP(1269,'PEDIDO 34'!$C$2:$E$230,3,0),0)</f>
        <v>0</v>
      </c>
      <c r="E2753" s="1">
        <f>IFERROR(VLOOKUP(1270,'PEDIDO 34'!$C$2:$E$230,3,0),0)</f>
        <v>0</v>
      </c>
      <c r="F2753" s="1">
        <f>IFERROR(VLOOKUP(1271,'PEDIDO 34'!$C$2:$E$230,3,0),0)</f>
        <v>0</v>
      </c>
      <c r="G2753" s="18">
        <f t="shared" ref="G2753" si="78">SUM(C2753+D2753+E2753+F2753)</f>
        <v>0</v>
      </c>
    </row>
    <row r="2756" spans="1:7" ht="15.75" x14ac:dyDescent="0.25">
      <c r="A2756" s="15">
        <f>'PEDIDO 35'!$B$2</f>
        <v>0</v>
      </c>
      <c r="B2756" s="12" t="s">
        <v>399</v>
      </c>
      <c r="C2756" s="1">
        <f>IFERROR(VLOOKUP(1,'PEDIDO 35'!$C$2:$E$230,3,0),0)</f>
        <v>0</v>
      </c>
      <c r="D2756" s="1">
        <f>IFERROR(VLOOKUP(2,'PEDIDO 35'!$C$2:$E$230,3,0),0)</f>
        <v>0</v>
      </c>
      <c r="E2756" s="1">
        <f>IFERROR(VLOOKUP(3,'PEDIDO 35'!$C$2:$E$230,3,0),0)</f>
        <v>0</v>
      </c>
      <c r="F2756" s="1">
        <f>IFERROR(VLOOKUP(282,'PEDIDO 35'!$C$2:$E$230,3,0),0)</f>
        <v>0</v>
      </c>
      <c r="G2756" s="18">
        <f>SUM(C2756+D2756+E2756+F2756)</f>
        <v>0</v>
      </c>
    </row>
    <row r="2757" spans="1:7" ht="15.75" x14ac:dyDescent="0.25">
      <c r="A2757" s="15">
        <f>'PEDIDO 35'!$B$2</f>
        <v>0</v>
      </c>
      <c r="B2757" s="12" t="s">
        <v>400</v>
      </c>
      <c r="C2757" s="1">
        <f>IFERROR(VLOOKUP(5,'PEDIDO 35'!$C$2:$E$230,3,0),0)</f>
        <v>0</v>
      </c>
      <c r="D2757" s="1">
        <f>IFERROR(VLOOKUP(6,'PEDIDO 35'!$C$2:$E$230,3,0),0)</f>
        <v>0</v>
      </c>
      <c r="E2757" s="1">
        <f>IFERROR(VLOOKUP(7,'PEDIDO 35'!$C$2:$E$230,3,0),0)</f>
        <v>0</v>
      </c>
      <c r="F2757" s="1">
        <f>IFERROR(VLOOKUP(258,'PEDIDO 35'!$C$2:$E$230,3,0),0)</f>
        <v>0</v>
      </c>
      <c r="G2757" s="18">
        <f t="shared" ref="G2757:G2820" si="79">SUM(C2757+D2757+E2757+F2757)</f>
        <v>0</v>
      </c>
    </row>
    <row r="2758" spans="1:7" ht="15.75" x14ac:dyDescent="0.25">
      <c r="A2758" s="15">
        <f>'PEDIDO 35'!$B$2</f>
        <v>0</v>
      </c>
      <c r="B2758" s="12" t="s">
        <v>401</v>
      </c>
      <c r="C2758" s="1">
        <f>IFERROR(VLOOKUP(13,'PEDIDO 35'!$C$2:$E$230,3,0),0)</f>
        <v>0</v>
      </c>
      <c r="D2758" s="1">
        <f>IFERROR(VLOOKUP(14,'PEDIDO 35'!$C$2:$E$230,3,0),0)</f>
        <v>0</v>
      </c>
      <c r="E2758" s="1">
        <f>IFERROR(VLOOKUP(15,'PEDIDO 35'!$C$2:$E$230,3,0),0)</f>
        <v>0</v>
      </c>
      <c r="F2758" s="1">
        <f>IFERROR(VLOOKUP(289,'PEDIDO 35'!$C$2:$E$230,3,0),0)</f>
        <v>0</v>
      </c>
      <c r="G2758" s="18">
        <f t="shared" si="79"/>
        <v>0</v>
      </c>
    </row>
    <row r="2759" spans="1:7" ht="15.75" x14ac:dyDescent="0.25">
      <c r="A2759" s="15">
        <f>'PEDIDO 35'!$B$2</f>
        <v>0</v>
      </c>
      <c r="B2759" s="12" t="s">
        <v>402</v>
      </c>
      <c r="C2759" s="1">
        <f>IFERROR(VLOOKUP(267,'PEDIDO 35'!$C$2:$E$230,3,0),0)</f>
        <v>0</v>
      </c>
      <c r="D2759" s="1">
        <f>IFERROR(VLOOKUP(268,'PEDIDO 35'!$C$2:$E$230,3,0),0)</f>
        <v>0</v>
      </c>
      <c r="E2759" s="1">
        <f>IFERROR(VLOOKUP(270,'PEDIDO 35'!$C$2:$E$230,3,0),0)</f>
        <v>0</v>
      </c>
      <c r="F2759" s="1">
        <f>IFERROR(VLOOKUP(269,'PEDIDO 35'!$C$2:$E$230,3,0),0)</f>
        <v>0</v>
      </c>
      <c r="G2759" s="18">
        <f t="shared" si="79"/>
        <v>0</v>
      </c>
    </row>
    <row r="2760" spans="1:7" ht="15.75" x14ac:dyDescent="0.25">
      <c r="A2760" s="15">
        <f>'PEDIDO 35'!$B$2</f>
        <v>0</v>
      </c>
      <c r="B2760" s="12" t="s">
        <v>403</v>
      </c>
      <c r="C2760" s="1">
        <f>IFERROR(VLOOKUP(17,'PEDIDO 35'!$C$2:$E$230,3,0),0)</f>
        <v>0</v>
      </c>
      <c r="D2760" s="1">
        <f>IFERROR(VLOOKUP(18,'PEDIDO 35'!$C$2:$E$230,3,0),0)</f>
        <v>0</v>
      </c>
      <c r="E2760" s="1">
        <f>IFERROR(VLOOKUP(19,'PEDIDO 35'!$C$2:$E$230,3,0),0)</f>
        <v>0</v>
      </c>
      <c r="F2760" s="1">
        <f>IFERROR(VLOOKUP(290,'PEDIDO 35'!$C$2:$E$230,3,0),0)</f>
        <v>0</v>
      </c>
      <c r="G2760" s="18">
        <f t="shared" si="79"/>
        <v>0</v>
      </c>
    </row>
    <row r="2761" spans="1:7" ht="15.75" x14ac:dyDescent="0.25">
      <c r="A2761" s="15">
        <f>'PEDIDO 35'!$B$2</f>
        <v>0</v>
      </c>
      <c r="B2761" s="12" t="s">
        <v>404</v>
      </c>
      <c r="C2761" s="1">
        <f>IFERROR(VLOOKUP(23,'PEDIDO 35'!$C$2:$E$230,3,0),0)</f>
        <v>0</v>
      </c>
      <c r="D2761" s="1">
        <f>IFERROR(VLOOKUP(24,'PEDIDO 35'!$C$2:$E$230,3,0),0)</f>
        <v>0</v>
      </c>
      <c r="E2761" s="1">
        <f>IFERROR(VLOOKUP(25,'PEDIDO 35'!$C$2:$E$230,3,0),0)</f>
        <v>0</v>
      </c>
      <c r="F2761" s="1">
        <f>IFERROR(VLOOKUP(291,'PEDIDO 35'!$C$2:$E$230,3,0),0)</f>
        <v>0</v>
      </c>
      <c r="G2761" s="18">
        <f t="shared" si="79"/>
        <v>0</v>
      </c>
    </row>
    <row r="2762" spans="1:7" ht="15.75" x14ac:dyDescent="0.25">
      <c r="A2762" s="15">
        <f>'PEDIDO 35'!$B$2</f>
        <v>0</v>
      </c>
      <c r="B2762" s="12" t="s">
        <v>405</v>
      </c>
      <c r="C2762" s="1">
        <f>IFERROR(VLOOKUP(27,'PEDIDO 35'!$C$2:$E$230,3,0),0)</f>
        <v>0</v>
      </c>
      <c r="D2762" s="1">
        <f>IFERROR(VLOOKUP(28,'PEDIDO 35'!$C$2:$E$230,3,0),0)</f>
        <v>0</v>
      </c>
      <c r="E2762" s="1">
        <f>IFERROR(VLOOKUP(29,'PEDIDO 35'!$C$2:$E$230,3,0),0)</f>
        <v>0</v>
      </c>
      <c r="F2762" s="1">
        <f>IFERROR(VLOOKUP(292,'PEDIDO 35'!$C$2:$E$230,3,0),0)</f>
        <v>0</v>
      </c>
      <c r="G2762" s="18">
        <f t="shared" si="79"/>
        <v>0</v>
      </c>
    </row>
    <row r="2763" spans="1:7" ht="15.75" x14ac:dyDescent="0.25">
      <c r="A2763" s="15">
        <f>'PEDIDO 35'!$B$2</f>
        <v>0</v>
      </c>
      <c r="B2763" s="12" t="s">
        <v>406</v>
      </c>
      <c r="C2763" s="1">
        <f>IFERROR(VLOOKUP(227,'PEDIDO 35'!$C$2:$E$230,3,0),0)</f>
        <v>0</v>
      </c>
      <c r="D2763" s="1">
        <f>IFERROR(VLOOKUP(228,'PEDIDO 35'!$C$2:$E$230,3,0),0)</f>
        <v>0</v>
      </c>
      <c r="E2763" s="1">
        <f>IFERROR(VLOOKUP(229,'PEDIDO 35'!$C$2:$E$230,3,0),0)</f>
        <v>0</v>
      </c>
      <c r="F2763" s="1">
        <f>IFERROR(VLOOKUP(230,'PEDIDO 35'!$C$2:$E$230,3,0),0)</f>
        <v>0</v>
      </c>
      <c r="G2763" s="18">
        <f t="shared" si="79"/>
        <v>0</v>
      </c>
    </row>
    <row r="2764" spans="1:7" ht="15.75" x14ac:dyDescent="0.25">
      <c r="A2764" s="15">
        <f>'PEDIDO 35'!$B$2</f>
        <v>0</v>
      </c>
      <c r="B2764" s="12" t="s">
        <v>407</v>
      </c>
      <c r="C2764" s="1">
        <f>IFERROR(VLOOKUP(231,'PEDIDO 35'!$C$2:$E$230,3,0),0)</f>
        <v>0</v>
      </c>
      <c r="D2764" s="1">
        <f>IFERROR(VLOOKUP(232,'PEDIDO 35'!$C$2:$E$230,3,0),0)</f>
        <v>0</v>
      </c>
      <c r="E2764" s="1">
        <f>IFERROR(VLOOKUP(234,'PEDIDO 35'!$C$2:$E$230,3,0),0)</f>
        <v>0</v>
      </c>
      <c r="F2764" s="1">
        <f>IFERROR(VLOOKUP(233,'PEDIDO 35'!$C$2:$E$230,3,0),0)</f>
        <v>0</v>
      </c>
      <c r="G2764" s="18">
        <f t="shared" si="79"/>
        <v>0</v>
      </c>
    </row>
    <row r="2765" spans="1:7" ht="15.75" x14ac:dyDescent="0.25">
      <c r="A2765" s="15">
        <f>'PEDIDO 35'!$B$2</f>
        <v>0</v>
      </c>
      <c r="B2765" s="12" t="s">
        <v>408</v>
      </c>
      <c r="C2765" s="1">
        <f>IFERROR(VLOOKUP(237,'PEDIDO 35'!$C$2:$E$230,3,0),0)</f>
        <v>0</v>
      </c>
      <c r="D2765" s="1">
        <f>IFERROR(VLOOKUP(238,'PEDIDO 35'!$C$2:$E$230,3,0),0)</f>
        <v>0</v>
      </c>
      <c r="E2765" s="1">
        <f>IFERROR(VLOOKUP(240,'PEDIDO 35'!$C$2:$E$230,3,0),0)</f>
        <v>0</v>
      </c>
      <c r="F2765" s="1">
        <f>IFERROR(VLOOKUP(239,'PEDIDO 35'!$C$2:$E$230,3,0),0)</f>
        <v>0</v>
      </c>
      <c r="G2765" s="18">
        <f t="shared" si="79"/>
        <v>0</v>
      </c>
    </row>
    <row r="2766" spans="1:7" ht="15.75" x14ac:dyDescent="0.25">
      <c r="A2766" s="15">
        <f>'PEDIDO 35'!$B$2</f>
        <v>0</v>
      </c>
      <c r="B2766" s="12" t="s">
        <v>409</v>
      </c>
      <c r="C2766" s="1">
        <f>IFERROR(VLOOKUP(25707,'PEDIDO 35'!$C$2:$E$230,3,0),0)</f>
        <v>0</v>
      </c>
      <c r="D2766" s="1">
        <f>IFERROR(VLOOKUP(25708,'PEDIDO 35'!$C$2:$E$230,3,0),0)</f>
        <v>0</v>
      </c>
      <c r="E2766" s="1">
        <f>IFERROR(VLOOKUP(25710,'PEDIDO 35'!$C$2:$E$230,3,0),0)</f>
        <v>0</v>
      </c>
      <c r="F2766" s="1">
        <f>IFERROR(VLOOKUP(25709,'PEDIDO 35'!$C$2:$E$230,3,0),0)</f>
        <v>0</v>
      </c>
      <c r="G2766" s="18">
        <f t="shared" si="79"/>
        <v>0</v>
      </c>
    </row>
    <row r="2767" spans="1:7" ht="15.75" x14ac:dyDescent="0.25">
      <c r="A2767" s="15">
        <f>'PEDIDO 35'!$B$2</f>
        <v>0</v>
      </c>
      <c r="B2767" s="12" t="s">
        <v>410</v>
      </c>
      <c r="C2767" s="1">
        <f>IFERROR(VLOOKUP(25711,'PEDIDO 35'!$C$2:$E$230,3,0),0)</f>
        <v>0</v>
      </c>
      <c r="D2767" s="1"/>
      <c r="E2767" s="1"/>
      <c r="F2767" s="1"/>
      <c r="G2767" s="18">
        <f t="shared" si="79"/>
        <v>0</v>
      </c>
    </row>
    <row r="2768" spans="1:7" ht="15.75" x14ac:dyDescent="0.25">
      <c r="A2768" s="15">
        <f>'PEDIDO 35'!$B$2</f>
        <v>0</v>
      </c>
      <c r="B2768" s="12" t="s">
        <v>411</v>
      </c>
      <c r="C2768" s="1">
        <f>IFERROR(VLOOKUP(35,'PEDIDO 35'!$C$2:$E$230,3,0),0)</f>
        <v>0</v>
      </c>
      <c r="D2768" s="1">
        <f>IFERROR(VLOOKUP(36,'PEDIDO 35'!$C$2:$E$230,3,0),0)</f>
        <v>0</v>
      </c>
      <c r="E2768" s="1">
        <f>IFERROR(VLOOKUP(37,'PEDIDO 35'!$C$2:$E$230,3,0),0)</f>
        <v>0</v>
      </c>
      <c r="F2768" s="1">
        <f>IFERROR(VLOOKUP(294,'PEDIDO 35'!$C$2:$E$230,3,0),0)</f>
        <v>0</v>
      </c>
      <c r="G2768" s="18">
        <f t="shared" si="79"/>
        <v>0</v>
      </c>
    </row>
    <row r="2769" spans="1:7" ht="15.75" x14ac:dyDescent="0.25">
      <c r="A2769" s="15">
        <f>'PEDIDO 35'!$B$2</f>
        <v>0</v>
      </c>
      <c r="B2769" s="12" t="s">
        <v>412</v>
      </c>
      <c r="C2769" s="1">
        <f>IFERROR(VLOOKUP(39,'PEDIDO 35'!$C$2:$E$230,3,0),0)</f>
        <v>0</v>
      </c>
      <c r="D2769" s="1">
        <f>IFERROR(VLOOKUP(40,'PEDIDO 35'!$C$2:$E$230,3,0),0)</f>
        <v>0</v>
      </c>
      <c r="E2769" s="1">
        <f>IFERROR(VLOOKUP(42,'PEDIDO 35'!$C$2:$E$230,3,0),0)</f>
        <v>0</v>
      </c>
      <c r="F2769" s="1">
        <f>IFERROR(VLOOKUP(295,'PEDIDO 35'!$C$2:$E$230,3,0),0)</f>
        <v>0</v>
      </c>
      <c r="G2769" s="18">
        <f t="shared" si="79"/>
        <v>0</v>
      </c>
    </row>
    <row r="2770" spans="1:7" ht="15.75" x14ac:dyDescent="0.25">
      <c r="A2770" s="15">
        <f>'PEDIDO 35'!$B$2</f>
        <v>0</v>
      </c>
      <c r="B2770" s="12" t="s">
        <v>413</v>
      </c>
      <c r="C2770" s="1">
        <f>IFERROR(VLOOKUP(44,'PEDIDO 35'!$C$2:$E$230,3,0),0)</f>
        <v>0</v>
      </c>
      <c r="D2770" s="1">
        <f>IFERROR(VLOOKUP(45,'PEDIDO 35'!$C$2:$E$230,3,0),0)</f>
        <v>0</v>
      </c>
      <c r="E2770" s="1">
        <f>IFERROR(VLOOKUP(46,'PEDIDO 35'!$C$2:$E$230,3,0),0)</f>
        <v>0</v>
      </c>
      <c r="F2770" s="1">
        <f>IFERROR(VLOOKUP(283,'PEDIDO 35'!$C$2:$E$230,3,0),0)</f>
        <v>0</v>
      </c>
      <c r="G2770" s="18">
        <f t="shared" si="79"/>
        <v>0</v>
      </c>
    </row>
    <row r="2771" spans="1:7" ht="15.75" x14ac:dyDescent="0.25">
      <c r="A2771" s="15">
        <f>'PEDIDO 35'!$B$2</f>
        <v>0</v>
      </c>
      <c r="B2771" s="12" t="s">
        <v>414</v>
      </c>
      <c r="C2771" s="1">
        <f>IFERROR(VLOOKUP(48,'PEDIDO 35'!$C$2:$E$230,3,0),0)</f>
        <v>0</v>
      </c>
      <c r="D2771" s="1">
        <f>IFERROR(VLOOKUP(49,'PEDIDO 35'!$C$2:$E$230,3,0),0)</f>
        <v>0</v>
      </c>
      <c r="E2771" s="1">
        <f>IFERROR(VLOOKUP(50,'PEDIDO 35'!$C$2:$E$230,3,0),0)</f>
        <v>0</v>
      </c>
      <c r="F2771" s="1">
        <f>IFERROR(VLOOKUP(298,'PEDIDO 35'!$C$2:$E$230,3,0),0)</f>
        <v>0</v>
      </c>
      <c r="G2771" s="18">
        <f t="shared" si="79"/>
        <v>0</v>
      </c>
    </row>
    <row r="2772" spans="1:7" ht="15.75" x14ac:dyDescent="0.25">
      <c r="A2772" s="15">
        <f>'PEDIDO 35'!$B$2</f>
        <v>0</v>
      </c>
      <c r="B2772" s="12" t="s">
        <v>415</v>
      </c>
      <c r="C2772" s="1">
        <f>IFERROR(VLOOKUP(52,'PEDIDO 35'!$C$2:$E$230,3,0),0)</f>
        <v>0</v>
      </c>
      <c r="D2772" s="1">
        <f>IFERROR(VLOOKUP(53,'PEDIDO 35'!$C$2:$E$230,3,0),0)</f>
        <v>0</v>
      </c>
      <c r="E2772" s="1">
        <f>IFERROR(VLOOKUP(54,'PEDIDO 35'!$C$2:$E$230,3,0),0)</f>
        <v>0</v>
      </c>
      <c r="F2772" s="1">
        <f>IFERROR(VLOOKUP(299,'PEDIDO 35'!$C$2:$E$230,3,0),0)</f>
        <v>0</v>
      </c>
      <c r="G2772" s="18">
        <f t="shared" si="79"/>
        <v>0</v>
      </c>
    </row>
    <row r="2773" spans="1:7" ht="15.75" x14ac:dyDescent="0.25">
      <c r="A2773" s="15">
        <f>'PEDIDO 35'!$B$2</f>
        <v>0</v>
      </c>
      <c r="B2773" s="12" t="s">
        <v>416</v>
      </c>
      <c r="C2773" s="1">
        <f>IFERROR(VLOOKUP(56,'PEDIDO 35'!$C$2:$E$230,3,0),0)</f>
        <v>0</v>
      </c>
      <c r="D2773" s="1">
        <f>IFERROR(VLOOKUP(61,'PEDIDO 35'!$C$2:$E$230,3,0),0)</f>
        <v>0</v>
      </c>
      <c r="E2773" s="1">
        <f>IFERROR(VLOOKUP(58,'PEDIDO 35'!$C$2:$E$230,3,0),0)</f>
        <v>0</v>
      </c>
      <c r="F2773" s="1">
        <f>IFERROR(VLOOKUP(300,'PEDIDO 35'!$C$2:$E$230,3,0),0)</f>
        <v>0</v>
      </c>
      <c r="G2773" s="18">
        <f t="shared" si="79"/>
        <v>0</v>
      </c>
    </row>
    <row r="2774" spans="1:7" ht="15.75" x14ac:dyDescent="0.25">
      <c r="A2774" s="15">
        <f>'PEDIDO 35'!$B$2</f>
        <v>0</v>
      </c>
      <c r="B2774" s="12" t="s">
        <v>417</v>
      </c>
      <c r="C2774" s="1">
        <f>IFERROR(VLOOKUP(60,'PEDIDO 35'!$C$2:$E$230,3,0),0)</f>
        <v>0</v>
      </c>
      <c r="D2774" s="1">
        <f>IFERROR(VLOOKUP(120,'PEDIDO 35'!$C$2:$E$230,3,0),0)</f>
        <v>0</v>
      </c>
      <c r="E2774" s="1">
        <f>IFERROR(VLOOKUP(62,'PEDIDO 35'!$C$2:$E$230,3,0),0)</f>
        <v>0</v>
      </c>
      <c r="F2774" s="1">
        <f>IFERROR(VLOOKUP(301,'PEDIDO 35'!$C$2:$E$230,3,0),0)</f>
        <v>0</v>
      </c>
      <c r="G2774" s="18">
        <f t="shared" si="79"/>
        <v>0</v>
      </c>
    </row>
    <row r="2775" spans="1:7" ht="15.75" x14ac:dyDescent="0.25">
      <c r="A2775" s="15">
        <f>'PEDIDO 35'!$B$2</f>
        <v>0</v>
      </c>
      <c r="B2775" s="12" t="s">
        <v>426</v>
      </c>
      <c r="C2775" s="1">
        <f>IFERROR(VLOOKUP(112,'PEDIDO 35'!$C$2:$E$230,3,0),0)</f>
        <v>0</v>
      </c>
      <c r="D2775" s="1">
        <f>IFERROR(VLOOKUP(113,'PEDIDO 35'!$C$2:$E$230,3,0),0)</f>
        <v>0</v>
      </c>
      <c r="E2775" s="1">
        <f>IFERROR(VLOOKUP(114,'PEDIDO 35'!$C$2:$E$230,3,0),0)</f>
        <v>0</v>
      </c>
      <c r="F2775" s="1">
        <f>IFERROR(VLOOKUP(296,'PEDIDO 35'!$C$2:$E$230,3,0),0)</f>
        <v>0</v>
      </c>
      <c r="G2775" s="18">
        <f t="shared" si="79"/>
        <v>0</v>
      </c>
    </row>
    <row r="2776" spans="1:7" ht="15.75" x14ac:dyDescent="0.25">
      <c r="A2776" s="15">
        <f>'PEDIDO 35'!$B$2</f>
        <v>0</v>
      </c>
      <c r="B2776" s="12" t="s">
        <v>427</v>
      </c>
      <c r="C2776" s="1">
        <f>IFERROR(VLOOKUP(116,'PEDIDO 35'!$C$2:$E$230,3,0),0)</f>
        <v>0</v>
      </c>
      <c r="D2776" s="1">
        <f>IFERROR(VLOOKUP(117,'PEDIDO 35'!$C$2:$E$230,3,0),0)</f>
        <v>0</v>
      </c>
      <c r="E2776" s="1">
        <f>IFERROR(VLOOKUP(118,'PEDIDO 35'!$C$2:$E$230,3,0),0)</f>
        <v>0</v>
      </c>
      <c r="F2776" s="1">
        <f>IFERROR(VLOOKUP(293,'PEDIDO 35'!$C$2:$E$230,3,0),0)</f>
        <v>0</v>
      </c>
      <c r="G2776" s="18">
        <f t="shared" si="79"/>
        <v>0</v>
      </c>
    </row>
    <row r="2777" spans="1:7" ht="15.75" x14ac:dyDescent="0.25">
      <c r="A2777" s="15">
        <f>'PEDIDO 35'!$B$2</f>
        <v>0</v>
      </c>
      <c r="B2777" s="12" t="s">
        <v>418</v>
      </c>
      <c r="C2777" s="1">
        <f>IFERROR(VLOOKUP(963,'PEDIDO 35'!$C$2:$E$230,3,0),0)</f>
        <v>0</v>
      </c>
      <c r="D2777" s="1">
        <f>IFERROR(VLOOKUP(965,'PEDIDO 35'!$C$2:$E$230,3,0),0)</f>
        <v>0</v>
      </c>
      <c r="E2777" s="1">
        <f>IFERROR(VLOOKUP(966,'PEDIDO 35'!$C$2:$E$230,3,0),0)</f>
        <v>0</v>
      </c>
      <c r="F2777" s="1">
        <f>IFERROR(VLOOKUP(964,'PEDIDO 35'!$C$2:$E$230,3,0),0)</f>
        <v>0</v>
      </c>
      <c r="G2777" s="18">
        <f t="shared" si="79"/>
        <v>0</v>
      </c>
    </row>
    <row r="2778" spans="1:7" ht="15.75" x14ac:dyDescent="0.25">
      <c r="A2778" s="15">
        <f>'PEDIDO 35'!$B$2</f>
        <v>0</v>
      </c>
      <c r="B2778" s="12" t="s">
        <v>419</v>
      </c>
      <c r="C2778" s="1">
        <f>IFERROR(VLOOKUP(2042,'PEDIDO 35'!$C$2:$E$230,3,0),0)</f>
        <v>0</v>
      </c>
      <c r="D2778" s="1">
        <f>IFERROR(VLOOKUP(2041,'PEDIDO 35'!$C$2:$E$230,3,0),0)</f>
        <v>0</v>
      </c>
      <c r="E2778" s="1">
        <f>IFERROR(VLOOKUP(2043,'PEDIDO 35'!$C$2:$E$230,3,0),0)</f>
        <v>0</v>
      </c>
      <c r="F2778" s="1">
        <f>IFERROR(VLOOKUP(2040,'PEDIDO 35'!$C$2:$E$230,3,0),0)</f>
        <v>0</v>
      </c>
      <c r="G2778" s="18">
        <f t="shared" si="79"/>
        <v>0</v>
      </c>
    </row>
    <row r="2779" spans="1:7" ht="15.75" x14ac:dyDescent="0.25">
      <c r="A2779" s="15">
        <f>'PEDIDO 35'!$B$2</f>
        <v>0</v>
      </c>
      <c r="B2779" s="12" t="s">
        <v>420</v>
      </c>
      <c r="C2779" s="1">
        <f>IFERROR(VLOOKUP(2045,'PEDIDO 35'!$C$2:$E$230,3,0),0)</f>
        <v>0</v>
      </c>
      <c r="D2779" s="1">
        <f>IFERROR(VLOOKUP(2046,'PEDIDO 35'!$C$2:$E$230,3,0),0)</f>
        <v>0</v>
      </c>
      <c r="E2779" s="1">
        <f>IFERROR(VLOOKUP(2047,'PEDIDO 35'!$C$2:$E$230,3,0),0)</f>
        <v>0</v>
      </c>
      <c r="F2779" s="1">
        <f>IFERROR(VLOOKUP(2048,'PEDIDO 35'!$C$2:$E$230,3,0),0)</f>
        <v>0</v>
      </c>
      <c r="G2779" s="18">
        <f t="shared" si="79"/>
        <v>0</v>
      </c>
    </row>
    <row r="2780" spans="1:7" ht="15.75" x14ac:dyDescent="0.25">
      <c r="A2780" s="15">
        <f>'PEDIDO 35'!$B$2</f>
        <v>0</v>
      </c>
      <c r="B2780" s="12" t="s">
        <v>421</v>
      </c>
      <c r="C2780" s="1">
        <f>IFERROR(VLOOKUP(2050,'PEDIDO 35'!$C$2:$E$230,3,0),0)</f>
        <v>0</v>
      </c>
      <c r="D2780" s="1">
        <f>IFERROR(VLOOKUP(2051,'PEDIDO 35'!$C$2:$E$230,3,0),0)</f>
        <v>0</v>
      </c>
      <c r="E2780" s="1">
        <f>IFERROR(VLOOKUP(2052,'PEDIDO 35'!$C$2:$E$230,3,0),0)</f>
        <v>0</v>
      </c>
      <c r="F2780" s="1">
        <f>IFERROR(VLOOKUP(2053,'PEDIDO 35'!$C$2:$E$230,3,0),0)</f>
        <v>0</v>
      </c>
      <c r="G2780" s="18">
        <f t="shared" si="79"/>
        <v>0</v>
      </c>
    </row>
    <row r="2781" spans="1:7" ht="15.75" x14ac:dyDescent="0.25">
      <c r="A2781" s="15">
        <f>'PEDIDO 35'!$B$2</f>
        <v>0</v>
      </c>
      <c r="B2781" s="12" t="s">
        <v>422</v>
      </c>
      <c r="C2781" s="1">
        <f>IFERROR(VLOOKUP(216,'PEDIDO 35'!$C$2:$E$230,3,0),0)</f>
        <v>0</v>
      </c>
      <c r="D2781" s="1">
        <f>IFERROR(VLOOKUP(217,'PEDIDO 35'!$C$2:$E$230,3,0),0)</f>
        <v>0</v>
      </c>
      <c r="E2781" s="1">
        <f>IFERROR(VLOOKUP(218,'PEDIDO 35'!$C$2:$E$230,3,0),0)</f>
        <v>0</v>
      </c>
      <c r="F2781" s="1">
        <f>IFERROR(VLOOKUP(305,'PEDIDO 35'!$C$2:$E$230,3,0),0)</f>
        <v>0</v>
      </c>
      <c r="G2781" s="18">
        <f t="shared" si="79"/>
        <v>0</v>
      </c>
    </row>
    <row r="2782" spans="1:7" ht="15.75" x14ac:dyDescent="0.25">
      <c r="A2782" s="15">
        <f>'PEDIDO 35'!$B$2</f>
        <v>0</v>
      </c>
      <c r="B2782" s="12" t="s">
        <v>423</v>
      </c>
      <c r="C2782" s="1">
        <f>IFERROR(VLOOKUP(100,'PEDIDO 35'!$C$2:$E$230,3,0),0)</f>
        <v>0</v>
      </c>
      <c r="D2782" s="1">
        <f>IFERROR(VLOOKUP(101,'PEDIDO 35'!$C$2:$E$230,3,0),0)</f>
        <v>0</v>
      </c>
      <c r="E2782" s="1">
        <f>IFERROR(VLOOKUP(102,'PEDIDO 35'!$C$2:$E$230,3,0),0)</f>
        <v>0</v>
      </c>
      <c r="F2782" s="1">
        <f>IFERROR(VLOOKUP(306,'PEDIDO 35'!$C$2:$E$230,3,0),0)</f>
        <v>0</v>
      </c>
      <c r="G2782" s="18">
        <f t="shared" si="79"/>
        <v>0</v>
      </c>
    </row>
    <row r="2783" spans="1:7" ht="15.75" x14ac:dyDescent="0.25">
      <c r="A2783" s="15">
        <f>'PEDIDO 35'!$B$2</f>
        <v>0</v>
      </c>
      <c r="B2783" s="12" t="s">
        <v>424</v>
      </c>
      <c r="C2783" s="1">
        <f>IFERROR(VLOOKUP(104,'PEDIDO 35'!$C$2:$E$230,3,0),0)</f>
        <v>0</v>
      </c>
      <c r="D2783" s="1">
        <f>IFERROR(VLOOKUP(105,'PEDIDO 35'!$C$2:$E$230,3,0),0)</f>
        <v>0</v>
      </c>
      <c r="E2783" s="1">
        <f>IFERROR(VLOOKUP(106,'PEDIDO 35'!$C$2:$E$230,3,0),0)</f>
        <v>0</v>
      </c>
      <c r="F2783" s="1">
        <f>IFERROR(VLOOKUP(307,'PEDIDO 35'!$C$2:$E$230,3,0),0)</f>
        <v>0</v>
      </c>
      <c r="G2783" s="18">
        <f t="shared" si="79"/>
        <v>0</v>
      </c>
    </row>
    <row r="2784" spans="1:7" ht="15.75" x14ac:dyDescent="0.25">
      <c r="A2784" s="15">
        <f>'PEDIDO 35'!$B$2</f>
        <v>0</v>
      </c>
      <c r="B2784" s="12" t="s">
        <v>425</v>
      </c>
      <c r="C2784" s="1">
        <f>IFERROR(VLOOKUP(400,'PEDIDO 35'!$C$2:$E$230,3,0),0)</f>
        <v>0</v>
      </c>
      <c r="D2784" s="1">
        <f>IFERROR(VLOOKUP(401,'PEDIDO 35'!$C$2:$E$230,3,0),0)</f>
        <v>0</v>
      </c>
      <c r="E2784" s="1">
        <f>IFERROR(VLOOKUP(402,'PEDIDO 35'!$C$2:$E$230,3,0),0)</f>
        <v>0</v>
      </c>
      <c r="F2784" s="1">
        <f>IFERROR(VLOOKUP(403,'PEDIDO 35'!$C$2:$E$230,3,0),0)</f>
        <v>0</v>
      </c>
      <c r="G2784" s="18">
        <f t="shared" si="79"/>
        <v>0</v>
      </c>
    </row>
    <row r="2785" spans="1:7" ht="15.75" x14ac:dyDescent="0.25">
      <c r="A2785" s="15">
        <f>'PEDIDO 35'!$B$2</f>
        <v>0</v>
      </c>
      <c r="B2785" s="12" t="s">
        <v>428</v>
      </c>
      <c r="C2785" s="1">
        <f>IFERROR(VLOOKUP(22,'PEDIDO 35'!$C$2:$E$230,3,0),0)</f>
        <v>0</v>
      </c>
      <c r="D2785" s="1"/>
      <c r="E2785" s="1"/>
      <c r="F2785" s="1"/>
      <c r="G2785" s="18">
        <f t="shared" si="79"/>
        <v>0</v>
      </c>
    </row>
    <row r="2786" spans="1:7" ht="15.75" x14ac:dyDescent="0.25">
      <c r="A2786" s="15">
        <f>'PEDIDO 35'!$B$2</f>
        <v>0</v>
      </c>
      <c r="B2786" s="12" t="s">
        <v>429</v>
      </c>
      <c r="C2786" s="1">
        <f>IFERROR(VLOOKUP(21,'PEDIDO 35'!$C$2:$E$230,3,0),0)</f>
        <v>0</v>
      </c>
      <c r="D2786" s="1"/>
      <c r="E2786" s="1"/>
      <c r="F2786" s="1"/>
      <c r="G2786" s="18">
        <f t="shared" si="79"/>
        <v>0</v>
      </c>
    </row>
    <row r="2787" spans="1:7" ht="15.75" x14ac:dyDescent="0.25">
      <c r="A2787" s="15">
        <f>'PEDIDO 35'!$B$2</f>
        <v>0</v>
      </c>
      <c r="B2787" s="12" t="s">
        <v>430</v>
      </c>
      <c r="C2787" s="1">
        <f>IFERROR(VLOOKUP(1125,'PEDIDO 35'!$C$2:$E$230,3,0),0)</f>
        <v>0</v>
      </c>
      <c r="D2787" s="1">
        <f>IFERROR(VLOOKUP(1126,'PEDIDO 35'!$C$2:$E$230,3,0),0)</f>
        <v>0</v>
      </c>
      <c r="E2787" s="1">
        <f>IFERROR(VLOOKUP(1127,'PEDIDO 35'!$C$2:$E$230,3,0),0)</f>
        <v>0</v>
      </c>
      <c r="F2787" s="1">
        <f>IFERROR(VLOOKUP(1128,'PEDIDO 35'!$C$2:$E$230,3,0),0)</f>
        <v>0</v>
      </c>
      <c r="G2787" s="18">
        <f t="shared" si="79"/>
        <v>0</v>
      </c>
    </row>
    <row r="2788" spans="1:7" ht="15.75" x14ac:dyDescent="0.25">
      <c r="A2788" s="15">
        <f>'PEDIDO 35'!$B$2</f>
        <v>0</v>
      </c>
      <c r="B2788" s="12" t="s">
        <v>431</v>
      </c>
      <c r="C2788" s="1">
        <f>IFERROR(VLOOKUP(1133,'PEDIDO 35'!$C$2:$E$230,3,0),0)</f>
        <v>0</v>
      </c>
      <c r="D2788" s="1">
        <f>IFERROR(VLOOKUP(1134,'PEDIDO 35'!$C$2:$E$230,3,0),0)</f>
        <v>0</v>
      </c>
      <c r="E2788" s="1">
        <f>IFERROR(VLOOKUP(1135,'PEDIDO 35'!$C$2:$E$230,3,0),0)</f>
        <v>0</v>
      </c>
      <c r="F2788" s="1">
        <f>IFERROR(VLOOKUP(1136,'PEDIDO 35'!$C$2:$E$230,3,0),0)</f>
        <v>0</v>
      </c>
      <c r="G2788" s="18">
        <f t="shared" si="79"/>
        <v>0</v>
      </c>
    </row>
    <row r="2789" spans="1:7" ht="15.75" x14ac:dyDescent="0.25">
      <c r="A2789" s="15">
        <f>'PEDIDO 35'!$B$2</f>
        <v>0</v>
      </c>
      <c r="B2789" s="12" t="s">
        <v>432</v>
      </c>
      <c r="C2789" s="1">
        <f>IFERROR(VLOOKUP(1105,'PEDIDO 35'!$C$2:$E$230,3,0),0)</f>
        <v>0</v>
      </c>
      <c r="D2789" s="1">
        <f>IFERROR(VLOOKUP(1106,'PEDIDO 35'!$C$2:$E$230,3,0),0)</f>
        <v>0</v>
      </c>
      <c r="E2789" s="1">
        <f>IFERROR(VLOOKUP(1107,'PEDIDO 35'!$C$2:$E$230,3,0),0)</f>
        <v>0</v>
      </c>
      <c r="F2789" s="1">
        <f>IFERROR(VLOOKUP(1108,'PEDIDO 35'!$C$2:$E$230,3,0),0)</f>
        <v>0</v>
      </c>
      <c r="G2789" s="18">
        <f t="shared" si="79"/>
        <v>0</v>
      </c>
    </row>
    <row r="2790" spans="1:7" ht="15.75" x14ac:dyDescent="0.25">
      <c r="A2790" s="15">
        <f>'PEDIDO 35'!$B$2</f>
        <v>0</v>
      </c>
      <c r="B2790" s="12" t="s">
        <v>433</v>
      </c>
      <c r="C2790" s="1">
        <f>IFERROR(VLOOKUP(1109,'PEDIDO 35'!$C$2:$E$230,3,0),0)</f>
        <v>0</v>
      </c>
      <c r="D2790" s="1">
        <f>IFERROR(VLOOKUP(1110,'PEDIDO 35'!$C$2:$E$230,3,0),0)</f>
        <v>0</v>
      </c>
      <c r="E2790" s="1">
        <f>IFERROR(VLOOKUP(1111,'PEDIDO 35'!$C$2:$E$230,3,0),0)</f>
        <v>0</v>
      </c>
      <c r="F2790" s="1">
        <f>IFERROR(VLOOKUP(1112,'PEDIDO 35'!$C$2:$E$230,3,0),0)</f>
        <v>0</v>
      </c>
      <c r="G2790" s="18">
        <f t="shared" si="79"/>
        <v>0</v>
      </c>
    </row>
    <row r="2791" spans="1:7" ht="15.75" x14ac:dyDescent="0.25">
      <c r="A2791" s="15">
        <f>'PEDIDO 35'!$B$2</f>
        <v>0</v>
      </c>
      <c r="B2791" s="12" t="s">
        <v>434</v>
      </c>
      <c r="C2791" s="1">
        <f>IFERROR(VLOOKUP(1113,'PEDIDO 35'!$C$2:$E$230,3,0),0)</f>
        <v>0</v>
      </c>
      <c r="D2791" s="1">
        <f>IFERROR(VLOOKUP(1114,'PEDIDO 35'!$C$2:$E$230,3,0),0)</f>
        <v>0</v>
      </c>
      <c r="E2791" s="1">
        <f>IFERROR(VLOOKUP(1115,'PEDIDO 35'!$C$2:$E$230,3,0),0)</f>
        <v>0</v>
      </c>
      <c r="F2791" s="1">
        <f>IFERROR(VLOOKUP(1116,'PEDIDO 35'!$C$2:$E$230,3,0),0)</f>
        <v>0</v>
      </c>
      <c r="G2791" s="18">
        <f t="shared" si="79"/>
        <v>0</v>
      </c>
    </row>
    <row r="2792" spans="1:7" ht="15.75" x14ac:dyDescent="0.25">
      <c r="A2792" s="15">
        <f>'PEDIDO 35'!$B$2</f>
        <v>0</v>
      </c>
      <c r="B2792" s="12" t="s">
        <v>435</v>
      </c>
      <c r="C2792" s="1">
        <f>IFERROR(VLOOKUP(1117,'PEDIDO 35'!$C$2:$E$230,3,0),0)</f>
        <v>0</v>
      </c>
      <c r="D2792" s="1">
        <f>IFERROR(VLOOKUP(1118,'PEDIDO 35'!$C$2:$E$230,3,0),0)</f>
        <v>0</v>
      </c>
      <c r="E2792" s="1">
        <f>IFERROR(VLOOKUP(1119,'PEDIDO 35'!$C$2:$E$230,3,0),0)</f>
        <v>0</v>
      </c>
      <c r="F2792" s="1">
        <f>IFERROR(VLOOKUP(1120,'PEDIDO 35'!$C$2:$E$230,3,0),0)</f>
        <v>0</v>
      </c>
      <c r="G2792" s="18">
        <f t="shared" si="79"/>
        <v>0</v>
      </c>
    </row>
    <row r="2793" spans="1:7" ht="15.75" x14ac:dyDescent="0.25">
      <c r="A2793" s="15">
        <f>'PEDIDO 35'!$B$2</f>
        <v>0</v>
      </c>
      <c r="B2793" s="12" t="s">
        <v>436</v>
      </c>
      <c r="C2793" s="1">
        <f>IFERROR(VLOOKUP(1121,'PEDIDO 35'!$C$2:$E$230,3,0),0)</f>
        <v>0</v>
      </c>
      <c r="D2793" s="1">
        <f>IFERROR(VLOOKUP(1122,'PEDIDO 35'!$C$2:$E$230,3,0),0)</f>
        <v>0</v>
      </c>
      <c r="E2793" s="1">
        <f>IFERROR(VLOOKUP(1123,'PEDIDO 35'!$C$2:$E$230,3,0),0)</f>
        <v>0</v>
      </c>
      <c r="F2793" s="1">
        <f>IFERROR(VLOOKUP(1124,'PEDIDO 35'!$C$2:$E$230,3,0),0)</f>
        <v>0</v>
      </c>
      <c r="G2793" s="18">
        <f t="shared" si="79"/>
        <v>0</v>
      </c>
    </row>
    <row r="2794" spans="1:7" ht="15.75" x14ac:dyDescent="0.25">
      <c r="A2794" s="15">
        <f>'PEDIDO 35'!$B$2</f>
        <v>0</v>
      </c>
      <c r="B2794" s="12" t="s">
        <v>437</v>
      </c>
      <c r="C2794" s="1">
        <f>IFERROR(VLOOKUP(1129,'PEDIDO 35'!$C$2:$E$230,3,0),0)</f>
        <v>0</v>
      </c>
      <c r="D2794" s="1">
        <f>IFERROR(VLOOKUP(1130,'PEDIDO 35'!$C$2:$E$230,3,0),0)</f>
        <v>0</v>
      </c>
      <c r="E2794" s="1">
        <f>IFERROR(VLOOKUP(1131,'PEDIDO 35'!$C$2:$E$230,3,0),0)</f>
        <v>0</v>
      </c>
      <c r="F2794" s="1">
        <f>IFERROR(VLOOKUP(1132,'PEDIDO 35'!$C$2:$E$230,3,0),0)</f>
        <v>0</v>
      </c>
      <c r="G2794" s="18">
        <f t="shared" si="79"/>
        <v>0</v>
      </c>
    </row>
    <row r="2795" spans="1:7" ht="15.75" x14ac:dyDescent="0.25">
      <c r="A2795" s="15">
        <f>'PEDIDO 35'!$B$2</f>
        <v>0</v>
      </c>
      <c r="B2795" s="12" t="s">
        <v>438</v>
      </c>
      <c r="C2795" s="1">
        <f>IFERROR(VLOOKUP(1137,'PEDIDO 35'!$C$2:$E$230,3,0),0)</f>
        <v>0</v>
      </c>
      <c r="D2795" s="1">
        <f>IFERROR(VLOOKUP(1138,'PEDIDO 35'!$C$2:$E$230,3,0),0)</f>
        <v>0</v>
      </c>
      <c r="E2795" s="1">
        <f>IFERROR(VLOOKUP(1139,'PEDIDO 35'!$C$2:$E$230,3,0),0)</f>
        <v>0</v>
      </c>
      <c r="F2795" s="1">
        <f>IFERROR(VLOOKUP(1140,'PEDIDO 35'!$C$2:$E$230,3,0),0)</f>
        <v>0</v>
      </c>
      <c r="G2795" s="18">
        <f t="shared" si="79"/>
        <v>0</v>
      </c>
    </row>
    <row r="2796" spans="1:7" ht="15.75" x14ac:dyDescent="0.25">
      <c r="A2796" s="15">
        <f>'PEDIDO 35'!$B$2</f>
        <v>0</v>
      </c>
      <c r="B2796" s="12" t="s">
        <v>439</v>
      </c>
      <c r="C2796" s="1">
        <f>IFERROR(VLOOKUP(1141,'PEDIDO 35'!$C$2:$E$230,3,0),0)</f>
        <v>0</v>
      </c>
      <c r="D2796" s="1">
        <f>IFERROR(VLOOKUP(1142,'PEDIDO 35'!$C$2:$E$230,3,0),0)</f>
        <v>0</v>
      </c>
      <c r="E2796" s="1">
        <f>IFERROR(VLOOKUP(1143,'PEDIDO 35'!$C$2:$E$230,3,0),0)</f>
        <v>0</v>
      </c>
      <c r="F2796" s="1">
        <f>IFERROR(VLOOKUP(1144,'PEDIDO 35'!$C$2:$E$230,3,0),0)</f>
        <v>0</v>
      </c>
      <c r="G2796" s="18">
        <f t="shared" si="79"/>
        <v>0</v>
      </c>
    </row>
    <row r="2797" spans="1:7" ht="15.75" x14ac:dyDescent="0.25">
      <c r="A2797" s="15">
        <f>'PEDIDO 35'!$B$2</f>
        <v>0</v>
      </c>
      <c r="B2797" s="12" t="s">
        <v>440</v>
      </c>
      <c r="C2797" s="1">
        <f>IFERROR(VLOOKUP(1145,'PEDIDO 35'!$C$2:$E$230,3,0),0)</f>
        <v>0</v>
      </c>
      <c r="D2797" s="1">
        <f>IFERROR(VLOOKUP(1146,'PEDIDO 35'!$C$2:$E$230,3,0),0)</f>
        <v>0</v>
      </c>
      <c r="E2797" s="1">
        <f>IFERROR(VLOOKUP(1147,'PEDIDO 35'!$C$2:$E$230,3,0),0)</f>
        <v>0</v>
      </c>
      <c r="F2797" s="1">
        <f>IFERROR(VLOOKUP(1148,'PEDIDO 35'!$C$2:$E$230,3,0),0)</f>
        <v>0</v>
      </c>
      <c r="G2797" s="18">
        <f t="shared" si="79"/>
        <v>0</v>
      </c>
    </row>
    <row r="2798" spans="1:7" ht="15.75" x14ac:dyDescent="0.25">
      <c r="A2798" s="15">
        <f>'PEDIDO 35'!$B$2</f>
        <v>0</v>
      </c>
      <c r="B2798" s="12" t="s">
        <v>441</v>
      </c>
      <c r="C2798" s="1">
        <f>IFERROR(VLOOKUP(1149,'PEDIDO 35'!$C$2:$E$230,3,0),0)</f>
        <v>0</v>
      </c>
      <c r="D2798" s="1">
        <f>IFERROR(VLOOKUP(1150,'PEDIDO 35'!$C$2:$E$230,3,0),0)</f>
        <v>0</v>
      </c>
      <c r="E2798" s="1">
        <f>IFERROR(VLOOKUP(1151,'PEDIDO 35'!$C$2:$E$230,3,0),0)</f>
        <v>0</v>
      </c>
      <c r="F2798" s="1">
        <f>IFERROR(VLOOKUP(1152,'PEDIDO 35'!$C$2:$E$230,3,0),0)</f>
        <v>0</v>
      </c>
      <c r="G2798" s="18">
        <f t="shared" si="79"/>
        <v>0</v>
      </c>
    </row>
    <row r="2799" spans="1:7" ht="15.75" x14ac:dyDescent="0.25">
      <c r="A2799" s="15">
        <f>'PEDIDO 35'!$B$2</f>
        <v>0</v>
      </c>
      <c r="B2799" s="12" t="s">
        <v>442</v>
      </c>
      <c r="C2799" s="1">
        <f>IFERROR(VLOOKUP(1153,'PEDIDO 35'!$C$2:$E$230,3,0),0)</f>
        <v>0</v>
      </c>
      <c r="D2799" s="1">
        <f>IFERROR(VLOOKUP(1154,'PEDIDO 35'!$C$2:$E$230,3,0),0)</f>
        <v>0</v>
      </c>
      <c r="E2799" s="1">
        <f>IFERROR(VLOOKUP(1155,'PEDIDO 35'!$C$2:$E$230,3,0),0)</f>
        <v>0</v>
      </c>
      <c r="F2799" s="1">
        <f>IFERROR(VLOOKUP(1156,'PEDIDO 35'!$C$2:$E$230,3,0),0)</f>
        <v>0</v>
      </c>
      <c r="G2799" s="18">
        <f t="shared" si="79"/>
        <v>0</v>
      </c>
    </row>
    <row r="2800" spans="1:7" ht="15.75" x14ac:dyDescent="0.25">
      <c r="A2800" s="15">
        <f>'PEDIDO 35'!$B$2</f>
        <v>0</v>
      </c>
      <c r="B2800" s="12" t="s">
        <v>443</v>
      </c>
      <c r="C2800" s="1">
        <f>IFERROR(VLOOKUP(1157,'PEDIDO 35'!$C$2:$E$230,3,0),0)</f>
        <v>0</v>
      </c>
      <c r="D2800" s="1">
        <f>IFERROR(VLOOKUP(1158,'PEDIDO 35'!$C$2:$E$230,3,0),0)</f>
        <v>0</v>
      </c>
      <c r="E2800" s="1">
        <f>IFERROR(VLOOKUP(1159,'PEDIDO 35'!$C$2:$E$230,3,0),0)</f>
        <v>0</v>
      </c>
      <c r="F2800" s="1">
        <f>IFERROR(VLOOKUP(1160,'PEDIDO 35'!$C$2:$E$230,3,0),0)</f>
        <v>0</v>
      </c>
      <c r="G2800" s="18">
        <f t="shared" si="79"/>
        <v>0</v>
      </c>
    </row>
    <row r="2801" spans="1:7" ht="15.75" x14ac:dyDescent="0.25">
      <c r="A2801" s="15">
        <f>'PEDIDO 35'!$B$2</f>
        <v>0</v>
      </c>
      <c r="B2801" s="12" t="s">
        <v>444</v>
      </c>
      <c r="C2801" s="1">
        <f>IFERROR(VLOOKUP(1161,'PEDIDO 35'!$C$2:$E$230,3,0),0)</f>
        <v>0</v>
      </c>
      <c r="D2801" s="1">
        <f>IFERROR(VLOOKUP(1162,'PEDIDO 35'!$C$2:$E$230,3,0),0)</f>
        <v>0</v>
      </c>
      <c r="E2801" s="1">
        <f>IFERROR(VLOOKUP(1163,'PEDIDO 35'!$C$2:$E$230,3,0),0)</f>
        <v>0</v>
      </c>
      <c r="F2801" s="1">
        <f>IFERROR(VLOOKUP(1164,'PEDIDO 35'!$C$2:$E$230,3,0),0)</f>
        <v>0</v>
      </c>
      <c r="G2801" s="18">
        <f t="shared" si="79"/>
        <v>0</v>
      </c>
    </row>
    <row r="2802" spans="1:7" ht="15.75" x14ac:dyDescent="0.25">
      <c r="A2802" s="15">
        <f>'PEDIDO 35'!$B$2</f>
        <v>0</v>
      </c>
      <c r="B2802" s="12" t="s">
        <v>445</v>
      </c>
      <c r="C2802" s="1">
        <f>IFERROR(VLOOKUP(1165,'PEDIDO 35'!$C$2:$E$230,3,0),0)</f>
        <v>0</v>
      </c>
      <c r="D2802" s="1">
        <f>IFERROR(VLOOKUP(1166,'PEDIDO 35'!$C$2:$E$230,3,0),0)</f>
        <v>0</v>
      </c>
      <c r="E2802" s="1">
        <f>IFERROR(VLOOKUP(1167,'PEDIDO 35'!$C$2:$E$230,3,0),0)</f>
        <v>0</v>
      </c>
      <c r="F2802" s="1">
        <f>IFERROR(VLOOKUP(1168,'PEDIDO 35'!$C$2:$E$230,3,0),0)</f>
        <v>0</v>
      </c>
      <c r="G2802" s="18">
        <f t="shared" si="79"/>
        <v>0</v>
      </c>
    </row>
    <row r="2803" spans="1:7" ht="15.75" x14ac:dyDescent="0.25">
      <c r="A2803" s="15">
        <f>'PEDIDO 35'!$B$2</f>
        <v>0</v>
      </c>
      <c r="B2803" s="12" t="s">
        <v>446</v>
      </c>
      <c r="C2803" s="1">
        <f>IFERROR(VLOOKUP(1169,'PEDIDO 35'!$C$2:$E$230,3,0),0)</f>
        <v>0</v>
      </c>
      <c r="D2803" s="1">
        <f>IFERROR(VLOOKUP(1170,'PEDIDO 35'!$C$2:$E$230,3,0),0)</f>
        <v>0</v>
      </c>
      <c r="E2803" s="1">
        <f>IFERROR(VLOOKUP(1171,'PEDIDO 35'!$C$2:$E$230,3,0),0)</f>
        <v>0</v>
      </c>
      <c r="F2803" s="1">
        <f>IFERROR(VLOOKUP(1172,'PEDIDO 35'!$C$2:$E$230,3,0),0)</f>
        <v>0</v>
      </c>
      <c r="G2803" s="18">
        <f t="shared" si="79"/>
        <v>0</v>
      </c>
    </row>
    <row r="2804" spans="1:7" ht="15.75" x14ac:dyDescent="0.25">
      <c r="A2804" s="15">
        <f>'PEDIDO 35'!$B$2</f>
        <v>0</v>
      </c>
      <c r="B2804" s="12" t="s">
        <v>447</v>
      </c>
      <c r="C2804" s="1">
        <f>IFERROR(VLOOKUP(1173,'PEDIDO 35'!$C$2:$E$230,3,0),0)</f>
        <v>0</v>
      </c>
      <c r="D2804" s="1">
        <f>IFERROR(VLOOKUP(1174,'PEDIDO 35'!$C$2:$E$230,3,0),0)</f>
        <v>0</v>
      </c>
      <c r="E2804" s="1">
        <f>IFERROR(VLOOKUP(1175,'PEDIDO 35'!$C$2:$E$230,3,0),0)</f>
        <v>0</v>
      </c>
      <c r="F2804" s="1">
        <f>IFERROR(VLOOKUP(1176,'PEDIDO 35'!$C$2:$E$230,3,0),0)</f>
        <v>0</v>
      </c>
      <c r="G2804" s="18">
        <f t="shared" si="79"/>
        <v>0</v>
      </c>
    </row>
    <row r="2805" spans="1:7" ht="15.75" x14ac:dyDescent="0.25">
      <c r="A2805" s="15">
        <f>'PEDIDO 35'!$B$2</f>
        <v>0</v>
      </c>
      <c r="B2805" s="12" t="s">
        <v>448</v>
      </c>
      <c r="C2805" s="1">
        <f>IFERROR(VLOOKUP(1249,'PEDIDO 35'!$C$2:$E$230,3,0),0)</f>
        <v>0</v>
      </c>
      <c r="D2805" s="1">
        <f>IFERROR(VLOOKUP(1250,'PEDIDO 35'!$C$2:$E$230,3,0),0)</f>
        <v>0</v>
      </c>
      <c r="E2805" s="1">
        <f>IFERROR(VLOOKUP(1251,'PEDIDO 35'!$C$2:$E$230,3,0),0)</f>
        <v>0</v>
      </c>
      <c r="F2805" s="1">
        <f>IFERROR(VLOOKUP(1252,'PEDIDO 35'!$C$2:$E$230,3,0),0)</f>
        <v>0</v>
      </c>
      <c r="G2805" s="18">
        <f t="shared" si="79"/>
        <v>0</v>
      </c>
    </row>
    <row r="2806" spans="1:7" ht="15.75" x14ac:dyDescent="0.25">
      <c r="A2806" s="15">
        <f>'PEDIDO 35'!$B$2</f>
        <v>0</v>
      </c>
      <c r="B2806" s="12" t="s">
        <v>449</v>
      </c>
      <c r="C2806" s="1">
        <f>IFERROR(VLOOKUP(1177,'PEDIDO 35'!$C$2:$E$230,3,0),0)</f>
        <v>0</v>
      </c>
      <c r="D2806" s="1">
        <f>IFERROR(VLOOKUP(1178,'PEDIDO 35'!$C$2:$E$230,3,0),0)</f>
        <v>0</v>
      </c>
      <c r="E2806" s="1">
        <f>IFERROR(VLOOKUP(1179,'PEDIDO 35'!$C$2:$E$230,3,0),0)</f>
        <v>0</v>
      </c>
      <c r="F2806" s="1">
        <f>IFERROR(VLOOKUP(1180,'PEDIDO 35'!$C$2:$E$230,3,0),0)</f>
        <v>0</v>
      </c>
      <c r="G2806" s="18">
        <f t="shared" si="79"/>
        <v>0</v>
      </c>
    </row>
    <row r="2807" spans="1:7" ht="15.75" x14ac:dyDescent="0.25">
      <c r="A2807" s="15">
        <f>'PEDIDO 35'!$B$2</f>
        <v>0</v>
      </c>
      <c r="B2807" s="12" t="s">
        <v>450</v>
      </c>
      <c r="C2807" s="1">
        <f>IFERROR(VLOOKUP(1181,'PEDIDO 35'!$C$2:$E$230,3,0),0)</f>
        <v>0</v>
      </c>
      <c r="D2807" s="1">
        <f>IFERROR(VLOOKUP(1182,'PEDIDO 35'!$C$2:$E$230,3,0),0)</f>
        <v>0</v>
      </c>
      <c r="E2807" s="1">
        <f>IFERROR(VLOOKUP(1183,'PEDIDO 35'!$C$2:$E$230,3,0),0)</f>
        <v>0</v>
      </c>
      <c r="F2807" s="1">
        <f>IFERROR(VLOOKUP(1184,'PEDIDO 35'!$C$2:$E$230,3,0),0)</f>
        <v>0</v>
      </c>
      <c r="G2807" s="18">
        <f t="shared" si="79"/>
        <v>0</v>
      </c>
    </row>
    <row r="2808" spans="1:7" ht="15.75" x14ac:dyDescent="0.25">
      <c r="A2808" s="15">
        <f>'PEDIDO 35'!$B$2</f>
        <v>0</v>
      </c>
      <c r="B2808" s="12" t="s">
        <v>451</v>
      </c>
      <c r="C2808" s="1">
        <f>IFERROR(VLOOKUP(1185,'PEDIDO 35'!$C$2:$E$230,3,0),0)</f>
        <v>0</v>
      </c>
      <c r="D2808" s="1">
        <f>IFERROR(VLOOKUP(1186,'PEDIDO 35'!$C$2:$E$230,3,0),0)</f>
        <v>0</v>
      </c>
      <c r="E2808" s="1">
        <f>IFERROR(VLOOKUP(1187,'PEDIDO 35'!$C$2:$E$230,3,0),0)</f>
        <v>0</v>
      </c>
      <c r="F2808" s="1">
        <f>IFERROR(VLOOKUP(1188,'PEDIDO 35'!$C$2:$E$230,3,0),0)</f>
        <v>0</v>
      </c>
      <c r="G2808" s="18">
        <f t="shared" si="79"/>
        <v>0</v>
      </c>
    </row>
    <row r="2809" spans="1:7" ht="15.75" x14ac:dyDescent="0.25">
      <c r="A2809" s="15">
        <f>'PEDIDO 35'!$B$2</f>
        <v>0</v>
      </c>
      <c r="B2809" s="12" t="s">
        <v>452</v>
      </c>
      <c r="C2809" s="1">
        <f>IFERROR(VLOOKUP(1189,'PEDIDO 35'!$C$2:$E$230,3,0),0)</f>
        <v>0</v>
      </c>
      <c r="D2809" s="1">
        <f>IFERROR(VLOOKUP(1190,'PEDIDO 35'!$C$2:$E$230,3,0),0)</f>
        <v>0</v>
      </c>
      <c r="E2809" s="1">
        <f>IFERROR(VLOOKUP(1191,'PEDIDO 35'!$C$2:$E$230,3,0),0)</f>
        <v>0</v>
      </c>
      <c r="F2809" s="1">
        <f>IFERROR(VLOOKUP(1192,'PEDIDO 35'!$C$2:$E$230,3,0),0)</f>
        <v>0</v>
      </c>
      <c r="G2809" s="18">
        <f t="shared" si="79"/>
        <v>0</v>
      </c>
    </row>
    <row r="2810" spans="1:7" ht="15.75" x14ac:dyDescent="0.25">
      <c r="A2810" s="15">
        <f>'PEDIDO 35'!$B$2</f>
        <v>0</v>
      </c>
      <c r="B2810" s="12" t="s">
        <v>453</v>
      </c>
      <c r="C2810" s="1">
        <f>IFERROR(VLOOKUP(1193,'PEDIDO 35'!$C$2:$E$230,3,0),0)</f>
        <v>0</v>
      </c>
      <c r="D2810" s="1">
        <f>IFERROR(VLOOKUP(1194,'PEDIDO 35'!$C$2:$E$230,3,0),0)</f>
        <v>0</v>
      </c>
      <c r="E2810" s="1">
        <f>IFERROR(VLOOKUP(1195,'PEDIDO 35'!$C$2:$E$230,3,0),0)</f>
        <v>0</v>
      </c>
      <c r="F2810" s="1">
        <f>IFERROR(VLOOKUP(1196,'PEDIDO 35'!$C$2:$E$230,3,0),0)</f>
        <v>0</v>
      </c>
      <c r="G2810" s="18">
        <f t="shared" si="79"/>
        <v>0</v>
      </c>
    </row>
    <row r="2811" spans="1:7" ht="15.75" x14ac:dyDescent="0.25">
      <c r="A2811" s="15">
        <f>'PEDIDO 35'!$B$2</f>
        <v>0</v>
      </c>
      <c r="B2811" s="12" t="s">
        <v>454</v>
      </c>
      <c r="C2811" s="1">
        <f>IFERROR(VLOOKUP(1197,'PEDIDO 35'!$C$2:$E$230,3,0),0)</f>
        <v>0</v>
      </c>
      <c r="D2811" s="1">
        <f>IFERROR(VLOOKUP(1198,'PEDIDO 35'!$C$2:$E$230,3,0),0)</f>
        <v>0</v>
      </c>
      <c r="E2811" s="1">
        <f>IFERROR(VLOOKUP(1199,'PEDIDO 35'!$C$2:$E$230,3,0),0)</f>
        <v>0</v>
      </c>
      <c r="F2811" s="1">
        <f>IFERROR(VLOOKUP(1200,'PEDIDO 35'!$C$2:$E$230,3,0),0)</f>
        <v>0</v>
      </c>
      <c r="G2811" s="18">
        <f t="shared" si="79"/>
        <v>0</v>
      </c>
    </row>
    <row r="2812" spans="1:7" ht="15.75" x14ac:dyDescent="0.25">
      <c r="A2812" s="15">
        <f>'PEDIDO 35'!$B$2</f>
        <v>0</v>
      </c>
      <c r="B2812" s="12" t="s">
        <v>455</v>
      </c>
      <c r="C2812" s="1">
        <f>IFERROR(VLOOKUP(1201,'PEDIDO 35'!$C$2:$E$230,3,0),0)</f>
        <v>0</v>
      </c>
      <c r="D2812" s="1">
        <f>IFERROR(VLOOKUP(1202,'PEDIDO 35'!$C$2:$E$230,3,0),0)</f>
        <v>0</v>
      </c>
      <c r="E2812" s="1">
        <f>IFERROR(VLOOKUP(1203,'PEDIDO 35'!$C$2:$E$230,3,0),0)</f>
        <v>0</v>
      </c>
      <c r="F2812" s="1">
        <f>IFERROR(VLOOKUP(1204,'PEDIDO 35'!$C$2:$E$230,3,0),0)</f>
        <v>0</v>
      </c>
      <c r="G2812" s="18">
        <f t="shared" si="79"/>
        <v>0</v>
      </c>
    </row>
    <row r="2813" spans="1:7" ht="15.75" x14ac:dyDescent="0.25">
      <c r="A2813" s="15">
        <f>'PEDIDO 35'!$B$2</f>
        <v>0</v>
      </c>
      <c r="B2813" s="12" t="s">
        <v>456</v>
      </c>
      <c r="C2813" s="1">
        <f>IFERROR(VLOOKUP(1205,'PEDIDO 35'!$C$2:$E$230,3,0),0)</f>
        <v>0</v>
      </c>
      <c r="D2813" s="1">
        <f>IFERROR(VLOOKUP(1206,'PEDIDO 35'!$C$2:$E$230,3,0),0)</f>
        <v>0</v>
      </c>
      <c r="E2813" s="1">
        <f>IFERROR(VLOOKUP(1207,'PEDIDO 35'!$C$2:$E$230,3,0),0)</f>
        <v>0</v>
      </c>
      <c r="F2813" s="1">
        <f>IFERROR(VLOOKUP(1208,'PEDIDO 35'!$C$2:$E$230,3,0),0)</f>
        <v>0</v>
      </c>
      <c r="G2813" s="18">
        <f t="shared" si="79"/>
        <v>0</v>
      </c>
    </row>
    <row r="2814" spans="1:7" ht="15.75" x14ac:dyDescent="0.25">
      <c r="A2814" s="15">
        <f>'PEDIDO 35'!$B$2</f>
        <v>0</v>
      </c>
      <c r="B2814" s="12" t="s">
        <v>457</v>
      </c>
      <c r="C2814" s="1">
        <f>IFERROR(VLOOKUP(1213,'PEDIDO 35'!$C$2:$E$230,3,0),0)</f>
        <v>0</v>
      </c>
      <c r="D2814" s="1">
        <f>IFERROR(VLOOKUP(1214,'PEDIDO 35'!$C$2:$E$230,3,0),0)</f>
        <v>0</v>
      </c>
      <c r="E2814" s="1">
        <f>IFERROR(VLOOKUP(1215,'PEDIDO 35'!$C$2:$E$230,3,0),0)</f>
        <v>0</v>
      </c>
      <c r="F2814" s="10">
        <f>IFERROR(VLOOKUP(1216,'PEDIDO 35'!$C$2:$E$230,3,0),0)</f>
        <v>0</v>
      </c>
      <c r="G2814" s="18">
        <f t="shared" si="79"/>
        <v>0</v>
      </c>
    </row>
    <row r="2815" spans="1:7" ht="15.75" x14ac:dyDescent="0.25">
      <c r="A2815" s="15">
        <f>'PEDIDO 35'!$B$2</f>
        <v>0</v>
      </c>
      <c r="B2815" s="12" t="s">
        <v>458</v>
      </c>
      <c r="C2815" s="1">
        <f>IFERROR(VLOOKUP(1209,'PEDIDO 35'!$C$2:$E$230,3,0),0)</f>
        <v>0</v>
      </c>
      <c r="D2815" s="1">
        <f>IFERROR(VLOOKUP(1210,'PEDIDO 35'!$C$2:$E$230,3,0),0)</f>
        <v>0</v>
      </c>
      <c r="E2815" s="1">
        <f>IFERROR(VLOOKUP(1211,'PEDIDO 35'!$C$2:$E$230,3,0),0)</f>
        <v>0</v>
      </c>
      <c r="F2815" s="1">
        <f>IFERROR(VLOOKUP(1212,'PEDIDO 35'!$C$2:$E$230,3,0),0)</f>
        <v>0</v>
      </c>
      <c r="G2815" s="18">
        <f t="shared" si="79"/>
        <v>0</v>
      </c>
    </row>
    <row r="2816" spans="1:7" ht="15.75" x14ac:dyDescent="0.25">
      <c r="A2816" s="15">
        <f>'PEDIDO 35'!$B$2</f>
        <v>0</v>
      </c>
      <c r="B2816" s="12" t="s">
        <v>459</v>
      </c>
      <c r="C2816" s="1">
        <f>IFERROR(VLOOKUP(1217,'PEDIDO 35'!$C$2:$E$230,3,0),0)</f>
        <v>0</v>
      </c>
      <c r="D2816" s="1">
        <f>IFERROR(VLOOKUP(1218,'PEDIDO 35'!$C$2:$E$230,3,0),0)</f>
        <v>0</v>
      </c>
      <c r="E2816" s="1">
        <f>IFERROR(VLOOKUP(1219,'PEDIDO 35'!$C$2:$E$230,3,0),0)</f>
        <v>0</v>
      </c>
      <c r="F2816" s="1">
        <f>IFERROR(VLOOKUP(1220,'PEDIDO 35'!$C$2:$E$230,3,0),0)</f>
        <v>0</v>
      </c>
      <c r="G2816" s="18">
        <f t="shared" si="79"/>
        <v>0</v>
      </c>
    </row>
    <row r="2817" spans="1:7" ht="15.75" x14ac:dyDescent="0.25">
      <c r="A2817" s="15">
        <f>'PEDIDO 35'!$B$2</f>
        <v>0</v>
      </c>
      <c r="B2817" s="12" t="s">
        <v>461</v>
      </c>
      <c r="C2817" s="1">
        <f>IFERROR(VLOOKUP(1225,'PEDIDO 35'!$C$2:$E$230,3,0),0)</f>
        <v>0</v>
      </c>
      <c r="D2817" s="1">
        <f>IFERROR(VLOOKUP(1226,'PEDIDO 35'!$C$2:$E$230,3,0),0)</f>
        <v>0</v>
      </c>
      <c r="E2817" s="1">
        <f>IFERROR(VLOOKUP(1227,'PEDIDO 35'!$C$2:$E$230,3,0),0)</f>
        <v>0</v>
      </c>
      <c r="F2817" s="1">
        <f>IFERROR(VLOOKUP(1228,'PEDIDO 35'!$C$2:$E$230,3,0),0)</f>
        <v>0</v>
      </c>
      <c r="G2817" s="18">
        <f t="shared" si="79"/>
        <v>0</v>
      </c>
    </row>
    <row r="2818" spans="1:7" ht="15.75" x14ac:dyDescent="0.25">
      <c r="A2818" s="15">
        <f>'PEDIDO 35'!$B$2</f>
        <v>0</v>
      </c>
      <c r="B2818" s="12" t="s">
        <v>462</v>
      </c>
      <c r="C2818" s="1">
        <f>IFERROR(VLOOKUP(1221,'PEDIDO 35'!$C$2:$E$230,3,0),0)</f>
        <v>0</v>
      </c>
      <c r="D2818" s="1">
        <f>IFERROR(VLOOKUP(1222,'PEDIDO 35'!$C$2:$E$230,3,0),0)</f>
        <v>0</v>
      </c>
      <c r="E2818" s="1">
        <f>IFERROR(VLOOKUP(1223,'PEDIDO 35'!$C$2:$E$230,3,0),0)</f>
        <v>0</v>
      </c>
      <c r="F2818" s="1">
        <f>IFERROR(VLOOKUP(1224,'PEDIDO 35'!$C$2:$E$230,3,0),0)</f>
        <v>0</v>
      </c>
      <c r="G2818" s="18">
        <f t="shared" si="79"/>
        <v>0</v>
      </c>
    </row>
    <row r="2819" spans="1:7" ht="15.75" x14ac:dyDescent="0.25">
      <c r="A2819" s="15">
        <f>'PEDIDO 35'!$B$2</f>
        <v>0</v>
      </c>
      <c r="B2819" s="12" t="s">
        <v>460</v>
      </c>
      <c r="C2819" s="1">
        <f>IFERROR(VLOOKUP(1229,'PEDIDO 35'!$C$2:$E$230,3,0),0)</f>
        <v>0</v>
      </c>
      <c r="D2819" s="1">
        <f>IFERROR(VLOOKUP(1230,'PEDIDO 35'!$C$2:$E$230,3,0),0)</f>
        <v>0</v>
      </c>
      <c r="E2819" s="1">
        <f>IFERROR(VLOOKUP(1231,'PEDIDO 35'!$C$2:$E$230,3,0),0)</f>
        <v>0</v>
      </c>
      <c r="F2819" s="1">
        <f>IFERROR(VLOOKUP(1232,'PEDIDO 35'!$C$2:$E$230,3,0),0)</f>
        <v>0</v>
      </c>
      <c r="G2819" s="18">
        <f t="shared" si="79"/>
        <v>0</v>
      </c>
    </row>
    <row r="2820" spans="1:7" ht="15.75" x14ac:dyDescent="0.25">
      <c r="A2820" s="15">
        <f>'PEDIDO 35'!$B$2</f>
        <v>0</v>
      </c>
      <c r="B2820" s="12" t="s">
        <v>463</v>
      </c>
      <c r="C2820" s="1">
        <f>IFERROR(VLOOKUP(1233,'PEDIDO 35'!$C$2:$E$230,3,0),0)</f>
        <v>0</v>
      </c>
      <c r="D2820" s="1">
        <f>IFERROR(VLOOKUP(1234,'PEDIDO 35'!$C$2:$E$230,3,0),0)</f>
        <v>0</v>
      </c>
      <c r="E2820" s="1">
        <f>IFERROR(VLOOKUP(1235,'PEDIDO 35'!$C$2:$E$230,3,0),0)</f>
        <v>0</v>
      </c>
      <c r="F2820" s="1">
        <f>IFERROR(VLOOKUP(1236,'PEDIDO 35'!$C$2:$E$230,3,0),0)</f>
        <v>0</v>
      </c>
      <c r="G2820" s="18">
        <f t="shared" si="79"/>
        <v>0</v>
      </c>
    </row>
    <row r="2821" spans="1:7" ht="15.75" x14ac:dyDescent="0.25">
      <c r="A2821" s="15">
        <f>'PEDIDO 35'!$B$2</f>
        <v>0</v>
      </c>
      <c r="B2821" s="12" t="s">
        <v>464</v>
      </c>
      <c r="C2821" s="1">
        <f>IFERROR(VLOOKUP(1237,'PEDIDO 35'!$C$2:$E$230,3,0),0)</f>
        <v>0</v>
      </c>
      <c r="D2821" s="1">
        <f>IFERROR(VLOOKUP(1238,'PEDIDO 35'!$C$2:$E$230,3,0),0)</f>
        <v>0</v>
      </c>
      <c r="E2821" s="1">
        <f>IFERROR(VLOOKUP(1239,'PEDIDO 35'!$C$2:$E$230,3,0),0)</f>
        <v>0</v>
      </c>
      <c r="F2821" s="1">
        <f>IFERROR(VLOOKUP(1240,'PEDIDO 35'!$C$2:$E$230,3,0),0)</f>
        <v>0</v>
      </c>
      <c r="G2821" s="18">
        <f t="shared" ref="G2821:G2833" si="80">SUM(C2821+D2821+E2821+F2821)</f>
        <v>0</v>
      </c>
    </row>
    <row r="2822" spans="1:7" ht="15.75" x14ac:dyDescent="0.25">
      <c r="A2822" s="15">
        <f>'PEDIDO 35'!$B$2</f>
        <v>0</v>
      </c>
      <c r="B2822" s="12" t="s">
        <v>465</v>
      </c>
      <c r="C2822" s="1">
        <f>IFERROR(VLOOKUP(1241,'PEDIDO 35'!$C$2:$E$230,3,0),0)</f>
        <v>0</v>
      </c>
      <c r="D2822" s="1">
        <f>IFERROR(VLOOKUP(1242,'PEDIDO 35'!$C$2:$E$230,3,0),0)</f>
        <v>0</v>
      </c>
      <c r="E2822" s="1">
        <f>IFERROR(VLOOKUP(1243,'PEDIDO 35'!$C$2:$E$230,3,0),0)</f>
        <v>0</v>
      </c>
      <c r="F2822" s="1">
        <f>IFERROR(VLOOKUP(1244,'PEDIDO 35'!$C$2:$E$230,3,0),0)</f>
        <v>0</v>
      </c>
      <c r="G2822" s="18">
        <f t="shared" si="80"/>
        <v>0</v>
      </c>
    </row>
    <row r="2823" spans="1:7" ht="15.75" x14ac:dyDescent="0.25">
      <c r="A2823" s="15">
        <f>'PEDIDO 35'!$B$2</f>
        <v>0</v>
      </c>
      <c r="B2823" s="12" t="s">
        <v>466</v>
      </c>
      <c r="C2823" s="1">
        <f>IFERROR(VLOOKUP(1245,'PEDIDO 35'!$C$2:$E$230,3,0),0)</f>
        <v>0</v>
      </c>
      <c r="D2823" s="1">
        <f>IFERROR(VLOOKUP(1246,'PEDIDO 35'!$C$2:$E$230,3,0),0)</f>
        <v>0</v>
      </c>
      <c r="E2823" s="1">
        <f>IFERROR(VLOOKUP(1247,'PEDIDO 35'!$C$2:$E$230,3,0),0)</f>
        <v>0</v>
      </c>
      <c r="F2823" s="1">
        <f>IFERROR(VLOOKUP(1248,'PEDIDO 35'!$C$2:$E$230,3,0),0)</f>
        <v>0</v>
      </c>
      <c r="G2823" s="18">
        <f t="shared" si="80"/>
        <v>0</v>
      </c>
    </row>
    <row r="2824" spans="1:7" ht="15.75" x14ac:dyDescent="0.25">
      <c r="A2824" s="15">
        <f>'PEDIDO 35'!$B$2</f>
        <v>0</v>
      </c>
      <c r="B2824" s="12" t="s">
        <v>467</v>
      </c>
      <c r="C2824" s="1">
        <f>IFERROR(VLOOKUP(25714,'PEDIDO 35'!$C$2:$E$230,3,0),0)</f>
        <v>0</v>
      </c>
      <c r="D2824" s="1"/>
      <c r="E2824" s="1"/>
      <c r="F2824" s="1"/>
      <c r="G2824" s="18">
        <f t="shared" si="80"/>
        <v>0</v>
      </c>
    </row>
    <row r="2825" spans="1:7" ht="15.75" x14ac:dyDescent="0.25">
      <c r="A2825" s="15">
        <f>'PEDIDO 35'!$B$2</f>
        <v>0</v>
      </c>
      <c r="B2825" s="12" t="s">
        <v>468</v>
      </c>
      <c r="C2825" s="1">
        <f>IFERROR(VLOOKUP(25712,'PEDIDO 35'!$C$2:$E$230,3,0),0)</f>
        <v>0</v>
      </c>
      <c r="D2825" s="1"/>
      <c r="E2825" s="1"/>
      <c r="F2825" s="1"/>
      <c r="G2825" s="18">
        <f t="shared" si="80"/>
        <v>0</v>
      </c>
    </row>
    <row r="2826" spans="1:7" ht="15.75" x14ac:dyDescent="0.25">
      <c r="A2826" s="15">
        <f>'PEDIDO 35'!$B$2</f>
        <v>0</v>
      </c>
      <c r="B2826" s="12" t="s">
        <v>469</v>
      </c>
      <c r="C2826" s="1">
        <f>IFERROR(VLOOKUP(25713,'PEDIDO 35'!$C$2:$E$230,3,0),0)</f>
        <v>0</v>
      </c>
      <c r="D2826" s="1"/>
      <c r="E2826" s="1"/>
      <c r="F2826" s="1"/>
      <c r="G2826" s="18">
        <f t="shared" si="80"/>
        <v>0</v>
      </c>
    </row>
    <row r="2827" spans="1:7" ht="15.75" x14ac:dyDescent="0.25">
      <c r="A2827" s="15">
        <f>'PEDIDO 35'!$B$2</f>
        <v>0</v>
      </c>
      <c r="B2827" s="12" t="s">
        <v>470</v>
      </c>
      <c r="C2827" s="1">
        <f>IFERROR(VLOOKUP(1260,'PEDIDO 35'!$C$2:$E$230,3,0),0)</f>
        <v>0</v>
      </c>
      <c r="D2827" s="1"/>
      <c r="E2827" s="1"/>
      <c r="F2827" s="1"/>
      <c r="G2827" s="18">
        <f t="shared" si="80"/>
        <v>0</v>
      </c>
    </row>
    <row r="2828" spans="1:7" ht="15.75" x14ac:dyDescent="0.25">
      <c r="A2828" s="15">
        <f>'PEDIDO 35'!$B$2</f>
        <v>0</v>
      </c>
      <c r="B2828" s="12" t="s">
        <v>471</v>
      </c>
      <c r="C2828" s="1">
        <f>IFERROR(VLOOKUP(1261,'PEDIDO 35'!$C$2:$E$230,3,0),0)</f>
        <v>0</v>
      </c>
      <c r="D2828" s="1"/>
      <c r="E2828" s="1"/>
      <c r="F2828" s="1"/>
      <c r="G2828" s="18">
        <f t="shared" si="80"/>
        <v>0</v>
      </c>
    </row>
    <row r="2829" spans="1:7" ht="15.75" x14ac:dyDescent="0.25">
      <c r="A2829" s="15">
        <f>'PEDIDO 35'!$B$2</f>
        <v>0</v>
      </c>
      <c r="B2829" s="12" t="s">
        <v>472</v>
      </c>
      <c r="C2829" s="1">
        <f>IFERROR(VLOOKUP(1262,'PEDIDO 35'!$C$2:$E$230,3,0),0)</f>
        <v>0</v>
      </c>
      <c r="D2829" s="1"/>
      <c r="E2829" s="1"/>
      <c r="F2829" s="1"/>
      <c r="G2829" s="18">
        <f t="shared" si="80"/>
        <v>0</v>
      </c>
    </row>
    <row r="2830" spans="1:7" ht="15.75" x14ac:dyDescent="0.25">
      <c r="A2830" s="15">
        <f>'PEDIDO 35'!$B$2</f>
        <v>0</v>
      </c>
      <c r="B2830" s="12" t="s">
        <v>473</v>
      </c>
      <c r="C2830" s="1">
        <f>IFERROR(VLOOKUP(1263,'PEDIDO 35'!$C$2:$E$230,3,0),0)</f>
        <v>0</v>
      </c>
      <c r="D2830" s="1"/>
      <c r="E2830" s="1"/>
      <c r="F2830" s="1"/>
      <c r="G2830" s="18">
        <f t="shared" si="80"/>
        <v>0</v>
      </c>
    </row>
    <row r="2831" spans="1:7" ht="15.75" x14ac:dyDescent="0.25">
      <c r="A2831" s="15">
        <f>'PEDIDO 35'!$B$2</f>
        <v>0</v>
      </c>
      <c r="B2831" s="12" t="s">
        <v>474</v>
      </c>
      <c r="C2831" s="1">
        <f>IFERROR(VLOOKUP(1264,'PEDIDO 35'!$C$2:$E$230,3,0),0)</f>
        <v>0</v>
      </c>
      <c r="D2831" s="1"/>
      <c r="E2831" s="1"/>
      <c r="F2831" s="1"/>
      <c r="G2831" s="18">
        <f t="shared" si="80"/>
        <v>0</v>
      </c>
    </row>
    <row r="2832" spans="1:7" ht="15.75" x14ac:dyDescent="0.25">
      <c r="A2832" s="15">
        <f>'PEDIDO 35'!$B$2</f>
        <v>0</v>
      </c>
      <c r="B2832" s="12" t="s">
        <v>475</v>
      </c>
      <c r="C2832" s="1">
        <f>IFERROR(VLOOKUP(1265,'PEDIDO 35'!$C$2:$E$230,3,0),0)</f>
        <v>0</v>
      </c>
      <c r="D2832" s="1"/>
      <c r="E2832" s="1"/>
      <c r="F2832" s="1"/>
      <c r="G2832" s="18">
        <f t="shared" si="80"/>
        <v>0</v>
      </c>
    </row>
    <row r="2833" spans="1:7" ht="15.75" x14ac:dyDescent="0.25">
      <c r="A2833" s="15">
        <f>'PEDIDO 35'!$B$2</f>
        <v>0</v>
      </c>
      <c r="B2833" s="12" t="s">
        <v>476</v>
      </c>
      <c r="C2833" s="1">
        <f>IFERROR(VLOOKUP(1266,'PEDIDO 35'!$C$2:$E$230,3,0),0)</f>
        <v>0</v>
      </c>
      <c r="D2833" s="1"/>
      <c r="E2833" s="1"/>
      <c r="F2833" s="1"/>
      <c r="G2833" s="18">
        <f t="shared" si="80"/>
        <v>0</v>
      </c>
    </row>
    <row r="2834" spans="1:7" ht="15.75" x14ac:dyDescent="0.25">
      <c r="A2834" s="15">
        <f>'PEDIDO 35'!$B$2</f>
        <v>0</v>
      </c>
      <c r="B2834" s="12" t="s">
        <v>477</v>
      </c>
      <c r="C2834" s="1">
        <f>IFERROR(VLOOKUP(1268,'PEDIDO 35'!$C$2:$E$230,3,0),0)</f>
        <v>0</v>
      </c>
      <c r="D2834" s="1">
        <f>IFERROR(VLOOKUP(1269,'PEDIDO 35'!$C$2:$E$230,3,0),0)</f>
        <v>0</v>
      </c>
      <c r="E2834" s="1">
        <f>IFERROR(VLOOKUP(1270,'PEDIDO 35'!$C$2:$E$230,3,0),0)</f>
        <v>0</v>
      </c>
      <c r="F2834" s="1">
        <f>IFERROR(VLOOKUP(1271,'PEDIDO 35'!$C$2:$E$230,3,0),0)</f>
        <v>0</v>
      </c>
      <c r="G2834" s="18">
        <f t="shared" ref="G2834" si="81">SUM(C2834+D2834+E2834+F2834)</f>
        <v>0</v>
      </c>
    </row>
    <row r="2837" spans="1:7" ht="15.75" x14ac:dyDescent="0.25">
      <c r="A2837" s="15">
        <f>'PEDIDO 36'!$B$2</f>
        <v>0</v>
      </c>
      <c r="B2837" s="12" t="s">
        <v>399</v>
      </c>
      <c r="C2837" s="1">
        <f>IFERROR(VLOOKUP(1,'PEDIDO 36'!$C$2:$E$230,3,0),0)</f>
        <v>0</v>
      </c>
      <c r="D2837" s="1">
        <f>IFERROR(VLOOKUP(2,'PEDIDO 36'!$C$2:$E$230,3,0),0)</f>
        <v>0</v>
      </c>
      <c r="E2837" s="1">
        <f>IFERROR(VLOOKUP(3,'PEDIDO 36'!$C$2:$E$230,3,0),0)</f>
        <v>0</v>
      </c>
      <c r="F2837" s="1">
        <f>IFERROR(VLOOKUP(282,'PEDIDO 36'!$C$2:$E$230,3,0),0)</f>
        <v>0</v>
      </c>
      <c r="G2837" s="18">
        <f>SUM(C2837+D2837+E2837+F2837)</f>
        <v>0</v>
      </c>
    </row>
    <row r="2838" spans="1:7" ht="15.75" x14ac:dyDescent="0.25">
      <c r="A2838" s="15">
        <f>'PEDIDO 36'!$B$2</f>
        <v>0</v>
      </c>
      <c r="B2838" s="12" t="s">
        <v>400</v>
      </c>
      <c r="C2838" s="1">
        <f>IFERROR(VLOOKUP(5,'PEDIDO 36'!$C$2:$E$230,3,0),0)</f>
        <v>0</v>
      </c>
      <c r="D2838" s="1">
        <f>IFERROR(VLOOKUP(6,'PEDIDO 36'!$C$2:$E$230,3,0),0)</f>
        <v>0</v>
      </c>
      <c r="E2838" s="1">
        <f>IFERROR(VLOOKUP(7,'PEDIDO 36'!$C$2:$E$230,3,0),0)</f>
        <v>0</v>
      </c>
      <c r="F2838" s="1">
        <f>IFERROR(VLOOKUP(258,'PEDIDO 36'!$C$2:$E$230,3,0),0)</f>
        <v>0</v>
      </c>
      <c r="G2838" s="18">
        <f t="shared" ref="G2838:G2901" si="82">SUM(C2838+D2838+E2838+F2838)</f>
        <v>0</v>
      </c>
    </row>
    <row r="2839" spans="1:7" ht="15.75" x14ac:dyDescent="0.25">
      <c r="A2839" s="15">
        <f>'PEDIDO 36'!$B$2</f>
        <v>0</v>
      </c>
      <c r="B2839" s="12" t="s">
        <v>401</v>
      </c>
      <c r="C2839" s="1">
        <f>IFERROR(VLOOKUP(13,'PEDIDO 36'!$C$2:$E$230,3,0),0)</f>
        <v>0</v>
      </c>
      <c r="D2839" s="1">
        <f>IFERROR(VLOOKUP(14,'PEDIDO 36'!$C$2:$E$230,3,0),0)</f>
        <v>0</v>
      </c>
      <c r="E2839" s="1">
        <f>IFERROR(VLOOKUP(15,'PEDIDO 36'!$C$2:$E$230,3,0),0)</f>
        <v>0</v>
      </c>
      <c r="F2839" s="1">
        <f>IFERROR(VLOOKUP(289,'PEDIDO 36'!$C$2:$E$230,3,0),0)</f>
        <v>0</v>
      </c>
      <c r="G2839" s="18">
        <f t="shared" si="82"/>
        <v>0</v>
      </c>
    </row>
    <row r="2840" spans="1:7" ht="15.75" x14ac:dyDescent="0.25">
      <c r="A2840" s="15">
        <f>'PEDIDO 36'!$B$2</f>
        <v>0</v>
      </c>
      <c r="B2840" s="12" t="s">
        <v>402</v>
      </c>
      <c r="C2840" s="1">
        <f>IFERROR(VLOOKUP(267,'PEDIDO 36'!$C$2:$E$230,3,0),0)</f>
        <v>0</v>
      </c>
      <c r="D2840" s="1">
        <f>IFERROR(VLOOKUP(268,'PEDIDO 36'!$C$2:$E$230,3,0),0)</f>
        <v>0</v>
      </c>
      <c r="E2840" s="1">
        <f>IFERROR(VLOOKUP(270,'PEDIDO 36'!$C$2:$E$230,3,0),0)</f>
        <v>0</v>
      </c>
      <c r="F2840" s="1">
        <f>IFERROR(VLOOKUP(269,'PEDIDO 36'!$C$2:$E$230,3,0),0)</f>
        <v>0</v>
      </c>
      <c r="G2840" s="18">
        <f t="shared" si="82"/>
        <v>0</v>
      </c>
    </row>
    <row r="2841" spans="1:7" ht="15.75" x14ac:dyDescent="0.25">
      <c r="A2841" s="15">
        <f>'PEDIDO 36'!$B$2</f>
        <v>0</v>
      </c>
      <c r="B2841" s="12" t="s">
        <v>403</v>
      </c>
      <c r="C2841" s="1">
        <f>IFERROR(VLOOKUP(17,'PEDIDO 36'!$C$2:$E$230,3,0),0)</f>
        <v>0</v>
      </c>
      <c r="D2841" s="1">
        <f>IFERROR(VLOOKUP(18,'PEDIDO 36'!$C$2:$E$230,3,0),0)</f>
        <v>0</v>
      </c>
      <c r="E2841" s="1">
        <f>IFERROR(VLOOKUP(19,'PEDIDO 36'!$C$2:$E$230,3,0),0)</f>
        <v>0</v>
      </c>
      <c r="F2841" s="1">
        <f>IFERROR(VLOOKUP(290,'PEDIDO 36'!$C$2:$E$230,3,0),0)</f>
        <v>0</v>
      </c>
      <c r="G2841" s="18">
        <f t="shared" si="82"/>
        <v>0</v>
      </c>
    </row>
    <row r="2842" spans="1:7" ht="15.75" x14ac:dyDescent="0.25">
      <c r="A2842" s="15">
        <f>'PEDIDO 36'!$B$2</f>
        <v>0</v>
      </c>
      <c r="B2842" s="12" t="s">
        <v>404</v>
      </c>
      <c r="C2842" s="1">
        <f>IFERROR(VLOOKUP(23,'PEDIDO 36'!$C$2:$E$230,3,0),0)</f>
        <v>0</v>
      </c>
      <c r="D2842" s="1">
        <f>IFERROR(VLOOKUP(24,'PEDIDO 36'!$C$2:$E$230,3,0),0)</f>
        <v>0</v>
      </c>
      <c r="E2842" s="1">
        <f>IFERROR(VLOOKUP(25,'PEDIDO 36'!$C$2:$E$230,3,0),0)</f>
        <v>0</v>
      </c>
      <c r="F2842" s="1">
        <f>IFERROR(VLOOKUP(291,'PEDIDO 36'!$C$2:$E$230,3,0),0)</f>
        <v>0</v>
      </c>
      <c r="G2842" s="18">
        <f t="shared" si="82"/>
        <v>0</v>
      </c>
    </row>
    <row r="2843" spans="1:7" ht="15.75" x14ac:dyDescent="0.25">
      <c r="A2843" s="15">
        <f>'PEDIDO 36'!$B$2</f>
        <v>0</v>
      </c>
      <c r="B2843" s="12" t="s">
        <v>405</v>
      </c>
      <c r="C2843" s="1">
        <f>IFERROR(VLOOKUP(27,'PEDIDO 36'!$C$2:$E$230,3,0),0)</f>
        <v>0</v>
      </c>
      <c r="D2843" s="1">
        <f>IFERROR(VLOOKUP(28,'PEDIDO 36'!$C$2:$E$230,3,0),0)</f>
        <v>0</v>
      </c>
      <c r="E2843" s="1">
        <f>IFERROR(VLOOKUP(29,'PEDIDO 36'!$C$2:$E$230,3,0),0)</f>
        <v>0</v>
      </c>
      <c r="F2843" s="1">
        <f>IFERROR(VLOOKUP(292,'PEDIDO 36'!$C$2:$E$230,3,0),0)</f>
        <v>0</v>
      </c>
      <c r="G2843" s="18">
        <f t="shared" si="82"/>
        <v>0</v>
      </c>
    </row>
    <row r="2844" spans="1:7" ht="15.75" x14ac:dyDescent="0.25">
      <c r="A2844" s="15">
        <f>'PEDIDO 36'!$B$2</f>
        <v>0</v>
      </c>
      <c r="B2844" s="12" t="s">
        <v>406</v>
      </c>
      <c r="C2844" s="1">
        <f>IFERROR(VLOOKUP(227,'PEDIDO 36'!$C$2:$E$230,3,0),0)</f>
        <v>0</v>
      </c>
      <c r="D2844" s="1">
        <f>IFERROR(VLOOKUP(228,'PEDIDO 36'!$C$2:$E$230,3,0),0)</f>
        <v>0</v>
      </c>
      <c r="E2844" s="1">
        <f>IFERROR(VLOOKUP(229,'PEDIDO 36'!$C$2:$E$230,3,0),0)</f>
        <v>0</v>
      </c>
      <c r="F2844" s="1">
        <f>IFERROR(VLOOKUP(230,'PEDIDO 36'!$C$2:$E$230,3,0),0)</f>
        <v>0</v>
      </c>
      <c r="G2844" s="18">
        <f t="shared" si="82"/>
        <v>0</v>
      </c>
    </row>
    <row r="2845" spans="1:7" ht="15.75" x14ac:dyDescent="0.25">
      <c r="A2845" s="15">
        <f>'PEDIDO 36'!$B$2</f>
        <v>0</v>
      </c>
      <c r="B2845" s="12" t="s">
        <v>407</v>
      </c>
      <c r="C2845" s="1">
        <f>IFERROR(VLOOKUP(231,'PEDIDO 36'!$C$2:$E$230,3,0),0)</f>
        <v>0</v>
      </c>
      <c r="D2845" s="1">
        <f>IFERROR(VLOOKUP(232,'PEDIDO 36'!$C$2:$E$230,3,0),0)</f>
        <v>0</v>
      </c>
      <c r="E2845" s="1">
        <f>IFERROR(VLOOKUP(234,'PEDIDO 36'!$C$2:$E$230,3,0),0)</f>
        <v>0</v>
      </c>
      <c r="F2845" s="1">
        <f>IFERROR(VLOOKUP(233,'PEDIDO 36'!$C$2:$E$230,3,0),0)</f>
        <v>0</v>
      </c>
      <c r="G2845" s="18">
        <f t="shared" si="82"/>
        <v>0</v>
      </c>
    </row>
    <row r="2846" spans="1:7" ht="15.75" x14ac:dyDescent="0.25">
      <c r="A2846" s="15">
        <f>'PEDIDO 36'!$B$2</f>
        <v>0</v>
      </c>
      <c r="B2846" s="12" t="s">
        <v>408</v>
      </c>
      <c r="C2846" s="1">
        <f>IFERROR(VLOOKUP(237,'PEDIDO 36'!$C$2:$E$230,3,0),0)</f>
        <v>0</v>
      </c>
      <c r="D2846" s="1">
        <f>IFERROR(VLOOKUP(238,'PEDIDO 36'!$C$2:$E$230,3,0),0)</f>
        <v>0</v>
      </c>
      <c r="E2846" s="1">
        <f>IFERROR(VLOOKUP(240,'PEDIDO 36'!$C$2:$E$230,3,0),0)</f>
        <v>0</v>
      </c>
      <c r="F2846" s="1">
        <f>IFERROR(VLOOKUP(239,'PEDIDO 36'!$C$2:$E$230,3,0),0)</f>
        <v>0</v>
      </c>
      <c r="G2846" s="18">
        <f t="shared" si="82"/>
        <v>0</v>
      </c>
    </row>
    <row r="2847" spans="1:7" ht="15.75" x14ac:dyDescent="0.25">
      <c r="A2847" s="15">
        <f>'PEDIDO 36'!$B$2</f>
        <v>0</v>
      </c>
      <c r="B2847" s="12" t="s">
        <v>409</v>
      </c>
      <c r="C2847" s="1">
        <f>IFERROR(VLOOKUP(25707,'PEDIDO 36'!$C$2:$E$230,3,0),0)</f>
        <v>0</v>
      </c>
      <c r="D2847" s="1">
        <f>IFERROR(VLOOKUP(25708,'PEDIDO 36'!$C$2:$E$230,3,0),0)</f>
        <v>0</v>
      </c>
      <c r="E2847" s="1">
        <f>IFERROR(VLOOKUP(25710,'PEDIDO 36'!$C$2:$E$230,3,0),0)</f>
        <v>0</v>
      </c>
      <c r="F2847" s="1">
        <f>IFERROR(VLOOKUP(25709,'PEDIDO 36'!$C$2:$E$230,3,0),0)</f>
        <v>0</v>
      </c>
      <c r="G2847" s="18">
        <f t="shared" si="82"/>
        <v>0</v>
      </c>
    </row>
    <row r="2848" spans="1:7" ht="15.75" x14ac:dyDescent="0.25">
      <c r="A2848" s="15">
        <f>'PEDIDO 36'!$B$2</f>
        <v>0</v>
      </c>
      <c r="B2848" s="12" t="s">
        <v>410</v>
      </c>
      <c r="C2848" s="1">
        <f>IFERROR(VLOOKUP(25711,'PEDIDO 36'!$C$2:$E$230,3,0),0)</f>
        <v>0</v>
      </c>
      <c r="D2848" s="1"/>
      <c r="E2848" s="1"/>
      <c r="F2848" s="1"/>
      <c r="G2848" s="18">
        <f t="shared" si="82"/>
        <v>0</v>
      </c>
    </row>
    <row r="2849" spans="1:7" ht="15.75" x14ac:dyDescent="0.25">
      <c r="A2849" s="15">
        <f>'PEDIDO 36'!$B$2</f>
        <v>0</v>
      </c>
      <c r="B2849" s="12" t="s">
        <v>411</v>
      </c>
      <c r="C2849" s="1">
        <f>IFERROR(VLOOKUP(35,'PEDIDO 36'!$C$2:$E$230,3,0),0)</f>
        <v>0</v>
      </c>
      <c r="D2849" s="1">
        <f>IFERROR(VLOOKUP(36,'PEDIDO 36'!$C$2:$E$230,3,0),0)</f>
        <v>0</v>
      </c>
      <c r="E2849" s="1">
        <f>IFERROR(VLOOKUP(37,'PEDIDO 36'!$C$2:$E$230,3,0),0)</f>
        <v>0</v>
      </c>
      <c r="F2849" s="1">
        <f>IFERROR(VLOOKUP(294,'PEDIDO 36'!$C$2:$E$230,3,0),0)</f>
        <v>0</v>
      </c>
      <c r="G2849" s="18">
        <f t="shared" si="82"/>
        <v>0</v>
      </c>
    </row>
    <row r="2850" spans="1:7" ht="15.75" x14ac:dyDescent="0.25">
      <c r="A2850" s="15">
        <f>'PEDIDO 36'!$B$2</f>
        <v>0</v>
      </c>
      <c r="B2850" s="12" t="s">
        <v>412</v>
      </c>
      <c r="C2850" s="1">
        <f>IFERROR(VLOOKUP(39,'PEDIDO 36'!$C$2:$E$230,3,0),0)</f>
        <v>0</v>
      </c>
      <c r="D2850" s="1">
        <f>IFERROR(VLOOKUP(40,'PEDIDO 36'!$C$2:$E$230,3,0),0)</f>
        <v>0</v>
      </c>
      <c r="E2850" s="1">
        <f>IFERROR(VLOOKUP(42,'PEDIDO 36'!$C$2:$E$230,3,0),0)</f>
        <v>0</v>
      </c>
      <c r="F2850" s="1">
        <f>IFERROR(VLOOKUP(295,'PEDIDO 36'!$C$2:$E$230,3,0),0)</f>
        <v>0</v>
      </c>
      <c r="G2850" s="18">
        <f t="shared" si="82"/>
        <v>0</v>
      </c>
    </row>
    <row r="2851" spans="1:7" ht="15.75" x14ac:dyDescent="0.25">
      <c r="A2851" s="15">
        <f>'PEDIDO 36'!$B$2</f>
        <v>0</v>
      </c>
      <c r="B2851" s="12" t="s">
        <v>413</v>
      </c>
      <c r="C2851" s="1">
        <f>IFERROR(VLOOKUP(44,'PEDIDO 36'!$C$2:$E$230,3,0),0)</f>
        <v>0</v>
      </c>
      <c r="D2851" s="1">
        <f>IFERROR(VLOOKUP(45,'PEDIDO 36'!$C$2:$E$230,3,0),0)</f>
        <v>0</v>
      </c>
      <c r="E2851" s="1">
        <f>IFERROR(VLOOKUP(46,'PEDIDO 36'!$C$2:$E$230,3,0),0)</f>
        <v>0</v>
      </c>
      <c r="F2851" s="1">
        <f>IFERROR(VLOOKUP(283,'PEDIDO 36'!$C$2:$E$230,3,0),0)</f>
        <v>0</v>
      </c>
      <c r="G2851" s="18">
        <f t="shared" si="82"/>
        <v>0</v>
      </c>
    </row>
    <row r="2852" spans="1:7" ht="15.75" x14ac:dyDescent="0.25">
      <c r="A2852" s="15">
        <f>'PEDIDO 36'!$B$2</f>
        <v>0</v>
      </c>
      <c r="B2852" s="12" t="s">
        <v>414</v>
      </c>
      <c r="C2852" s="1">
        <f>IFERROR(VLOOKUP(48,'PEDIDO 36'!$C$2:$E$230,3,0),0)</f>
        <v>0</v>
      </c>
      <c r="D2852" s="1">
        <f>IFERROR(VLOOKUP(49,'PEDIDO 36'!$C$2:$E$230,3,0),0)</f>
        <v>0</v>
      </c>
      <c r="E2852" s="1">
        <f>IFERROR(VLOOKUP(50,'PEDIDO 36'!$C$2:$E$230,3,0),0)</f>
        <v>0</v>
      </c>
      <c r="F2852" s="1">
        <f>IFERROR(VLOOKUP(298,'PEDIDO 36'!$C$2:$E$230,3,0),0)</f>
        <v>0</v>
      </c>
      <c r="G2852" s="18">
        <f t="shared" si="82"/>
        <v>0</v>
      </c>
    </row>
    <row r="2853" spans="1:7" ht="15.75" x14ac:dyDescent="0.25">
      <c r="A2853" s="15">
        <f>'PEDIDO 36'!$B$2</f>
        <v>0</v>
      </c>
      <c r="B2853" s="12" t="s">
        <v>415</v>
      </c>
      <c r="C2853" s="1">
        <f>IFERROR(VLOOKUP(52,'PEDIDO 36'!$C$2:$E$230,3,0),0)</f>
        <v>0</v>
      </c>
      <c r="D2853" s="1">
        <f>IFERROR(VLOOKUP(53,'PEDIDO 36'!$C$2:$E$230,3,0),0)</f>
        <v>0</v>
      </c>
      <c r="E2853" s="1">
        <f>IFERROR(VLOOKUP(54,'PEDIDO 36'!$C$2:$E$230,3,0),0)</f>
        <v>0</v>
      </c>
      <c r="F2853" s="1">
        <f>IFERROR(VLOOKUP(299,'PEDIDO 36'!$C$2:$E$230,3,0),0)</f>
        <v>0</v>
      </c>
      <c r="G2853" s="18">
        <f t="shared" si="82"/>
        <v>0</v>
      </c>
    </row>
    <row r="2854" spans="1:7" ht="15.75" x14ac:dyDescent="0.25">
      <c r="A2854" s="15">
        <f>'PEDIDO 36'!$B$2</f>
        <v>0</v>
      </c>
      <c r="B2854" s="12" t="s">
        <v>416</v>
      </c>
      <c r="C2854" s="1">
        <f>IFERROR(VLOOKUP(56,'PEDIDO 36'!$C$2:$E$230,3,0),0)</f>
        <v>0</v>
      </c>
      <c r="D2854" s="1">
        <f>IFERROR(VLOOKUP(61,'PEDIDO 36'!$C$2:$E$230,3,0),0)</f>
        <v>0</v>
      </c>
      <c r="E2854" s="1">
        <f>IFERROR(VLOOKUP(58,'PEDIDO 36'!$C$2:$E$230,3,0),0)</f>
        <v>0</v>
      </c>
      <c r="F2854" s="1">
        <f>IFERROR(VLOOKUP(300,'PEDIDO 36'!$C$2:$E$230,3,0),0)</f>
        <v>0</v>
      </c>
      <c r="G2854" s="18">
        <f t="shared" si="82"/>
        <v>0</v>
      </c>
    </row>
    <row r="2855" spans="1:7" ht="15.75" x14ac:dyDescent="0.25">
      <c r="A2855" s="15">
        <f>'PEDIDO 36'!$B$2</f>
        <v>0</v>
      </c>
      <c r="B2855" s="12" t="s">
        <v>417</v>
      </c>
      <c r="C2855" s="1">
        <f>IFERROR(VLOOKUP(60,'PEDIDO 36'!$C$2:$E$230,3,0),0)</f>
        <v>0</v>
      </c>
      <c r="D2855" s="1">
        <f>IFERROR(VLOOKUP(120,'PEDIDO 36'!$C$2:$E$230,3,0),0)</f>
        <v>0</v>
      </c>
      <c r="E2855" s="1">
        <f>IFERROR(VLOOKUP(62,'PEDIDO 36'!$C$2:$E$230,3,0),0)</f>
        <v>0</v>
      </c>
      <c r="F2855" s="1">
        <f>IFERROR(VLOOKUP(301,'PEDIDO 36'!$C$2:$E$230,3,0),0)</f>
        <v>0</v>
      </c>
      <c r="G2855" s="18">
        <f t="shared" si="82"/>
        <v>0</v>
      </c>
    </row>
    <row r="2856" spans="1:7" ht="15.75" x14ac:dyDescent="0.25">
      <c r="A2856" s="15">
        <f>'PEDIDO 36'!$B$2</f>
        <v>0</v>
      </c>
      <c r="B2856" s="12" t="s">
        <v>426</v>
      </c>
      <c r="C2856" s="1">
        <f>IFERROR(VLOOKUP(112,'PEDIDO 36'!$C$2:$E$230,3,0),0)</f>
        <v>0</v>
      </c>
      <c r="D2856" s="1">
        <f>IFERROR(VLOOKUP(113,'PEDIDO 36'!$C$2:$E$230,3,0),0)</f>
        <v>0</v>
      </c>
      <c r="E2856" s="1">
        <f>IFERROR(VLOOKUP(114,'PEDIDO 36'!$C$2:$E$230,3,0),0)</f>
        <v>0</v>
      </c>
      <c r="F2856" s="1">
        <f>IFERROR(VLOOKUP(296,'PEDIDO 36'!$C$2:$E$230,3,0),0)</f>
        <v>0</v>
      </c>
      <c r="G2856" s="18">
        <f t="shared" si="82"/>
        <v>0</v>
      </c>
    </row>
    <row r="2857" spans="1:7" ht="15.75" x14ac:dyDescent="0.25">
      <c r="A2857" s="15">
        <f>'PEDIDO 36'!$B$2</f>
        <v>0</v>
      </c>
      <c r="B2857" s="12" t="s">
        <v>427</v>
      </c>
      <c r="C2857" s="1">
        <f>IFERROR(VLOOKUP(116,'PEDIDO 36'!$C$2:$E$230,3,0),0)</f>
        <v>0</v>
      </c>
      <c r="D2857" s="1">
        <f>IFERROR(VLOOKUP(117,'PEDIDO 36'!$C$2:$E$230,3,0),0)</f>
        <v>0</v>
      </c>
      <c r="E2857" s="1">
        <f>IFERROR(VLOOKUP(118,'PEDIDO 36'!$C$2:$E$230,3,0),0)</f>
        <v>0</v>
      </c>
      <c r="F2857" s="1">
        <f>IFERROR(VLOOKUP(293,'PEDIDO 36'!$C$2:$E$230,3,0),0)</f>
        <v>0</v>
      </c>
      <c r="G2857" s="18">
        <f t="shared" si="82"/>
        <v>0</v>
      </c>
    </row>
    <row r="2858" spans="1:7" ht="15.75" x14ac:dyDescent="0.25">
      <c r="A2858" s="15">
        <f>'PEDIDO 36'!$B$2</f>
        <v>0</v>
      </c>
      <c r="B2858" s="12" t="s">
        <v>418</v>
      </c>
      <c r="C2858" s="1">
        <f>IFERROR(VLOOKUP(963,'PEDIDO 36'!$C$2:$E$230,3,0),0)</f>
        <v>0</v>
      </c>
      <c r="D2858" s="1">
        <f>IFERROR(VLOOKUP(965,'PEDIDO 36'!$C$2:$E$230,3,0),0)</f>
        <v>0</v>
      </c>
      <c r="E2858" s="1">
        <f>IFERROR(VLOOKUP(966,'PEDIDO 36'!$C$2:$E$230,3,0),0)</f>
        <v>0</v>
      </c>
      <c r="F2858" s="1">
        <f>IFERROR(VLOOKUP(964,'PEDIDO 36'!$C$2:$E$230,3,0),0)</f>
        <v>0</v>
      </c>
      <c r="G2858" s="18">
        <f t="shared" si="82"/>
        <v>0</v>
      </c>
    </row>
    <row r="2859" spans="1:7" ht="15.75" x14ac:dyDescent="0.25">
      <c r="A2859" s="15">
        <f>'PEDIDO 36'!$B$2</f>
        <v>0</v>
      </c>
      <c r="B2859" s="12" t="s">
        <v>419</v>
      </c>
      <c r="C2859" s="1">
        <f>IFERROR(VLOOKUP(2042,'PEDIDO 36'!$C$2:$E$230,3,0),0)</f>
        <v>0</v>
      </c>
      <c r="D2859" s="1">
        <f>IFERROR(VLOOKUP(2041,'PEDIDO 36'!$C$2:$E$230,3,0),0)</f>
        <v>0</v>
      </c>
      <c r="E2859" s="1">
        <f>IFERROR(VLOOKUP(2043,'PEDIDO 36'!$C$2:$E$230,3,0),0)</f>
        <v>0</v>
      </c>
      <c r="F2859" s="1">
        <f>IFERROR(VLOOKUP(2040,'PEDIDO 36'!$C$2:$E$230,3,0),0)</f>
        <v>0</v>
      </c>
      <c r="G2859" s="18">
        <f t="shared" si="82"/>
        <v>0</v>
      </c>
    </row>
    <row r="2860" spans="1:7" ht="15.75" x14ac:dyDescent="0.25">
      <c r="A2860" s="15">
        <f>'PEDIDO 36'!$B$2</f>
        <v>0</v>
      </c>
      <c r="B2860" s="12" t="s">
        <v>420</v>
      </c>
      <c r="C2860" s="1">
        <f>IFERROR(VLOOKUP(2045,'PEDIDO 36'!$C$2:$E$230,3,0),0)</f>
        <v>0</v>
      </c>
      <c r="D2860" s="1">
        <f>IFERROR(VLOOKUP(2046,'PEDIDO 36'!$C$2:$E$230,3,0),0)</f>
        <v>0</v>
      </c>
      <c r="E2860" s="1">
        <f>IFERROR(VLOOKUP(2047,'PEDIDO 36'!$C$2:$E$230,3,0),0)</f>
        <v>0</v>
      </c>
      <c r="F2860" s="1">
        <f>IFERROR(VLOOKUP(2048,'PEDIDO 36'!$C$2:$E$230,3,0),0)</f>
        <v>0</v>
      </c>
      <c r="G2860" s="18">
        <f t="shared" si="82"/>
        <v>0</v>
      </c>
    </row>
    <row r="2861" spans="1:7" ht="15.75" x14ac:dyDescent="0.25">
      <c r="A2861" s="15">
        <f>'PEDIDO 36'!$B$2</f>
        <v>0</v>
      </c>
      <c r="B2861" s="12" t="s">
        <v>421</v>
      </c>
      <c r="C2861" s="1">
        <f>IFERROR(VLOOKUP(2050,'PEDIDO 36'!$C$2:$E$230,3,0),0)</f>
        <v>0</v>
      </c>
      <c r="D2861" s="1">
        <f>IFERROR(VLOOKUP(2051,'PEDIDO 36'!$C$2:$E$230,3,0),0)</f>
        <v>0</v>
      </c>
      <c r="E2861" s="1">
        <f>IFERROR(VLOOKUP(2052,'PEDIDO 36'!$C$2:$E$230,3,0),0)</f>
        <v>0</v>
      </c>
      <c r="F2861" s="1">
        <f>IFERROR(VLOOKUP(2053,'PEDIDO 36'!$C$2:$E$230,3,0),0)</f>
        <v>0</v>
      </c>
      <c r="G2861" s="18">
        <f t="shared" si="82"/>
        <v>0</v>
      </c>
    </row>
    <row r="2862" spans="1:7" ht="15.75" x14ac:dyDescent="0.25">
      <c r="A2862" s="15">
        <f>'PEDIDO 36'!$B$2</f>
        <v>0</v>
      </c>
      <c r="B2862" s="12" t="s">
        <v>422</v>
      </c>
      <c r="C2862" s="1">
        <f>IFERROR(VLOOKUP(216,'PEDIDO 36'!$C$2:$E$230,3,0),0)</f>
        <v>0</v>
      </c>
      <c r="D2862" s="1">
        <f>IFERROR(VLOOKUP(217,'PEDIDO 36'!$C$2:$E$230,3,0),0)</f>
        <v>0</v>
      </c>
      <c r="E2862" s="1">
        <f>IFERROR(VLOOKUP(218,'PEDIDO 36'!$C$2:$E$230,3,0),0)</f>
        <v>0</v>
      </c>
      <c r="F2862" s="1">
        <f>IFERROR(VLOOKUP(305,'PEDIDO 36'!$C$2:$E$230,3,0),0)</f>
        <v>0</v>
      </c>
      <c r="G2862" s="18">
        <f t="shared" si="82"/>
        <v>0</v>
      </c>
    </row>
    <row r="2863" spans="1:7" ht="15.75" x14ac:dyDescent="0.25">
      <c r="A2863" s="15">
        <f>'PEDIDO 36'!$B$2</f>
        <v>0</v>
      </c>
      <c r="B2863" s="12" t="s">
        <v>423</v>
      </c>
      <c r="C2863" s="1">
        <f>IFERROR(VLOOKUP(100,'PEDIDO 36'!$C$2:$E$230,3,0),0)</f>
        <v>0</v>
      </c>
      <c r="D2863" s="1">
        <f>IFERROR(VLOOKUP(101,'PEDIDO 36'!$C$2:$E$230,3,0),0)</f>
        <v>0</v>
      </c>
      <c r="E2863" s="1">
        <f>IFERROR(VLOOKUP(102,'PEDIDO 36'!$C$2:$E$230,3,0),0)</f>
        <v>0</v>
      </c>
      <c r="F2863" s="1">
        <f>IFERROR(VLOOKUP(306,'PEDIDO 36'!$C$2:$E$230,3,0),0)</f>
        <v>0</v>
      </c>
      <c r="G2863" s="18">
        <f t="shared" si="82"/>
        <v>0</v>
      </c>
    </row>
    <row r="2864" spans="1:7" ht="15.75" x14ac:dyDescent="0.25">
      <c r="A2864" s="15">
        <f>'PEDIDO 36'!$B$2</f>
        <v>0</v>
      </c>
      <c r="B2864" s="12" t="s">
        <v>424</v>
      </c>
      <c r="C2864" s="1">
        <f>IFERROR(VLOOKUP(104,'PEDIDO 36'!$C$2:$E$230,3,0),0)</f>
        <v>0</v>
      </c>
      <c r="D2864" s="1">
        <f>IFERROR(VLOOKUP(105,'PEDIDO 36'!$C$2:$E$230,3,0),0)</f>
        <v>0</v>
      </c>
      <c r="E2864" s="1">
        <f>IFERROR(VLOOKUP(106,'PEDIDO 36'!$C$2:$E$230,3,0),0)</f>
        <v>0</v>
      </c>
      <c r="F2864" s="1">
        <f>IFERROR(VLOOKUP(307,'PEDIDO 36'!$C$2:$E$230,3,0),0)</f>
        <v>0</v>
      </c>
      <c r="G2864" s="18">
        <f t="shared" si="82"/>
        <v>0</v>
      </c>
    </row>
    <row r="2865" spans="1:7" ht="15.75" x14ac:dyDescent="0.25">
      <c r="A2865" s="15">
        <f>'PEDIDO 36'!$B$2</f>
        <v>0</v>
      </c>
      <c r="B2865" s="12" t="s">
        <v>425</v>
      </c>
      <c r="C2865" s="1">
        <f>IFERROR(VLOOKUP(400,'PEDIDO 36'!$C$2:$E$230,3,0),0)</f>
        <v>0</v>
      </c>
      <c r="D2865" s="1">
        <f>IFERROR(VLOOKUP(401,'PEDIDO 36'!$C$2:$E$230,3,0),0)</f>
        <v>0</v>
      </c>
      <c r="E2865" s="1">
        <f>IFERROR(VLOOKUP(402,'PEDIDO 36'!$C$2:$E$230,3,0),0)</f>
        <v>0</v>
      </c>
      <c r="F2865" s="1">
        <f>IFERROR(VLOOKUP(403,'PEDIDO 36'!$C$2:$E$230,3,0),0)</f>
        <v>0</v>
      </c>
      <c r="G2865" s="18">
        <f t="shared" si="82"/>
        <v>0</v>
      </c>
    </row>
    <row r="2866" spans="1:7" ht="15.75" x14ac:dyDescent="0.25">
      <c r="A2866" s="15">
        <f>'PEDIDO 36'!$B$2</f>
        <v>0</v>
      </c>
      <c r="B2866" s="12" t="s">
        <v>428</v>
      </c>
      <c r="C2866" s="1">
        <f>IFERROR(VLOOKUP(22,'PEDIDO 36'!$C$2:$E$230,3,0),0)</f>
        <v>0</v>
      </c>
      <c r="D2866" s="1"/>
      <c r="E2866" s="1"/>
      <c r="F2866" s="1"/>
      <c r="G2866" s="18">
        <f t="shared" si="82"/>
        <v>0</v>
      </c>
    </row>
    <row r="2867" spans="1:7" ht="15.75" x14ac:dyDescent="0.25">
      <c r="A2867" s="15">
        <f>'PEDIDO 36'!$B$2</f>
        <v>0</v>
      </c>
      <c r="B2867" s="12" t="s">
        <v>429</v>
      </c>
      <c r="C2867" s="1">
        <f>IFERROR(VLOOKUP(21,'PEDIDO 36'!$C$2:$E$230,3,0),0)</f>
        <v>0</v>
      </c>
      <c r="D2867" s="1"/>
      <c r="E2867" s="1"/>
      <c r="F2867" s="1"/>
      <c r="G2867" s="18">
        <f t="shared" si="82"/>
        <v>0</v>
      </c>
    </row>
    <row r="2868" spans="1:7" ht="15.75" x14ac:dyDescent="0.25">
      <c r="A2868" s="15">
        <f>'PEDIDO 36'!$B$2</f>
        <v>0</v>
      </c>
      <c r="B2868" s="12" t="s">
        <v>430</v>
      </c>
      <c r="C2868" s="1">
        <f>IFERROR(VLOOKUP(1125,'PEDIDO 36'!$C$2:$E$230,3,0),0)</f>
        <v>0</v>
      </c>
      <c r="D2868" s="1">
        <f>IFERROR(VLOOKUP(1126,'PEDIDO 36'!$C$2:$E$230,3,0),0)</f>
        <v>0</v>
      </c>
      <c r="E2868" s="1">
        <f>IFERROR(VLOOKUP(1127,'PEDIDO 36'!$C$2:$E$230,3,0),0)</f>
        <v>0</v>
      </c>
      <c r="F2868" s="1">
        <f>IFERROR(VLOOKUP(1128,'PEDIDO 36'!$C$2:$E$230,3,0),0)</f>
        <v>0</v>
      </c>
      <c r="G2868" s="18">
        <f t="shared" si="82"/>
        <v>0</v>
      </c>
    </row>
    <row r="2869" spans="1:7" ht="15.75" x14ac:dyDescent="0.25">
      <c r="A2869" s="15">
        <f>'PEDIDO 36'!$B$2</f>
        <v>0</v>
      </c>
      <c r="B2869" s="12" t="s">
        <v>431</v>
      </c>
      <c r="C2869" s="1">
        <f>IFERROR(VLOOKUP(1133,'PEDIDO 36'!$C$2:$E$230,3,0),0)</f>
        <v>0</v>
      </c>
      <c r="D2869" s="1">
        <f>IFERROR(VLOOKUP(1134,'PEDIDO 36'!$C$2:$E$230,3,0),0)</f>
        <v>0</v>
      </c>
      <c r="E2869" s="1">
        <f>IFERROR(VLOOKUP(1135,'PEDIDO 36'!$C$2:$E$230,3,0),0)</f>
        <v>0</v>
      </c>
      <c r="F2869" s="1">
        <f>IFERROR(VLOOKUP(1136,'PEDIDO 36'!$C$2:$E$230,3,0),0)</f>
        <v>0</v>
      </c>
      <c r="G2869" s="18">
        <f t="shared" si="82"/>
        <v>0</v>
      </c>
    </row>
    <row r="2870" spans="1:7" ht="15.75" x14ac:dyDescent="0.25">
      <c r="A2870" s="15">
        <f>'PEDIDO 36'!$B$2</f>
        <v>0</v>
      </c>
      <c r="B2870" s="12" t="s">
        <v>432</v>
      </c>
      <c r="C2870" s="1">
        <f>IFERROR(VLOOKUP(1105,'PEDIDO 36'!$C$2:$E$230,3,0),0)</f>
        <v>0</v>
      </c>
      <c r="D2870" s="1">
        <f>IFERROR(VLOOKUP(1106,'PEDIDO 36'!$C$2:$E$230,3,0),0)</f>
        <v>0</v>
      </c>
      <c r="E2870" s="1">
        <f>IFERROR(VLOOKUP(1107,'PEDIDO 36'!$C$2:$E$230,3,0),0)</f>
        <v>0</v>
      </c>
      <c r="F2870" s="1">
        <f>IFERROR(VLOOKUP(1108,'PEDIDO 36'!$C$2:$E$230,3,0),0)</f>
        <v>0</v>
      </c>
      <c r="G2870" s="18">
        <f t="shared" si="82"/>
        <v>0</v>
      </c>
    </row>
    <row r="2871" spans="1:7" ht="15.75" x14ac:dyDescent="0.25">
      <c r="A2871" s="15">
        <f>'PEDIDO 36'!$B$2</f>
        <v>0</v>
      </c>
      <c r="B2871" s="12" t="s">
        <v>433</v>
      </c>
      <c r="C2871" s="1">
        <f>IFERROR(VLOOKUP(1109,'PEDIDO 36'!$C$2:$E$230,3,0),0)</f>
        <v>0</v>
      </c>
      <c r="D2871" s="1">
        <f>IFERROR(VLOOKUP(1110,'PEDIDO 36'!$C$2:$E$230,3,0),0)</f>
        <v>0</v>
      </c>
      <c r="E2871" s="1">
        <f>IFERROR(VLOOKUP(1111,'PEDIDO 36'!$C$2:$E$230,3,0),0)</f>
        <v>0</v>
      </c>
      <c r="F2871" s="1">
        <f>IFERROR(VLOOKUP(1112,'PEDIDO 36'!$C$2:$E$230,3,0),0)</f>
        <v>0</v>
      </c>
      <c r="G2871" s="18">
        <f t="shared" si="82"/>
        <v>0</v>
      </c>
    </row>
    <row r="2872" spans="1:7" ht="15.75" x14ac:dyDescent="0.25">
      <c r="A2872" s="15">
        <f>'PEDIDO 36'!$B$2</f>
        <v>0</v>
      </c>
      <c r="B2872" s="12" t="s">
        <v>434</v>
      </c>
      <c r="C2872" s="1">
        <f>IFERROR(VLOOKUP(1113,'PEDIDO 36'!$C$2:$E$230,3,0),0)</f>
        <v>0</v>
      </c>
      <c r="D2872" s="1">
        <f>IFERROR(VLOOKUP(1114,'PEDIDO 36'!$C$2:$E$230,3,0),0)</f>
        <v>0</v>
      </c>
      <c r="E2872" s="1">
        <f>IFERROR(VLOOKUP(1115,'PEDIDO 36'!$C$2:$E$230,3,0),0)</f>
        <v>0</v>
      </c>
      <c r="F2872" s="1">
        <f>IFERROR(VLOOKUP(1116,'PEDIDO 36'!$C$2:$E$230,3,0),0)</f>
        <v>0</v>
      </c>
      <c r="G2872" s="18">
        <f t="shared" si="82"/>
        <v>0</v>
      </c>
    </row>
    <row r="2873" spans="1:7" ht="15.75" x14ac:dyDescent="0.25">
      <c r="A2873" s="15">
        <f>'PEDIDO 36'!$B$2</f>
        <v>0</v>
      </c>
      <c r="B2873" s="12" t="s">
        <v>435</v>
      </c>
      <c r="C2873" s="1">
        <f>IFERROR(VLOOKUP(1117,'PEDIDO 36'!$C$2:$E$230,3,0),0)</f>
        <v>0</v>
      </c>
      <c r="D2873" s="1">
        <f>IFERROR(VLOOKUP(1118,'PEDIDO 36'!$C$2:$E$230,3,0),0)</f>
        <v>0</v>
      </c>
      <c r="E2873" s="1">
        <f>IFERROR(VLOOKUP(1119,'PEDIDO 36'!$C$2:$E$230,3,0),0)</f>
        <v>0</v>
      </c>
      <c r="F2873" s="1">
        <f>IFERROR(VLOOKUP(1120,'PEDIDO 36'!$C$2:$E$230,3,0),0)</f>
        <v>0</v>
      </c>
      <c r="G2873" s="18">
        <f t="shared" si="82"/>
        <v>0</v>
      </c>
    </row>
    <row r="2874" spans="1:7" ht="15.75" x14ac:dyDescent="0.25">
      <c r="A2874" s="15">
        <f>'PEDIDO 36'!$B$2</f>
        <v>0</v>
      </c>
      <c r="B2874" s="12" t="s">
        <v>436</v>
      </c>
      <c r="C2874" s="1">
        <f>IFERROR(VLOOKUP(1121,'PEDIDO 36'!$C$2:$E$230,3,0),0)</f>
        <v>0</v>
      </c>
      <c r="D2874" s="1">
        <f>IFERROR(VLOOKUP(1122,'PEDIDO 36'!$C$2:$E$230,3,0),0)</f>
        <v>0</v>
      </c>
      <c r="E2874" s="1">
        <f>IFERROR(VLOOKUP(1123,'PEDIDO 36'!$C$2:$E$230,3,0),0)</f>
        <v>0</v>
      </c>
      <c r="F2874" s="1">
        <f>IFERROR(VLOOKUP(1124,'PEDIDO 36'!$C$2:$E$230,3,0),0)</f>
        <v>0</v>
      </c>
      <c r="G2874" s="18">
        <f t="shared" si="82"/>
        <v>0</v>
      </c>
    </row>
    <row r="2875" spans="1:7" ht="15.75" x14ac:dyDescent="0.25">
      <c r="A2875" s="15">
        <f>'PEDIDO 36'!$B$2</f>
        <v>0</v>
      </c>
      <c r="B2875" s="12" t="s">
        <v>437</v>
      </c>
      <c r="C2875" s="1">
        <f>IFERROR(VLOOKUP(1129,'PEDIDO 36'!$C$2:$E$230,3,0),0)</f>
        <v>0</v>
      </c>
      <c r="D2875" s="1">
        <f>IFERROR(VLOOKUP(1130,'PEDIDO 36'!$C$2:$E$230,3,0),0)</f>
        <v>0</v>
      </c>
      <c r="E2875" s="1">
        <f>IFERROR(VLOOKUP(1131,'PEDIDO 36'!$C$2:$E$230,3,0),0)</f>
        <v>0</v>
      </c>
      <c r="F2875" s="1">
        <f>IFERROR(VLOOKUP(1132,'PEDIDO 36'!$C$2:$E$230,3,0),0)</f>
        <v>0</v>
      </c>
      <c r="G2875" s="18">
        <f t="shared" si="82"/>
        <v>0</v>
      </c>
    </row>
    <row r="2876" spans="1:7" ht="15.75" x14ac:dyDescent="0.25">
      <c r="A2876" s="15">
        <f>'PEDIDO 36'!$B$2</f>
        <v>0</v>
      </c>
      <c r="B2876" s="12" t="s">
        <v>438</v>
      </c>
      <c r="C2876" s="1">
        <f>IFERROR(VLOOKUP(1137,'PEDIDO 36'!$C$2:$E$230,3,0),0)</f>
        <v>0</v>
      </c>
      <c r="D2876" s="1">
        <f>IFERROR(VLOOKUP(1138,'PEDIDO 36'!$C$2:$E$230,3,0),0)</f>
        <v>0</v>
      </c>
      <c r="E2876" s="1">
        <f>IFERROR(VLOOKUP(1139,'PEDIDO 36'!$C$2:$E$230,3,0),0)</f>
        <v>0</v>
      </c>
      <c r="F2876" s="1">
        <f>IFERROR(VLOOKUP(1140,'PEDIDO 36'!$C$2:$E$230,3,0),0)</f>
        <v>0</v>
      </c>
      <c r="G2876" s="18">
        <f t="shared" si="82"/>
        <v>0</v>
      </c>
    </row>
    <row r="2877" spans="1:7" ht="15.75" x14ac:dyDescent="0.25">
      <c r="A2877" s="15">
        <f>'PEDIDO 36'!$B$2</f>
        <v>0</v>
      </c>
      <c r="B2877" s="12" t="s">
        <v>439</v>
      </c>
      <c r="C2877" s="1">
        <f>IFERROR(VLOOKUP(1141,'PEDIDO 36'!$C$2:$E$230,3,0),0)</f>
        <v>0</v>
      </c>
      <c r="D2877" s="1">
        <f>IFERROR(VLOOKUP(1142,'PEDIDO 36'!$C$2:$E$230,3,0),0)</f>
        <v>0</v>
      </c>
      <c r="E2877" s="1">
        <f>IFERROR(VLOOKUP(1143,'PEDIDO 36'!$C$2:$E$230,3,0),0)</f>
        <v>0</v>
      </c>
      <c r="F2877" s="1">
        <f>IFERROR(VLOOKUP(1144,'PEDIDO 36'!$C$2:$E$230,3,0),0)</f>
        <v>0</v>
      </c>
      <c r="G2877" s="18">
        <f t="shared" si="82"/>
        <v>0</v>
      </c>
    </row>
    <row r="2878" spans="1:7" ht="15.75" x14ac:dyDescent="0.25">
      <c r="A2878" s="15">
        <f>'PEDIDO 36'!$B$2</f>
        <v>0</v>
      </c>
      <c r="B2878" s="12" t="s">
        <v>440</v>
      </c>
      <c r="C2878" s="1">
        <f>IFERROR(VLOOKUP(1145,'PEDIDO 36'!$C$2:$E$230,3,0),0)</f>
        <v>0</v>
      </c>
      <c r="D2878" s="1">
        <f>IFERROR(VLOOKUP(1146,'PEDIDO 36'!$C$2:$E$230,3,0),0)</f>
        <v>0</v>
      </c>
      <c r="E2878" s="1">
        <f>IFERROR(VLOOKUP(1147,'PEDIDO 36'!$C$2:$E$230,3,0),0)</f>
        <v>0</v>
      </c>
      <c r="F2878" s="1">
        <f>IFERROR(VLOOKUP(1148,'PEDIDO 36'!$C$2:$E$230,3,0),0)</f>
        <v>0</v>
      </c>
      <c r="G2878" s="18">
        <f t="shared" si="82"/>
        <v>0</v>
      </c>
    </row>
    <row r="2879" spans="1:7" ht="15.75" x14ac:dyDescent="0.25">
      <c r="A2879" s="15">
        <f>'PEDIDO 36'!$B$2</f>
        <v>0</v>
      </c>
      <c r="B2879" s="12" t="s">
        <v>441</v>
      </c>
      <c r="C2879" s="1">
        <f>IFERROR(VLOOKUP(1149,'PEDIDO 36'!$C$2:$E$230,3,0),0)</f>
        <v>0</v>
      </c>
      <c r="D2879" s="1">
        <f>IFERROR(VLOOKUP(1150,'PEDIDO 36'!$C$2:$E$230,3,0),0)</f>
        <v>0</v>
      </c>
      <c r="E2879" s="1">
        <f>IFERROR(VLOOKUP(1151,'PEDIDO 36'!$C$2:$E$230,3,0),0)</f>
        <v>0</v>
      </c>
      <c r="F2879" s="1">
        <f>IFERROR(VLOOKUP(1152,'PEDIDO 36'!$C$2:$E$230,3,0),0)</f>
        <v>0</v>
      </c>
      <c r="G2879" s="18">
        <f t="shared" si="82"/>
        <v>0</v>
      </c>
    </row>
    <row r="2880" spans="1:7" ht="15.75" x14ac:dyDescent="0.25">
      <c r="A2880" s="15">
        <f>'PEDIDO 36'!$B$2</f>
        <v>0</v>
      </c>
      <c r="B2880" s="12" t="s">
        <v>442</v>
      </c>
      <c r="C2880" s="1">
        <f>IFERROR(VLOOKUP(1153,'PEDIDO 36'!$C$2:$E$230,3,0),0)</f>
        <v>0</v>
      </c>
      <c r="D2880" s="1">
        <f>IFERROR(VLOOKUP(1154,'PEDIDO 36'!$C$2:$E$230,3,0),0)</f>
        <v>0</v>
      </c>
      <c r="E2880" s="1">
        <f>IFERROR(VLOOKUP(1155,'PEDIDO 36'!$C$2:$E$230,3,0),0)</f>
        <v>0</v>
      </c>
      <c r="F2880" s="1">
        <f>IFERROR(VLOOKUP(1156,'PEDIDO 36'!$C$2:$E$230,3,0),0)</f>
        <v>0</v>
      </c>
      <c r="G2880" s="18">
        <f t="shared" si="82"/>
        <v>0</v>
      </c>
    </row>
    <row r="2881" spans="1:7" ht="15.75" x14ac:dyDescent="0.25">
      <c r="A2881" s="15">
        <f>'PEDIDO 36'!$B$2</f>
        <v>0</v>
      </c>
      <c r="B2881" s="12" t="s">
        <v>443</v>
      </c>
      <c r="C2881" s="1">
        <f>IFERROR(VLOOKUP(1157,'PEDIDO 36'!$C$2:$E$230,3,0),0)</f>
        <v>0</v>
      </c>
      <c r="D2881" s="1">
        <f>IFERROR(VLOOKUP(1158,'PEDIDO 36'!$C$2:$E$230,3,0),0)</f>
        <v>0</v>
      </c>
      <c r="E2881" s="1">
        <f>IFERROR(VLOOKUP(1159,'PEDIDO 36'!$C$2:$E$230,3,0),0)</f>
        <v>0</v>
      </c>
      <c r="F2881" s="1">
        <f>IFERROR(VLOOKUP(1160,'PEDIDO 36'!$C$2:$E$230,3,0),0)</f>
        <v>0</v>
      </c>
      <c r="G2881" s="18">
        <f t="shared" si="82"/>
        <v>0</v>
      </c>
    </row>
    <row r="2882" spans="1:7" ht="15.75" x14ac:dyDescent="0.25">
      <c r="A2882" s="15">
        <f>'PEDIDO 36'!$B$2</f>
        <v>0</v>
      </c>
      <c r="B2882" s="12" t="s">
        <v>444</v>
      </c>
      <c r="C2882" s="1">
        <f>IFERROR(VLOOKUP(1161,'PEDIDO 36'!$C$2:$E$230,3,0),0)</f>
        <v>0</v>
      </c>
      <c r="D2882" s="1">
        <f>IFERROR(VLOOKUP(1162,'PEDIDO 36'!$C$2:$E$230,3,0),0)</f>
        <v>0</v>
      </c>
      <c r="E2882" s="1">
        <f>IFERROR(VLOOKUP(1163,'PEDIDO 36'!$C$2:$E$230,3,0),0)</f>
        <v>0</v>
      </c>
      <c r="F2882" s="1">
        <f>IFERROR(VLOOKUP(1164,'PEDIDO 36'!$C$2:$E$230,3,0),0)</f>
        <v>0</v>
      </c>
      <c r="G2882" s="18">
        <f t="shared" si="82"/>
        <v>0</v>
      </c>
    </row>
    <row r="2883" spans="1:7" ht="15.75" x14ac:dyDescent="0.25">
      <c r="A2883" s="15">
        <f>'PEDIDO 36'!$B$2</f>
        <v>0</v>
      </c>
      <c r="B2883" s="12" t="s">
        <v>445</v>
      </c>
      <c r="C2883" s="1">
        <f>IFERROR(VLOOKUP(1165,'PEDIDO 36'!$C$2:$E$230,3,0),0)</f>
        <v>0</v>
      </c>
      <c r="D2883" s="1">
        <f>IFERROR(VLOOKUP(1166,'PEDIDO 36'!$C$2:$E$230,3,0),0)</f>
        <v>0</v>
      </c>
      <c r="E2883" s="1">
        <f>IFERROR(VLOOKUP(1167,'PEDIDO 36'!$C$2:$E$230,3,0),0)</f>
        <v>0</v>
      </c>
      <c r="F2883" s="1">
        <f>IFERROR(VLOOKUP(1168,'PEDIDO 36'!$C$2:$E$230,3,0),0)</f>
        <v>0</v>
      </c>
      <c r="G2883" s="18">
        <f t="shared" si="82"/>
        <v>0</v>
      </c>
    </row>
    <row r="2884" spans="1:7" ht="15.75" x14ac:dyDescent="0.25">
      <c r="A2884" s="15">
        <f>'PEDIDO 36'!$B$2</f>
        <v>0</v>
      </c>
      <c r="B2884" s="12" t="s">
        <v>446</v>
      </c>
      <c r="C2884" s="1">
        <f>IFERROR(VLOOKUP(1169,'PEDIDO 36'!$C$2:$E$230,3,0),0)</f>
        <v>0</v>
      </c>
      <c r="D2884" s="1">
        <f>IFERROR(VLOOKUP(1170,'PEDIDO 36'!$C$2:$E$230,3,0),0)</f>
        <v>0</v>
      </c>
      <c r="E2884" s="1">
        <f>IFERROR(VLOOKUP(1171,'PEDIDO 36'!$C$2:$E$230,3,0),0)</f>
        <v>0</v>
      </c>
      <c r="F2884" s="1">
        <f>IFERROR(VLOOKUP(1172,'PEDIDO 36'!$C$2:$E$230,3,0),0)</f>
        <v>0</v>
      </c>
      <c r="G2884" s="18">
        <f t="shared" si="82"/>
        <v>0</v>
      </c>
    </row>
    <row r="2885" spans="1:7" ht="15.75" x14ac:dyDescent="0.25">
      <c r="A2885" s="15">
        <f>'PEDIDO 36'!$B$2</f>
        <v>0</v>
      </c>
      <c r="B2885" s="12" t="s">
        <v>447</v>
      </c>
      <c r="C2885" s="1">
        <f>IFERROR(VLOOKUP(1173,'PEDIDO 36'!$C$2:$E$230,3,0),0)</f>
        <v>0</v>
      </c>
      <c r="D2885" s="1">
        <f>IFERROR(VLOOKUP(1174,'PEDIDO 36'!$C$2:$E$230,3,0),0)</f>
        <v>0</v>
      </c>
      <c r="E2885" s="1">
        <f>IFERROR(VLOOKUP(1175,'PEDIDO 36'!$C$2:$E$230,3,0),0)</f>
        <v>0</v>
      </c>
      <c r="F2885" s="1">
        <f>IFERROR(VLOOKUP(1176,'PEDIDO 36'!$C$2:$E$230,3,0),0)</f>
        <v>0</v>
      </c>
      <c r="G2885" s="18">
        <f t="shared" si="82"/>
        <v>0</v>
      </c>
    </row>
    <row r="2886" spans="1:7" ht="15.75" x14ac:dyDescent="0.25">
      <c r="A2886" s="15">
        <f>'PEDIDO 36'!$B$2</f>
        <v>0</v>
      </c>
      <c r="B2886" s="12" t="s">
        <v>448</v>
      </c>
      <c r="C2886" s="1">
        <f>IFERROR(VLOOKUP(1249,'PEDIDO 36'!$C$2:$E$230,3,0),0)</f>
        <v>0</v>
      </c>
      <c r="D2886" s="1">
        <f>IFERROR(VLOOKUP(1250,'PEDIDO 36'!$C$2:$E$230,3,0),0)</f>
        <v>0</v>
      </c>
      <c r="E2886" s="1">
        <f>IFERROR(VLOOKUP(1251,'PEDIDO 36'!$C$2:$E$230,3,0),0)</f>
        <v>0</v>
      </c>
      <c r="F2886" s="1">
        <f>IFERROR(VLOOKUP(1252,'PEDIDO 36'!$C$2:$E$230,3,0),0)</f>
        <v>0</v>
      </c>
      <c r="G2886" s="18">
        <f t="shared" si="82"/>
        <v>0</v>
      </c>
    </row>
    <row r="2887" spans="1:7" ht="15.75" x14ac:dyDescent="0.25">
      <c r="A2887" s="15">
        <f>'PEDIDO 36'!$B$2</f>
        <v>0</v>
      </c>
      <c r="B2887" s="12" t="s">
        <v>449</v>
      </c>
      <c r="C2887" s="1">
        <f>IFERROR(VLOOKUP(1177,'PEDIDO 36'!$C$2:$E$230,3,0),0)</f>
        <v>0</v>
      </c>
      <c r="D2887" s="1">
        <f>IFERROR(VLOOKUP(1178,'PEDIDO 36'!$C$2:$E$230,3,0),0)</f>
        <v>0</v>
      </c>
      <c r="E2887" s="1">
        <f>IFERROR(VLOOKUP(1179,'PEDIDO 36'!$C$2:$E$230,3,0),0)</f>
        <v>0</v>
      </c>
      <c r="F2887" s="1">
        <f>IFERROR(VLOOKUP(1180,'PEDIDO 36'!$C$2:$E$230,3,0),0)</f>
        <v>0</v>
      </c>
      <c r="G2887" s="18">
        <f t="shared" si="82"/>
        <v>0</v>
      </c>
    </row>
    <row r="2888" spans="1:7" ht="15.75" x14ac:dyDescent="0.25">
      <c r="A2888" s="15">
        <f>'PEDIDO 36'!$B$2</f>
        <v>0</v>
      </c>
      <c r="B2888" s="12" t="s">
        <v>450</v>
      </c>
      <c r="C2888" s="1">
        <f>IFERROR(VLOOKUP(1181,'PEDIDO 36'!$C$2:$E$230,3,0),0)</f>
        <v>0</v>
      </c>
      <c r="D2888" s="1">
        <f>IFERROR(VLOOKUP(1182,'PEDIDO 36'!$C$2:$E$230,3,0),0)</f>
        <v>0</v>
      </c>
      <c r="E2888" s="1">
        <f>IFERROR(VLOOKUP(1183,'PEDIDO 36'!$C$2:$E$230,3,0),0)</f>
        <v>0</v>
      </c>
      <c r="F2888" s="1">
        <f>IFERROR(VLOOKUP(1184,'PEDIDO 36'!$C$2:$E$230,3,0),0)</f>
        <v>0</v>
      </c>
      <c r="G2888" s="18">
        <f t="shared" si="82"/>
        <v>0</v>
      </c>
    </row>
    <row r="2889" spans="1:7" ht="15.75" x14ac:dyDescent="0.25">
      <c r="A2889" s="15">
        <f>'PEDIDO 36'!$B$2</f>
        <v>0</v>
      </c>
      <c r="B2889" s="12" t="s">
        <v>451</v>
      </c>
      <c r="C2889" s="1">
        <f>IFERROR(VLOOKUP(1185,'PEDIDO 36'!$C$2:$E$230,3,0),0)</f>
        <v>0</v>
      </c>
      <c r="D2889" s="1">
        <f>IFERROR(VLOOKUP(1186,'PEDIDO 36'!$C$2:$E$230,3,0),0)</f>
        <v>0</v>
      </c>
      <c r="E2889" s="1">
        <f>IFERROR(VLOOKUP(1187,'PEDIDO 36'!$C$2:$E$230,3,0),0)</f>
        <v>0</v>
      </c>
      <c r="F2889" s="1">
        <f>IFERROR(VLOOKUP(1188,'PEDIDO 36'!$C$2:$E$230,3,0),0)</f>
        <v>0</v>
      </c>
      <c r="G2889" s="18">
        <f t="shared" si="82"/>
        <v>0</v>
      </c>
    </row>
    <row r="2890" spans="1:7" ht="15.75" x14ac:dyDescent="0.25">
      <c r="A2890" s="15">
        <f>'PEDIDO 36'!$B$2</f>
        <v>0</v>
      </c>
      <c r="B2890" s="12" t="s">
        <v>452</v>
      </c>
      <c r="C2890" s="1">
        <f>IFERROR(VLOOKUP(1189,'PEDIDO 36'!$C$2:$E$230,3,0),0)</f>
        <v>0</v>
      </c>
      <c r="D2890" s="1">
        <f>IFERROR(VLOOKUP(1190,'PEDIDO 36'!$C$2:$E$230,3,0),0)</f>
        <v>0</v>
      </c>
      <c r="E2890" s="1">
        <f>IFERROR(VLOOKUP(1191,'PEDIDO 36'!$C$2:$E$230,3,0),0)</f>
        <v>0</v>
      </c>
      <c r="F2890" s="1">
        <f>IFERROR(VLOOKUP(1192,'PEDIDO 36'!$C$2:$E$230,3,0),0)</f>
        <v>0</v>
      </c>
      <c r="G2890" s="18">
        <f t="shared" si="82"/>
        <v>0</v>
      </c>
    </row>
    <row r="2891" spans="1:7" ht="15.75" x14ac:dyDescent="0.25">
      <c r="A2891" s="15">
        <f>'PEDIDO 36'!$B$2</f>
        <v>0</v>
      </c>
      <c r="B2891" s="12" t="s">
        <v>453</v>
      </c>
      <c r="C2891" s="1">
        <f>IFERROR(VLOOKUP(1193,'PEDIDO 36'!$C$2:$E$230,3,0),0)</f>
        <v>0</v>
      </c>
      <c r="D2891" s="1">
        <f>IFERROR(VLOOKUP(1194,'PEDIDO 36'!$C$2:$E$230,3,0),0)</f>
        <v>0</v>
      </c>
      <c r="E2891" s="1">
        <f>IFERROR(VLOOKUP(1195,'PEDIDO 36'!$C$2:$E$230,3,0),0)</f>
        <v>0</v>
      </c>
      <c r="F2891" s="1">
        <f>IFERROR(VLOOKUP(1196,'PEDIDO 36'!$C$2:$E$230,3,0),0)</f>
        <v>0</v>
      </c>
      <c r="G2891" s="18">
        <f t="shared" si="82"/>
        <v>0</v>
      </c>
    </row>
    <row r="2892" spans="1:7" ht="15.75" x14ac:dyDescent="0.25">
      <c r="A2892" s="15">
        <f>'PEDIDO 36'!$B$2</f>
        <v>0</v>
      </c>
      <c r="B2892" s="12" t="s">
        <v>454</v>
      </c>
      <c r="C2892" s="1">
        <f>IFERROR(VLOOKUP(1197,'PEDIDO 36'!$C$2:$E$230,3,0),0)</f>
        <v>0</v>
      </c>
      <c r="D2892" s="1">
        <f>IFERROR(VLOOKUP(1198,'PEDIDO 36'!$C$2:$E$230,3,0),0)</f>
        <v>0</v>
      </c>
      <c r="E2892" s="1">
        <f>IFERROR(VLOOKUP(1199,'PEDIDO 36'!$C$2:$E$230,3,0),0)</f>
        <v>0</v>
      </c>
      <c r="F2892" s="1">
        <f>IFERROR(VLOOKUP(1200,'PEDIDO 36'!$C$2:$E$230,3,0),0)</f>
        <v>0</v>
      </c>
      <c r="G2892" s="18">
        <f t="shared" si="82"/>
        <v>0</v>
      </c>
    </row>
    <row r="2893" spans="1:7" ht="15.75" x14ac:dyDescent="0.25">
      <c r="A2893" s="15">
        <f>'PEDIDO 36'!$B$2</f>
        <v>0</v>
      </c>
      <c r="B2893" s="12" t="s">
        <v>455</v>
      </c>
      <c r="C2893" s="1">
        <f>IFERROR(VLOOKUP(1201,'PEDIDO 36'!$C$2:$E$230,3,0),0)</f>
        <v>0</v>
      </c>
      <c r="D2893" s="1">
        <f>IFERROR(VLOOKUP(1202,'PEDIDO 36'!$C$2:$E$230,3,0),0)</f>
        <v>0</v>
      </c>
      <c r="E2893" s="1">
        <f>IFERROR(VLOOKUP(1203,'PEDIDO 36'!$C$2:$E$230,3,0),0)</f>
        <v>0</v>
      </c>
      <c r="F2893" s="1">
        <f>IFERROR(VLOOKUP(1204,'PEDIDO 36'!$C$2:$E$230,3,0),0)</f>
        <v>0</v>
      </c>
      <c r="G2893" s="18">
        <f t="shared" si="82"/>
        <v>0</v>
      </c>
    </row>
    <row r="2894" spans="1:7" ht="15.75" x14ac:dyDescent="0.25">
      <c r="A2894" s="15">
        <f>'PEDIDO 36'!$B$2</f>
        <v>0</v>
      </c>
      <c r="B2894" s="12" t="s">
        <v>456</v>
      </c>
      <c r="C2894" s="1">
        <f>IFERROR(VLOOKUP(1205,'PEDIDO 36'!$C$2:$E$230,3,0),0)</f>
        <v>0</v>
      </c>
      <c r="D2894" s="1">
        <f>IFERROR(VLOOKUP(1206,'PEDIDO 36'!$C$2:$E$230,3,0),0)</f>
        <v>0</v>
      </c>
      <c r="E2894" s="1">
        <f>IFERROR(VLOOKUP(1207,'PEDIDO 36'!$C$2:$E$230,3,0),0)</f>
        <v>0</v>
      </c>
      <c r="F2894" s="1">
        <f>IFERROR(VLOOKUP(1208,'PEDIDO 36'!$C$2:$E$230,3,0),0)</f>
        <v>0</v>
      </c>
      <c r="G2894" s="18">
        <f t="shared" si="82"/>
        <v>0</v>
      </c>
    </row>
    <row r="2895" spans="1:7" ht="15.75" x14ac:dyDescent="0.25">
      <c r="A2895" s="15">
        <f>'PEDIDO 36'!$B$2</f>
        <v>0</v>
      </c>
      <c r="B2895" s="12" t="s">
        <v>457</v>
      </c>
      <c r="C2895" s="1">
        <f>IFERROR(VLOOKUP(1213,'PEDIDO 36'!$C$2:$E$230,3,0),0)</f>
        <v>0</v>
      </c>
      <c r="D2895" s="1">
        <f>IFERROR(VLOOKUP(1214,'PEDIDO 36'!$C$2:$E$230,3,0),0)</f>
        <v>0</v>
      </c>
      <c r="E2895" s="1">
        <f>IFERROR(VLOOKUP(1215,'PEDIDO 36'!$C$2:$E$230,3,0),0)</f>
        <v>0</v>
      </c>
      <c r="F2895" s="10">
        <f>IFERROR(VLOOKUP(1216,'PEDIDO 36'!$C$2:$E$230,3,0),0)</f>
        <v>0</v>
      </c>
      <c r="G2895" s="18">
        <f t="shared" si="82"/>
        <v>0</v>
      </c>
    </row>
    <row r="2896" spans="1:7" ht="15.75" x14ac:dyDescent="0.25">
      <c r="A2896" s="15">
        <f>'PEDIDO 36'!$B$2</f>
        <v>0</v>
      </c>
      <c r="B2896" s="12" t="s">
        <v>458</v>
      </c>
      <c r="C2896" s="1">
        <f>IFERROR(VLOOKUP(1209,'PEDIDO 36'!$C$2:$E$230,3,0),0)</f>
        <v>0</v>
      </c>
      <c r="D2896" s="1">
        <f>IFERROR(VLOOKUP(1210,'PEDIDO 36'!$C$2:$E$230,3,0),0)</f>
        <v>0</v>
      </c>
      <c r="E2896" s="1">
        <f>IFERROR(VLOOKUP(1211,'PEDIDO 36'!$C$2:$E$230,3,0),0)</f>
        <v>0</v>
      </c>
      <c r="F2896" s="1">
        <f>IFERROR(VLOOKUP(1212,'PEDIDO 36'!$C$2:$E$230,3,0),0)</f>
        <v>0</v>
      </c>
      <c r="G2896" s="18">
        <f t="shared" si="82"/>
        <v>0</v>
      </c>
    </row>
    <row r="2897" spans="1:7" ht="15.75" x14ac:dyDescent="0.25">
      <c r="A2897" s="15">
        <f>'PEDIDO 36'!$B$2</f>
        <v>0</v>
      </c>
      <c r="B2897" s="12" t="s">
        <v>459</v>
      </c>
      <c r="C2897" s="1">
        <f>IFERROR(VLOOKUP(1217,'PEDIDO 36'!$C$2:$E$230,3,0),0)</f>
        <v>0</v>
      </c>
      <c r="D2897" s="1">
        <f>IFERROR(VLOOKUP(1218,'PEDIDO 36'!$C$2:$E$230,3,0),0)</f>
        <v>0</v>
      </c>
      <c r="E2897" s="1">
        <f>IFERROR(VLOOKUP(1219,'PEDIDO 36'!$C$2:$E$230,3,0),0)</f>
        <v>0</v>
      </c>
      <c r="F2897" s="1">
        <f>IFERROR(VLOOKUP(1220,'PEDIDO 36'!$C$2:$E$230,3,0),0)</f>
        <v>0</v>
      </c>
      <c r="G2897" s="18">
        <f t="shared" si="82"/>
        <v>0</v>
      </c>
    </row>
    <row r="2898" spans="1:7" ht="15.75" x14ac:dyDescent="0.25">
      <c r="A2898" s="15">
        <f>'PEDIDO 36'!$B$2</f>
        <v>0</v>
      </c>
      <c r="B2898" s="12" t="s">
        <v>461</v>
      </c>
      <c r="C2898" s="1">
        <f>IFERROR(VLOOKUP(1225,'PEDIDO 36'!$C$2:$E$230,3,0),0)</f>
        <v>0</v>
      </c>
      <c r="D2898" s="1">
        <f>IFERROR(VLOOKUP(1226,'PEDIDO 36'!$C$2:$E$230,3,0),0)</f>
        <v>0</v>
      </c>
      <c r="E2898" s="1">
        <f>IFERROR(VLOOKUP(1227,'PEDIDO 36'!$C$2:$E$230,3,0),0)</f>
        <v>0</v>
      </c>
      <c r="F2898" s="1">
        <f>IFERROR(VLOOKUP(1228,'PEDIDO 36'!$C$2:$E$230,3,0),0)</f>
        <v>0</v>
      </c>
      <c r="G2898" s="18">
        <f t="shared" si="82"/>
        <v>0</v>
      </c>
    </row>
    <row r="2899" spans="1:7" ht="15.75" x14ac:dyDescent="0.25">
      <c r="A2899" s="15">
        <f>'PEDIDO 36'!$B$2</f>
        <v>0</v>
      </c>
      <c r="B2899" s="12" t="s">
        <v>462</v>
      </c>
      <c r="C2899" s="1">
        <f>IFERROR(VLOOKUP(1221,'PEDIDO 36'!$C$2:$E$230,3,0),0)</f>
        <v>0</v>
      </c>
      <c r="D2899" s="1">
        <f>IFERROR(VLOOKUP(1222,'PEDIDO 36'!$C$2:$E$230,3,0),0)</f>
        <v>0</v>
      </c>
      <c r="E2899" s="1">
        <f>IFERROR(VLOOKUP(1223,'PEDIDO 36'!$C$2:$E$230,3,0),0)</f>
        <v>0</v>
      </c>
      <c r="F2899" s="1">
        <f>IFERROR(VLOOKUP(1224,'PEDIDO 36'!$C$2:$E$230,3,0),0)</f>
        <v>0</v>
      </c>
      <c r="G2899" s="18">
        <f t="shared" si="82"/>
        <v>0</v>
      </c>
    </row>
    <row r="2900" spans="1:7" ht="15.75" x14ac:dyDescent="0.25">
      <c r="A2900" s="15">
        <f>'PEDIDO 36'!$B$2</f>
        <v>0</v>
      </c>
      <c r="B2900" s="12" t="s">
        <v>460</v>
      </c>
      <c r="C2900" s="1">
        <f>IFERROR(VLOOKUP(1229,'PEDIDO 36'!$C$2:$E$230,3,0),0)</f>
        <v>0</v>
      </c>
      <c r="D2900" s="1">
        <f>IFERROR(VLOOKUP(1230,'PEDIDO 36'!$C$2:$E$230,3,0),0)</f>
        <v>0</v>
      </c>
      <c r="E2900" s="1">
        <f>IFERROR(VLOOKUP(1231,'PEDIDO 36'!$C$2:$E$230,3,0),0)</f>
        <v>0</v>
      </c>
      <c r="F2900" s="1">
        <f>IFERROR(VLOOKUP(1232,'PEDIDO 36'!$C$2:$E$230,3,0),0)</f>
        <v>0</v>
      </c>
      <c r="G2900" s="18">
        <f t="shared" si="82"/>
        <v>0</v>
      </c>
    </row>
    <row r="2901" spans="1:7" ht="15.75" x14ac:dyDescent="0.25">
      <c r="A2901" s="15">
        <f>'PEDIDO 36'!$B$2</f>
        <v>0</v>
      </c>
      <c r="B2901" s="12" t="s">
        <v>463</v>
      </c>
      <c r="C2901" s="1">
        <f>IFERROR(VLOOKUP(1233,'PEDIDO 36'!$C$2:$E$230,3,0),0)</f>
        <v>0</v>
      </c>
      <c r="D2901" s="1">
        <f>IFERROR(VLOOKUP(1234,'PEDIDO 36'!$C$2:$E$230,3,0),0)</f>
        <v>0</v>
      </c>
      <c r="E2901" s="1">
        <f>IFERROR(VLOOKUP(1235,'PEDIDO 36'!$C$2:$E$230,3,0),0)</f>
        <v>0</v>
      </c>
      <c r="F2901" s="1">
        <f>IFERROR(VLOOKUP(1236,'PEDIDO 36'!$C$2:$E$230,3,0),0)</f>
        <v>0</v>
      </c>
      <c r="G2901" s="18">
        <f t="shared" si="82"/>
        <v>0</v>
      </c>
    </row>
    <row r="2902" spans="1:7" ht="15.75" x14ac:dyDescent="0.25">
      <c r="A2902" s="15">
        <f>'PEDIDO 36'!$B$2</f>
        <v>0</v>
      </c>
      <c r="B2902" s="12" t="s">
        <v>464</v>
      </c>
      <c r="C2902" s="1">
        <f>IFERROR(VLOOKUP(1237,'PEDIDO 36'!$C$2:$E$230,3,0),0)</f>
        <v>0</v>
      </c>
      <c r="D2902" s="1">
        <f>IFERROR(VLOOKUP(1238,'PEDIDO 36'!$C$2:$E$230,3,0),0)</f>
        <v>0</v>
      </c>
      <c r="E2902" s="1">
        <f>IFERROR(VLOOKUP(1239,'PEDIDO 36'!$C$2:$E$230,3,0),0)</f>
        <v>0</v>
      </c>
      <c r="F2902" s="1">
        <f>IFERROR(VLOOKUP(1240,'PEDIDO 36'!$C$2:$E$230,3,0),0)</f>
        <v>0</v>
      </c>
      <c r="G2902" s="18">
        <f t="shared" ref="G2902:G2914" si="83">SUM(C2902+D2902+E2902+F2902)</f>
        <v>0</v>
      </c>
    </row>
    <row r="2903" spans="1:7" ht="15.75" x14ac:dyDescent="0.25">
      <c r="A2903" s="15">
        <f>'PEDIDO 36'!$B$2</f>
        <v>0</v>
      </c>
      <c r="B2903" s="12" t="s">
        <v>465</v>
      </c>
      <c r="C2903" s="1">
        <f>IFERROR(VLOOKUP(1241,'PEDIDO 36'!$C$2:$E$230,3,0),0)</f>
        <v>0</v>
      </c>
      <c r="D2903" s="1">
        <f>IFERROR(VLOOKUP(1242,'PEDIDO 36'!$C$2:$E$230,3,0),0)</f>
        <v>0</v>
      </c>
      <c r="E2903" s="1">
        <f>IFERROR(VLOOKUP(1243,'PEDIDO 36'!$C$2:$E$230,3,0),0)</f>
        <v>0</v>
      </c>
      <c r="F2903" s="1">
        <f>IFERROR(VLOOKUP(1244,'PEDIDO 36'!$C$2:$E$230,3,0),0)</f>
        <v>0</v>
      </c>
      <c r="G2903" s="18">
        <f t="shared" si="83"/>
        <v>0</v>
      </c>
    </row>
    <row r="2904" spans="1:7" ht="15.75" x14ac:dyDescent="0.25">
      <c r="A2904" s="15">
        <f>'PEDIDO 36'!$B$2</f>
        <v>0</v>
      </c>
      <c r="B2904" s="12" t="s">
        <v>466</v>
      </c>
      <c r="C2904" s="1">
        <f>IFERROR(VLOOKUP(1245,'PEDIDO 36'!$C$2:$E$230,3,0),0)</f>
        <v>0</v>
      </c>
      <c r="D2904" s="1">
        <f>IFERROR(VLOOKUP(1246,'PEDIDO 36'!$C$2:$E$230,3,0),0)</f>
        <v>0</v>
      </c>
      <c r="E2904" s="1">
        <f>IFERROR(VLOOKUP(1247,'PEDIDO 36'!$C$2:$E$230,3,0),0)</f>
        <v>0</v>
      </c>
      <c r="F2904" s="1">
        <f>IFERROR(VLOOKUP(1248,'PEDIDO 36'!$C$2:$E$230,3,0),0)</f>
        <v>0</v>
      </c>
      <c r="G2904" s="18">
        <f t="shared" si="83"/>
        <v>0</v>
      </c>
    </row>
    <row r="2905" spans="1:7" ht="15.75" x14ac:dyDescent="0.25">
      <c r="A2905" s="15">
        <f>'PEDIDO 36'!$B$2</f>
        <v>0</v>
      </c>
      <c r="B2905" s="12" t="s">
        <v>467</v>
      </c>
      <c r="C2905" s="1">
        <f>IFERROR(VLOOKUP(25714,'PEDIDO 36'!$C$2:$E$230,3,0),0)</f>
        <v>0</v>
      </c>
      <c r="D2905" s="1"/>
      <c r="E2905" s="1"/>
      <c r="F2905" s="1"/>
      <c r="G2905" s="18">
        <f t="shared" si="83"/>
        <v>0</v>
      </c>
    </row>
    <row r="2906" spans="1:7" ht="15.75" x14ac:dyDescent="0.25">
      <c r="A2906" s="15">
        <f>'PEDIDO 36'!$B$2</f>
        <v>0</v>
      </c>
      <c r="B2906" s="12" t="s">
        <v>468</v>
      </c>
      <c r="C2906" s="1">
        <f>IFERROR(VLOOKUP(25712,'PEDIDO 36'!$C$2:$E$230,3,0),0)</f>
        <v>0</v>
      </c>
      <c r="D2906" s="1"/>
      <c r="E2906" s="1"/>
      <c r="F2906" s="1"/>
      <c r="G2906" s="18">
        <f t="shared" si="83"/>
        <v>0</v>
      </c>
    </row>
    <row r="2907" spans="1:7" ht="15.75" x14ac:dyDescent="0.25">
      <c r="A2907" s="15">
        <f>'PEDIDO 36'!$B$2</f>
        <v>0</v>
      </c>
      <c r="B2907" s="12" t="s">
        <v>469</v>
      </c>
      <c r="C2907" s="1">
        <f>IFERROR(VLOOKUP(25713,'PEDIDO 36'!$C$2:$E$230,3,0),0)</f>
        <v>0</v>
      </c>
      <c r="D2907" s="1"/>
      <c r="E2907" s="1"/>
      <c r="F2907" s="1"/>
      <c r="G2907" s="18">
        <f t="shared" si="83"/>
        <v>0</v>
      </c>
    </row>
    <row r="2908" spans="1:7" ht="15.75" x14ac:dyDescent="0.25">
      <c r="A2908" s="15">
        <f>'PEDIDO 36'!$B$2</f>
        <v>0</v>
      </c>
      <c r="B2908" s="12" t="s">
        <v>470</v>
      </c>
      <c r="C2908" s="1">
        <f>IFERROR(VLOOKUP(1260,'PEDIDO 36'!$C$2:$E$230,3,0),0)</f>
        <v>0</v>
      </c>
      <c r="D2908" s="1"/>
      <c r="E2908" s="1"/>
      <c r="F2908" s="1"/>
      <c r="G2908" s="18">
        <f t="shared" si="83"/>
        <v>0</v>
      </c>
    </row>
    <row r="2909" spans="1:7" ht="15.75" x14ac:dyDescent="0.25">
      <c r="A2909" s="15">
        <f>'PEDIDO 36'!$B$2</f>
        <v>0</v>
      </c>
      <c r="B2909" s="12" t="s">
        <v>471</v>
      </c>
      <c r="C2909" s="1">
        <f>IFERROR(VLOOKUP(1261,'PEDIDO 36'!$C$2:$E$230,3,0),0)</f>
        <v>0</v>
      </c>
      <c r="D2909" s="1"/>
      <c r="E2909" s="1"/>
      <c r="F2909" s="1"/>
      <c r="G2909" s="18">
        <f t="shared" si="83"/>
        <v>0</v>
      </c>
    </row>
    <row r="2910" spans="1:7" ht="15.75" x14ac:dyDescent="0.25">
      <c r="A2910" s="15">
        <f>'PEDIDO 36'!$B$2</f>
        <v>0</v>
      </c>
      <c r="B2910" s="12" t="s">
        <v>472</v>
      </c>
      <c r="C2910" s="1">
        <f>IFERROR(VLOOKUP(1262,'PEDIDO 36'!$C$2:$E$230,3,0),0)</f>
        <v>0</v>
      </c>
      <c r="D2910" s="1"/>
      <c r="E2910" s="1"/>
      <c r="F2910" s="1"/>
      <c r="G2910" s="18">
        <f t="shared" si="83"/>
        <v>0</v>
      </c>
    </row>
    <row r="2911" spans="1:7" ht="15.75" x14ac:dyDescent="0.25">
      <c r="A2911" s="15">
        <f>'PEDIDO 36'!$B$2</f>
        <v>0</v>
      </c>
      <c r="B2911" s="12" t="s">
        <v>473</v>
      </c>
      <c r="C2911" s="1">
        <f>IFERROR(VLOOKUP(1263,'PEDIDO 36'!$C$2:$E$230,3,0),0)</f>
        <v>0</v>
      </c>
      <c r="D2911" s="1"/>
      <c r="E2911" s="1"/>
      <c r="F2911" s="1"/>
      <c r="G2911" s="18">
        <f t="shared" si="83"/>
        <v>0</v>
      </c>
    </row>
    <row r="2912" spans="1:7" ht="15.75" x14ac:dyDescent="0.25">
      <c r="A2912" s="15">
        <f>'PEDIDO 36'!$B$2</f>
        <v>0</v>
      </c>
      <c r="B2912" s="12" t="s">
        <v>474</v>
      </c>
      <c r="C2912" s="1">
        <f>IFERROR(VLOOKUP(1264,'PEDIDO 36'!$C$2:$E$230,3,0),0)</f>
        <v>0</v>
      </c>
      <c r="D2912" s="1"/>
      <c r="E2912" s="1"/>
      <c r="F2912" s="1"/>
      <c r="G2912" s="18">
        <f t="shared" si="83"/>
        <v>0</v>
      </c>
    </row>
    <row r="2913" spans="1:7" ht="15.75" x14ac:dyDescent="0.25">
      <c r="A2913" s="15">
        <f>'PEDIDO 36'!$B$2</f>
        <v>0</v>
      </c>
      <c r="B2913" s="12" t="s">
        <v>475</v>
      </c>
      <c r="C2913" s="1">
        <f>IFERROR(VLOOKUP(1265,'PEDIDO 36'!$C$2:$E$230,3,0),0)</f>
        <v>0</v>
      </c>
      <c r="D2913" s="1"/>
      <c r="E2913" s="1"/>
      <c r="F2913" s="1"/>
      <c r="G2913" s="18">
        <f t="shared" si="83"/>
        <v>0</v>
      </c>
    </row>
    <row r="2914" spans="1:7" ht="15.75" x14ac:dyDescent="0.25">
      <c r="A2914" s="15">
        <f>'PEDIDO 36'!$B$2</f>
        <v>0</v>
      </c>
      <c r="B2914" s="12" t="s">
        <v>476</v>
      </c>
      <c r="C2914" s="1">
        <f>IFERROR(VLOOKUP(1266,'PEDIDO 36'!$C$2:$E$230,3,0),0)</f>
        <v>0</v>
      </c>
      <c r="D2914" s="1"/>
      <c r="E2914" s="1"/>
      <c r="F2914" s="1"/>
      <c r="G2914" s="18">
        <f t="shared" si="83"/>
        <v>0</v>
      </c>
    </row>
    <row r="2915" spans="1:7" ht="15.75" x14ac:dyDescent="0.25">
      <c r="A2915" s="15">
        <f>'PEDIDO 36'!$B$2</f>
        <v>0</v>
      </c>
      <c r="B2915" s="12" t="s">
        <v>477</v>
      </c>
      <c r="C2915" s="1">
        <f>IFERROR(VLOOKUP(1268,'PEDIDO 36'!$C$2:$E$230,3,0),0)</f>
        <v>0</v>
      </c>
      <c r="D2915" s="1">
        <f>IFERROR(VLOOKUP(1269,'PEDIDO 36'!$C$2:$E$230,3,0),0)</f>
        <v>0</v>
      </c>
      <c r="E2915" s="1">
        <f>IFERROR(VLOOKUP(1270,'PEDIDO 36'!$C$2:$E$230,3,0),0)</f>
        <v>0</v>
      </c>
      <c r="F2915" s="1">
        <f>IFERROR(VLOOKUP(1271,'PEDIDO 36'!$C$2:$E$230,3,0),0)</f>
        <v>0</v>
      </c>
      <c r="G2915" s="18">
        <f t="shared" ref="G2915" si="84">SUM(C2915+D2915+E2915+F2915)</f>
        <v>0</v>
      </c>
    </row>
    <row r="2918" spans="1:7" ht="15.75" x14ac:dyDescent="0.25">
      <c r="A2918" s="15">
        <f>'PEDIDO 37'!$B$2</f>
        <v>0</v>
      </c>
      <c r="B2918" s="12" t="s">
        <v>399</v>
      </c>
      <c r="C2918" s="1">
        <f>IFERROR(VLOOKUP(1,'PEDIDO 37'!$C$2:$E$230,3,0),0)</f>
        <v>0</v>
      </c>
      <c r="D2918" s="1">
        <f>IFERROR(VLOOKUP(2,'PEDIDO 37'!$C$2:$E$230,3,0),0)</f>
        <v>0</v>
      </c>
      <c r="E2918" s="1">
        <f>IFERROR(VLOOKUP(3,'PEDIDO 37'!$C$2:$E$230,3,0),0)</f>
        <v>0</v>
      </c>
      <c r="F2918" s="1">
        <f>IFERROR(VLOOKUP(282,'PEDIDO 37'!$C$2:$E$230,3,0),0)</f>
        <v>0</v>
      </c>
      <c r="G2918" s="18">
        <f>SUM(C2918+D2918+E2918+F2918)</f>
        <v>0</v>
      </c>
    </row>
    <row r="2919" spans="1:7" ht="15.75" x14ac:dyDescent="0.25">
      <c r="A2919" s="15">
        <f>'PEDIDO 37'!$B$2</f>
        <v>0</v>
      </c>
      <c r="B2919" s="12" t="s">
        <v>400</v>
      </c>
      <c r="C2919" s="1">
        <f>IFERROR(VLOOKUP(5,'PEDIDO 37'!$C$2:$E$230,3,0),0)</f>
        <v>0</v>
      </c>
      <c r="D2919" s="1">
        <f>IFERROR(VLOOKUP(6,'PEDIDO 37'!$C$2:$E$230,3,0),0)</f>
        <v>0</v>
      </c>
      <c r="E2919" s="1">
        <f>IFERROR(VLOOKUP(7,'PEDIDO 37'!$C$2:$E$230,3,0),0)</f>
        <v>0</v>
      </c>
      <c r="F2919" s="1">
        <f>IFERROR(VLOOKUP(258,'PEDIDO 37'!$C$2:$E$230,3,0),0)</f>
        <v>0</v>
      </c>
      <c r="G2919" s="18">
        <f t="shared" ref="G2919:G2982" si="85">SUM(C2919+D2919+E2919+F2919)</f>
        <v>0</v>
      </c>
    </row>
    <row r="2920" spans="1:7" ht="15.75" x14ac:dyDescent="0.25">
      <c r="A2920" s="15">
        <f>'PEDIDO 37'!$B$2</f>
        <v>0</v>
      </c>
      <c r="B2920" s="12" t="s">
        <v>401</v>
      </c>
      <c r="C2920" s="1">
        <f>IFERROR(VLOOKUP(13,'PEDIDO 37'!$C$2:$E$230,3,0),0)</f>
        <v>0</v>
      </c>
      <c r="D2920" s="1">
        <f>IFERROR(VLOOKUP(14,'PEDIDO 37'!$C$2:$E$230,3,0),0)</f>
        <v>0</v>
      </c>
      <c r="E2920" s="1">
        <f>IFERROR(VLOOKUP(15,'PEDIDO 37'!$C$2:$E$230,3,0),0)</f>
        <v>0</v>
      </c>
      <c r="F2920" s="1">
        <f>IFERROR(VLOOKUP(289,'PEDIDO 37'!$C$2:$E$230,3,0),0)</f>
        <v>0</v>
      </c>
      <c r="G2920" s="18">
        <f t="shared" si="85"/>
        <v>0</v>
      </c>
    </row>
    <row r="2921" spans="1:7" ht="15.75" x14ac:dyDescent="0.25">
      <c r="A2921" s="15">
        <f>'PEDIDO 37'!$B$2</f>
        <v>0</v>
      </c>
      <c r="B2921" s="12" t="s">
        <v>402</v>
      </c>
      <c r="C2921" s="1">
        <f>IFERROR(VLOOKUP(267,'PEDIDO 37'!$C$2:$E$230,3,0),0)</f>
        <v>0</v>
      </c>
      <c r="D2921" s="1">
        <f>IFERROR(VLOOKUP(268,'PEDIDO 37'!$C$2:$E$230,3,0),0)</f>
        <v>0</v>
      </c>
      <c r="E2921" s="1">
        <f>IFERROR(VLOOKUP(270,'PEDIDO 37'!$C$2:$E$230,3,0),0)</f>
        <v>0</v>
      </c>
      <c r="F2921" s="1">
        <f>IFERROR(VLOOKUP(269,'PEDIDO 37'!$C$2:$E$230,3,0),0)</f>
        <v>0</v>
      </c>
      <c r="G2921" s="18">
        <f t="shared" si="85"/>
        <v>0</v>
      </c>
    </row>
    <row r="2922" spans="1:7" ht="15.75" x14ac:dyDescent="0.25">
      <c r="A2922" s="15">
        <f>'PEDIDO 37'!$B$2</f>
        <v>0</v>
      </c>
      <c r="B2922" s="12" t="s">
        <v>403</v>
      </c>
      <c r="C2922" s="1">
        <f>IFERROR(VLOOKUP(17,'PEDIDO 37'!$C$2:$E$230,3,0),0)</f>
        <v>0</v>
      </c>
      <c r="D2922" s="1">
        <f>IFERROR(VLOOKUP(18,'PEDIDO 37'!$C$2:$E$230,3,0),0)</f>
        <v>0</v>
      </c>
      <c r="E2922" s="1">
        <f>IFERROR(VLOOKUP(19,'PEDIDO 37'!$C$2:$E$230,3,0),0)</f>
        <v>0</v>
      </c>
      <c r="F2922" s="1">
        <f>IFERROR(VLOOKUP(290,'PEDIDO 37'!$C$2:$E$230,3,0),0)</f>
        <v>0</v>
      </c>
      <c r="G2922" s="18">
        <f t="shared" si="85"/>
        <v>0</v>
      </c>
    </row>
    <row r="2923" spans="1:7" ht="15.75" x14ac:dyDescent="0.25">
      <c r="A2923" s="15">
        <f>'PEDIDO 37'!$B$2</f>
        <v>0</v>
      </c>
      <c r="B2923" s="12" t="s">
        <v>404</v>
      </c>
      <c r="C2923" s="1">
        <f>IFERROR(VLOOKUP(23,'PEDIDO 37'!$C$2:$E$230,3,0),0)</f>
        <v>0</v>
      </c>
      <c r="D2923" s="1">
        <f>IFERROR(VLOOKUP(24,'PEDIDO 37'!$C$2:$E$230,3,0),0)</f>
        <v>0</v>
      </c>
      <c r="E2923" s="1">
        <f>IFERROR(VLOOKUP(25,'PEDIDO 37'!$C$2:$E$230,3,0),0)</f>
        <v>0</v>
      </c>
      <c r="F2923" s="1">
        <f>IFERROR(VLOOKUP(291,'PEDIDO 37'!$C$2:$E$230,3,0),0)</f>
        <v>0</v>
      </c>
      <c r="G2923" s="18">
        <f t="shared" si="85"/>
        <v>0</v>
      </c>
    </row>
    <row r="2924" spans="1:7" ht="15.75" x14ac:dyDescent="0.25">
      <c r="A2924" s="15">
        <f>'PEDIDO 37'!$B$2</f>
        <v>0</v>
      </c>
      <c r="B2924" s="12" t="s">
        <v>405</v>
      </c>
      <c r="C2924" s="1">
        <f>IFERROR(VLOOKUP(27,'PEDIDO 37'!$C$2:$E$230,3,0),0)</f>
        <v>0</v>
      </c>
      <c r="D2924" s="1">
        <f>IFERROR(VLOOKUP(28,'PEDIDO 37'!$C$2:$E$230,3,0),0)</f>
        <v>0</v>
      </c>
      <c r="E2924" s="1">
        <f>IFERROR(VLOOKUP(29,'PEDIDO 37'!$C$2:$E$230,3,0),0)</f>
        <v>0</v>
      </c>
      <c r="F2924" s="1">
        <f>IFERROR(VLOOKUP(292,'PEDIDO 37'!$C$2:$E$230,3,0),0)</f>
        <v>0</v>
      </c>
      <c r="G2924" s="18">
        <f t="shared" si="85"/>
        <v>0</v>
      </c>
    </row>
    <row r="2925" spans="1:7" ht="15.75" x14ac:dyDescent="0.25">
      <c r="A2925" s="15">
        <f>'PEDIDO 37'!$B$2</f>
        <v>0</v>
      </c>
      <c r="B2925" s="12" t="s">
        <v>406</v>
      </c>
      <c r="C2925" s="1">
        <f>IFERROR(VLOOKUP(227,'PEDIDO 37'!$C$2:$E$230,3,0),0)</f>
        <v>0</v>
      </c>
      <c r="D2925" s="1">
        <f>IFERROR(VLOOKUP(228,'PEDIDO 37'!$C$2:$E$230,3,0),0)</f>
        <v>0</v>
      </c>
      <c r="E2925" s="1">
        <f>IFERROR(VLOOKUP(229,'PEDIDO 37'!$C$2:$E$230,3,0),0)</f>
        <v>0</v>
      </c>
      <c r="F2925" s="1">
        <f>IFERROR(VLOOKUP(230,'PEDIDO 37'!$C$2:$E$230,3,0),0)</f>
        <v>0</v>
      </c>
      <c r="G2925" s="18">
        <f t="shared" si="85"/>
        <v>0</v>
      </c>
    </row>
    <row r="2926" spans="1:7" ht="15.75" x14ac:dyDescent="0.25">
      <c r="A2926" s="15">
        <f>'PEDIDO 37'!$B$2</f>
        <v>0</v>
      </c>
      <c r="B2926" s="12" t="s">
        <v>407</v>
      </c>
      <c r="C2926" s="1">
        <f>IFERROR(VLOOKUP(231,'PEDIDO 37'!$C$2:$E$230,3,0),0)</f>
        <v>0</v>
      </c>
      <c r="D2926" s="1">
        <f>IFERROR(VLOOKUP(232,'PEDIDO 37'!$C$2:$E$230,3,0),0)</f>
        <v>0</v>
      </c>
      <c r="E2926" s="1">
        <f>IFERROR(VLOOKUP(234,'PEDIDO 37'!$C$2:$E$230,3,0),0)</f>
        <v>0</v>
      </c>
      <c r="F2926" s="1">
        <f>IFERROR(VLOOKUP(233,'PEDIDO 37'!$C$2:$E$230,3,0),0)</f>
        <v>0</v>
      </c>
      <c r="G2926" s="18">
        <f t="shared" si="85"/>
        <v>0</v>
      </c>
    </row>
    <row r="2927" spans="1:7" ht="15.75" x14ac:dyDescent="0.25">
      <c r="A2927" s="15">
        <f>'PEDIDO 37'!$B$2</f>
        <v>0</v>
      </c>
      <c r="B2927" s="12" t="s">
        <v>408</v>
      </c>
      <c r="C2927" s="1">
        <f>IFERROR(VLOOKUP(237,'PEDIDO 37'!$C$2:$E$230,3,0),0)</f>
        <v>0</v>
      </c>
      <c r="D2927" s="1">
        <f>IFERROR(VLOOKUP(238,'PEDIDO 37'!$C$2:$E$230,3,0),0)</f>
        <v>0</v>
      </c>
      <c r="E2927" s="1">
        <f>IFERROR(VLOOKUP(240,'PEDIDO 37'!$C$2:$E$230,3,0),0)</f>
        <v>0</v>
      </c>
      <c r="F2927" s="1">
        <f>IFERROR(VLOOKUP(239,'PEDIDO 37'!$C$2:$E$230,3,0),0)</f>
        <v>0</v>
      </c>
      <c r="G2927" s="18">
        <f t="shared" si="85"/>
        <v>0</v>
      </c>
    </row>
    <row r="2928" spans="1:7" ht="15.75" x14ac:dyDescent="0.25">
      <c r="A2928" s="15">
        <f>'PEDIDO 37'!$B$2</f>
        <v>0</v>
      </c>
      <c r="B2928" s="12" t="s">
        <v>409</v>
      </c>
      <c r="C2928" s="1">
        <f>IFERROR(VLOOKUP(25707,'PEDIDO 37'!$C$2:$E$230,3,0),0)</f>
        <v>0</v>
      </c>
      <c r="D2928" s="1">
        <f>IFERROR(VLOOKUP(25708,'PEDIDO 37'!$C$2:$E$230,3,0),0)</f>
        <v>0</v>
      </c>
      <c r="E2928" s="1">
        <f>IFERROR(VLOOKUP(25710,'PEDIDO 37'!$C$2:$E$230,3,0),0)</f>
        <v>0</v>
      </c>
      <c r="F2928" s="1">
        <f>IFERROR(VLOOKUP(25709,'PEDIDO 37'!$C$2:$E$230,3,0),0)</f>
        <v>0</v>
      </c>
      <c r="G2928" s="18">
        <f t="shared" si="85"/>
        <v>0</v>
      </c>
    </row>
    <row r="2929" spans="1:7" ht="15.75" x14ac:dyDescent="0.25">
      <c r="A2929" s="15">
        <f>'PEDIDO 37'!$B$2</f>
        <v>0</v>
      </c>
      <c r="B2929" s="12" t="s">
        <v>410</v>
      </c>
      <c r="C2929" s="1">
        <f>IFERROR(VLOOKUP(25711,'PEDIDO 37'!$C$2:$E$230,3,0),0)</f>
        <v>0</v>
      </c>
      <c r="D2929" s="1"/>
      <c r="E2929" s="1"/>
      <c r="F2929" s="1"/>
      <c r="G2929" s="18">
        <f t="shared" si="85"/>
        <v>0</v>
      </c>
    </row>
    <row r="2930" spans="1:7" ht="15.75" x14ac:dyDescent="0.25">
      <c r="A2930" s="15">
        <f>'PEDIDO 37'!$B$2</f>
        <v>0</v>
      </c>
      <c r="B2930" s="12" t="s">
        <v>411</v>
      </c>
      <c r="C2930" s="1">
        <f>IFERROR(VLOOKUP(35,'PEDIDO 37'!$C$2:$E$230,3,0),0)</f>
        <v>0</v>
      </c>
      <c r="D2930" s="1">
        <f>IFERROR(VLOOKUP(36,'PEDIDO 37'!$C$2:$E$230,3,0),0)</f>
        <v>0</v>
      </c>
      <c r="E2930" s="1">
        <f>IFERROR(VLOOKUP(37,'PEDIDO 37'!$C$2:$E$230,3,0),0)</f>
        <v>0</v>
      </c>
      <c r="F2930" s="1">
        <f>IFERROR(VLOOKUP(294,'PEDIDO 37'!$C$2:$E$230,3,0),0)</f>
        <v>0</v>
      </c>
      <c r="G2930" s="18">
        <f t="shared" si="85"/>
        <v>0</v>
      </c>
    </row>
    <row r="2931" spans="1:7" ht="15.75" x14ac:dyDescent="0.25">
      <c r="A2931" s="15">
        <f>'PEDIDO 37'!$B$2</f>
        <v>0</v>
      </c>
      <c r="B2931" s="12" t="s">
        <v>412</v>
      </c>
      <c r="C2931" s="1">
        <f>IFERROR(VLOOKUP(39,'PEDIDO 37'!$C$2:$E$230,3,0),0)</f>
        <v>0</v>
      </c>
      <c r="D2931" s="1">
        <f>IFERROR(VLOOKUP(40,'PEDIDO 37'!$C$2:$E$230,3,0),0)</f>
        <v>0</v>
      </c>
      <c r="E2931" s="1">
        <f>IFERROR(VLOOKUP(42,'PEDIDO 37'!$C$2:$E$230,3,0),0)</f>
        <v>0</v>
      </c>
      <c r="F2931" s="1">
        <f>IFERROR(VLOOKUP(295,'PEDIDO 37'!$C$2:$E$230,3,0),0)</f>
        <v>0</v>
      </c>
      <c r="G2931" s="18">
        <f t="shared" si="85"/>
        <v>0</v>
      </c>
    </row>
    <row r="2932" spans="1:7" ht="15.75" x14ac:dyDescent="0.25">
      <c r="A2932" s="15">
        <f>'PEDIDO 37'!$B$2</f>
        <v>0</v>
      </c>
      <c r="B2932" s="12" t="s">
        <v>413</v>
      </c>
      <c r="C2932" s="1">
        <f>IFERROR(VLOOKUP(44,'PEDIDO 37'!$C$2:$E$230,3,0),0)</f>
        <v>0</v>
      </c>
      <c r="D2932" s="1">
        <f>IFERROR(VLOOKUP(45,'PEDIDO 37'!$C$2:$E$230,3,0),0)</f>
        <v>0</v>
      </c>
      <c r="E2932" s="1">
        <f>IFERROR(VLOOKUP(46,'PEDIDO 37'!$C$2:$E$230,3,0),0)</f>
        <v>0</v>
      </c>
      <c r="F2932" s="1">
        <f>IFERROR(VLOOKUP(283,'PEDIDO 37'!$C$2:$E$230,3,0),0)</f>
        <v>0</v>
      </c>
      <c r="G2932" s="18">
        <f t="shared" si="85"/>
        <v>0</v>
      </c>
    </row>
    <row r="2933" spans="1:7" ht="15.75" x14ac:dyDescent="0.25">
      <c r="A2933" s="15">
        <f>'PEDIDO 37'!$B$2</f>
        <v>0</v>
      </c>
      <c r="B2933" s="12" t="s">
        <v>414</v>
      </c>
      <c r="C2933" s="1">
        <f>IFERROR(VLOOKUP(48,'PEDIDO 37'!$C$2:$E$230,3,0),0)</f>
        <v>0</v>
      </c>
      <c r="D2933" s="1">
        <f>IFERROR(VLOOKUP(49,'PEDIDO 37'!$C$2:$E$230,3,0),0)</f>
        <v>0</v>
      </c>
      <c r="E2933" s="1">
        <f>IFERROR(VLOOKUP(50,'PEDIDO 37'!$C$2:$E$230,3,0),0)</f>
        <v>0</v>
      </c>
      <c r="F2933" s="1">
        <f>IFERROR(VLOOKUP(298,'PEDIDO 37'!$C$2:$E$230,3,0),0)</f>
        <v>0</v>
      </c>
      <c r="G2933" s="18">
        <f t="shared" si="85"/>
        <v>0</v>
      </c>
    </row>
    <row r="2934" spans="1:7" ht="15.75" x14ac:dyDescent="0.25">
      <c r="A2934" s="15">
        <f>'PEDIDO 37'!$B$2</f>
        <v>0</v>
      </c>
      <c r="B2934" s="12" t="s">
        <v>415</v>
      </c>
      <c r="C2934" s="1">
        <f>IFERROR(VLOOKUP(52,'PEDIDO 37'!$C$2:$E$230,3,0),0)</f>
        <v>0</v>
      </c>
      <c r="D2934" s="1">
        <f>IFERROR(VLOOKUP(53,'PEDIDO 37'!$C$2:$E$230,3,0),0)</f>
        <v>0</v>
      </c>
      <c r="E2934" s="1">
        <f>IFERROR(VLOOKUP(54,'PEDIDO 37'!$C$2:$E$230,3,0),0)</f>
        <v>0</v>
      </c>
      <c r="F2934" s="1">
        <f>IFERROR(VLOOKUP(299,'PEDIDO 37'!$C$2:$E$230,3,0),0)</f>
        <v>0</v>
      </c>
      <c r="G2934" s="18">
        <f t="shared" si="85"/>
        <v>0</v>
      </c>
    </row>
    <row r="2935" spans="1:7" ht="15.75" x14ac:dyDescent="0.25">
      <c r="A2935" s="15">
        <f>'PEDIDO 37'!$B$2</f>
        <v>0</v>
      </c>
      <c r="B2935" s="12" t="s">
        <v>416</v>
      </c>
      <c r="C2935" s="1">
        <f>IFERROR(VLOOKUP(56,'PEDIDO 37'!$C$2:$E$230,3,0),0)</f>
        <v>0</v>
      </c>
      <c r="D2935" s="1">
        <f>IFERROR(VLOOKUP(61,'PEDIDO 37'!$C$2:$E$230,3,0),0)</f>
        <v>0</v>
      </c>
      <c r="E2935" s="1">
        <f>IFERROR(VLOOKUP(58,'PEDIDO 37'!$C$2:$E$230,3,0),0)</f>
        <v>0</v>
      </c>
      <c r="F2935" s="1">
        <f>IFERROR(VLOOKUP(300,'PEDIDO 37'!$C$2:$E$230,3,0),0)</f>
        <v>0</v>
      </c>
      <c r="G2935" s="18">
        <f t="shared" si="85"/>
        <v>0</v>
      </c>
    </row>
    <row r="2936" spans="1:7" ht="15.75" x14ac:dyDescent="0.25">
      <c r="A2936" s="15">
        <f>'PEDIDO 37'!$B$2</f>
        <v>0</v>
      </c>
      <c r="B2936" s="12" t="s">
        <v>417</v>
      </c>
      <c r="C2936" s="1">
        <f>IFERROR(VLOOKUP(60,'PEDIDO 37'!$C$2:$E$230,3,0),0)</f>
        <v>0</v>
      </c>
      <c r="D2936" s="1">
        <f>IFERROR(VLOOKUP(120,'PEDIDO 37'!$C$2:$E$230,3,0),0)</f>
        <v>0</v>
      </c>
      <c r="E2936" s="1">
        <f>IFERROR(VLOOKUP(62,'PEDIDO 37'!$C$2:$E$230,3,0),0)</f>
        <v>0</v>
      </c>
      <c r="F2936" s="1">
        <f>IFERROR(VLOOKUP(301,'PEDIDO 37'!$C$2:$E$230,3,0),0)</f>
        <v>0</v>
      </c>
      <c r="G2936" s="18">
        <f t="shared" si="85"/>
        <v>0</v>
      </c>
    </row>
    <row r="2937" spans="1:7" ht="15.75" x14ac:dyDescent="0.25">
      <c r="A2937" s="15">
        <f>'PEDIDO 37'!$B$2</f>
        <v>0</v>
      </c>
      <c r="B2937" s="12" t="s">
        <v>426</v>
      </c>
      <c r="C2937" s="1">
        <f>IFERROR(VLOOKUP(112,'PEDIDO 37'!$C$2:$E$230,3,0),0)</f>
        <v>0</v>
      </c>
      <c r="D2937" s="1">
        <f>IFERROR(VLOOKUP(113,'PEDIDO 37'!$C$2:$E$230,3,0),0)</f>
        <v>0</v>
      </c>
      <c r="E2937" s="1">
        <f>IFERROR(VLOOKUP(114,'PEDIDO 37'!$C$2:$E$230,3,0),0)</f>
        <v>0</v>
      </c>
      <c r="F2937" s="1">
        <f>IFERROR(VLOOKUP(296,'PEDIDO 37'!$C$2:$E$230,3,0),0)</f>
        <v>0</v>
      </c>
      <c r="G2937" s="18">
        <f t="shared" si="85"/>
        <v>0</v>
      </c>
    </row>
    <row r="2938" spans="1:7" ht="15.75" x14ac:dyDescent="0.25">
      <c r="A2938" s="15">
        <f>'PEDIDO 37'!$B$2</f>
        <v>0</v>
      </c>
      <c r="B2938" s="12" t="s">
        <v>427</v>
      </c>
      <c r="C2938" s="1">
        <f>IFERROR(VLOOKUP(116,'PEDIDO 37'!$C$2:$E$230,3,0),0)</f>
        <v>0</v>
      </c>
      <c r="D2938" s="1">
        <f>IFERROR(VLOOKUP(117,'PEDIDO 37'!$C$2:$E$230,3,0),0)</f>
        <v>0</v>
      </c>
      <c r="E2938" s="1">
        <f>IFERROR(VLOOKUP(118,'PEDIDO 37'!$C$2:$E$230,3,0),0)</f>
        <v>0</v>
      </c>
      <c r="F2938" s="1">
        <f>IFERROR(VLOOKUP(293,'PEDIDO 37'!$C$2:$E$230,3,0),0)</f>
        <v>0</v>
      </c>
      <c r="G2938" s="18">
        <f t="shared" si="85"/>
        <v>0</v>
      </c>
    </row>
    <row r="2939" spans="1:7" ht="15.75" x14ac:dyDescent="0.25">
      <c r="A2939" s="15">
        <f>'PEDIDO 37'!$B$2</f>
        <v>0</v>
      </c>
      <c r="B2939" s="12" t="s">
        <v>418</v>
      </c>
      <c r="C2939" s="1">
        <f>IFERROR(VLOOKUP(963,'PEDIDO 37'!$C$2:$E$230,3,0),0)</f>
        <v>0</v>
      </c>
      <c r="D2939" s="1">
        <f>IFERROR(VLOOKUP(965,'PEDIDO 37'!$C$2:$E$230,3,0),0)</f>
        <v>0</v>
      </c>
      <c r="E2939" s="1">
        <f>IFERROR(VLOOKUP(966,'PEDIDO 37'!$C$2:$E$230,3,0),0)</f>
        <v>0</v>
      </c>
      <c r="F2939" s="1">
        <f>IFERROR(VLOOKUP(964,'PEDIDO 37'!$C$2:$E$230,3,0),0)</f>
        <v>0</v>
      </c>
      <c r="G2939" s="18">
        <f t="shared" si="85"/>
        <v>0</v>
      </c>
    </row>
    <row r="2940" spans="1:7" ht="15.75" x14ac:dyDescent="0.25">
      <c r="A2940" s="15">
        <f>'PEDIDO 37'!$B$2</f>
        <v>0</v>
      </c>
      <c r="B2940" s="12" t="s">
        <v>419</v>
      </c>
      <c r="C2940" s="1">
        <f>IFERROR(VLOOKUP(2042,'PEDIDO 37'!$C$2:$E$230,3,0),0)</f>
        <v>0</v>
      </c>
      <c r="D2940" s="1">
        <f>IFERROR(VLOOKUP(2041,'PEDIDO 37'!$C$2:$E$230,3,0),0)</f>
        <v>0</v>
      </c>
      <c r="E2940" s="1">
        <f>IFERROR(VLOOKUP(2043,'PEDIDO 37'!$C$2:$E$230,3,0),0)</f>
        <v>0</v>
      </c>
      <c r="F2940" s="1">
        <f>IFERROR(VLOOKUP(2040,'PEDIDO 37'!$C$2:$E$230,3,0),0)</f>
        <v>0</v>
      </c>
      <c r="G2940" s="18">
        <f t="shared" si="85"/>
        <v>0</v>
      </c>
    </row>
    <row r="2941" spans="1:7" ht="15.75" x14ac:dyDescent="0.25">
      <c r="A2941" s="15">
        <f>'PEDIDO 37'!$B$2</f>
        <v>0</v>
      </c>
      <c r="B2941" s="12" t="s">
        <v>420</v>
      </c>
      <c r="C2941" s="1">
        <f>IFERROR(VLOOKUP(2045,'PEDIDO 37'!$C$2:$E$230,3,0),0)</f>
        <v>0</v>
      </c>
      <c r="D2941" s="1">
        <f>IFERROR(VLOOKUP(2046,'PEDIDO 37'!$C$2:$E$230,3,0),0)</f>
        <v>0</v>
      </c>
      <c r="E2941" s="1">
        <f>IFERROR(VLOOKUP(2047,'PEDIDO 37'!$C$2:$E$230,3,0),0)</f>
        <v>0</v>
      </c>
      <c r="F2941" s="1">
        <f>IFERROR(VLOOKUP(2048,'PEDIDO 37'!$C$2:$E$230,3,0),0)</f>
        <v>0</v>
      </c>
      <c r="G2941" s="18">
        <f t="shared" si="85"/>
        <v>0</v>
      </c>
    </row>
    <row r="2942" spans="1:7" ht="15.75" x14ac:dyDescent="0.25">
      <c r="A2942" s="15">
        <f>'PEDIDO 37'!$B$2</f>
        <v>0</v>
      </c>
      <c r="B2942" s="12" t="s">
        <v>421</v>
      </c>
      <c r="C2942" s="1">
        <f>IFERROR(VLOOKUP(2050,'PEDIDO 37'!$C$2:$E$230,3,0),0)</f>
        <v>0</v>
      </c>
      <c r="D2942" s="1">
        <f>IFERROR(VLOOKUP(2051,'PEDIDO 37'!$C$2:$E$230,3,0),0)</f>
        <v>0</v>
      </c>
      <c r="E2942" s="1">
        <f>IFERROR(VLOOKUP(2052,'PEDIDO 37'!$C$2:$E$230,3,0),0)</f>
        <v>0</v>
      </c>
      <c r="F2942" s="1">
        <f>IFERROR(VLOOKUP(2053,'PEDIDO 37'!$C$2:$E$230,3,0),0)</f>
        <v>0</v>
      </c>
      <c r="G2942" s="18">
        <f t="shared" si="85"/>
        <v>0</v>
      </c>
    </row>
    <row r="2943" spans="1:7" ht="15.75" x14ac:dyDescent="0.25">
      <c r="A2943" s="15">
        <f>'PEDIDO 37'!$B$2</f>
        <v>0</v>
      </c>
      <c r="B2943" s="12" t="s">
        <v>422</v>
      </c>
      <c r="C2943" s="1">
        <f>IFERROR(VLOOKUP(216,'PEDIDO 37'!$C$2:$E$230,3,0),0)</f>
        <v>0</v>
      </c>
      <c r="D2943" s="1">
        <f>IFERROR(VLOOKUP(217,'PEDIDO 37'!$C$2:$E$230,3,0),0)</f>
        <v>0</v>
      </c>
      <c r="E2943" s="1">
        <f>IFERROR(VLOOKUP(218,'PEDIDO 37'!$C$2:$E$230,3,0),0)</f>
        <v>0</v>
      </c>
      <c r="F2943" s="1">
        <f>IFERROR(VLOOKUP(305,'PEDIDO 37'!$C$2:$E$230,3,0),0)</f>
        <v>0</v>
      </c>
      <c r="G2943" s="18">
        <f t="shared" si="85"/>
        <v>0</v>
      </c>
    </row>
    <row r="2944" spans="1:7" ht="15.75" x14ac:dyDescent="0.25">
      <c r="A2944" s="15">
        <f>'PEDIDO 37'!$B$2</f>
        <v>0</v>
      </c>
      <c r="B2944" s="12" t="s">
        <v>423</v>
      </c>
      <c r="C2944" s="1">
        <f>IFERROR(VLOOKUP(100,'PEDIDO 37'!$C$2:$E$230,3,0),0)</f>
        <v>0</v>
      </c>
      <c r="D2944" s="1">
        <f>IFERROR(VLOOKUP(101,'PEDIDO 37'!$C$2:$E$230,3,0),0)</f>
        <v>0</v>
      </c>
      <c r="E2944" s="1">
        <f>IFERROR(VLOOKUP(102,'PEDIDO 37'!$C$2:$E$230,3,0),0)</f>
        <v>0</v>
      </c>
      <c r="F2944" s="1">
        <f>IFERROR(VLOOKUP(306,'PEDIDO 37'!$C$2:$E$230,3,0),0)</f>
        <v>0</v>
      </c>
      <c r="G2944" s="18">
        <f t="shared" si="85"/>
        <v>0</v>
      </c>
    </row>
    <row r="2945" spans="1:7" ht="15.75" x14ac:dyDescent="0.25">
      <c r="A2945" s="15">
        <f>'PEDIDO 37'!$B$2</f>
        <v>0</v>
      </c>
      <c r="B2945" s="12" t="s">
        <v>424</v>
      </c>
      <c r="C2945" s="1">
        <f>IFERROR(VLOOKUP(104,'PEDIDO 37'!$C$2:$E$230,3,0),0)</f>
        <v>0</v>
      </c>
      <c r="D2945" s="1">
        <f>IFERROR(VLOOKUP(105,'PEDIDO 37'!$C$2:$E$230,3,0),0)</f>
        <v>0</v>
      </c>
      <c r="E2945" s="1">
        <f>IFERROR(VLOOKUP(106,'PEDIDO 37'!$C$2:$E$230,3,0),0)</f>
        <v>0</v>
      </c>
      <c r="F2945" s="1">
        <f>IFERROR(VLOOKUP(307,'PEDIDO 37'!$C$2:$E$230,3,0),0)</f>
        <v>0</v>
      </c>
      <c r="G2945" s="18">
        <f t="shared" si="85"/>
        <v>0</v>
      </c>
    </row>
    <row r="2946" spans="1:7" ht="15.75" x14ac:dyDescent="0.25">
      <c r="A2946" s="15">
        <f>'PEDIDO 37'!$B$2</f>
        <v>0</v>
      </c>
      <c r="B2946" s="12" t="s">
        <v>425</v>
      </c>
      <c r="C2946" s="1">
        <f>IFERROR(VLOOKUP(400,'PEDIDO 37'!$C$2:$E$230,3,0),0)</f>
        <v>0</v>
      </c>
      <c r="D2946" s="1">
        <f>IFERROR(VLOOKUP(401,'PEDIDO 37'!$C$2:$E$230,3,0),0)</f>
        <v>0</v>
      </c>
      <c r="E2946" s="1">
        <f>IFERROR(VLOOKUP(402,'PEDIDO 37'!$C$2:$E$230,3,0),0)</f>
        <v>0</v>
      </c>
      <c r="F2946" s="1">
        <f>IFERROR(VLOOKUP(403,'PEDIDO 37'!$C$2:$E$230,3,0),0)</f>
        <v>0</v>
      </c>
      <c r="G2946" s="18">
        <f t="shared" si="85"/>
        <v>0</v>
      </c>
    </row>
    <row r="2947" spans="1:7" ht="15.75" x14ac:dyDescent="0.25">
      <c r="A2947" s="15">
        <f>'PEDIDO 37'!$B$2</f>
        <v>0</v>
      </c>
      <c r="B2947" s="12" t="s">
        <v>428</v>
      </c>
      <c r="C2947" s="1">
        <f>IFERROR(VLOOKUP(22,'PEDIDO 37'!$C$2:$E$230,3,0),0)</f>
        <v>0</v>
      </c>
      <c r="D2947" s="1"/>
      <c r="E2947" s="1"/>
      <c r="F2947" s="1"/>
      <c r="G2947" s="18">
        <f t="shared" si="85"/>
        <v>0</v>
      </c>
    </row>
    <row r="2948" spans="1:7" ht="15.75" x14ac:dyDescent="0.25">
      <c r="A2948" s="15">
        <f>'PEDIDO 37'!$B$2</f>
        <v>0</v>
      </c>
      <c r="B2948" s="12" t="s">
        <v>429</v>
      </c>
      <c r="C2948" s="1">
        <f>IFERROR(VLOOKUP(21,'PEDIDO 37'!$C$2:$E$230,3,0),0)</f>
        <v>0</v>
      </c>
      <c r="D2948" s="1"/>
      <c r="E2948" s="1"/>
      <c r="F2948" s="1"/>
      <c r="G2948" s="18">
        <f t="shared" si="85"/>
        <v>0</v>
      </c>
    </row>
    <row r="2949" spans="1:7" ht="15.75" x14ac:dyDescent="0.25">
      <c r="A2949" s="15">
        <f>'PEDIDO 37'!$B$2</f>
        <v>0</v>
      </c>
      <c r="B2949" s="12" t="s">
        <v>430</v>
      </c>
      <c r="C2949" s="1">
        <f>IFERROR(VLOOKUP(1125,'PEDIDO 37'!$C$2:$E$230,3,0),0)</f>
        <v>0</v>
      </c>
      <c r="D2949" s="1">
        <f>IFERROR(VLOOKUP(1126,'PEDIDO 37'!$C$2:$E$230,3,0),0)</f>
        <v>0</v>
      </c>
      <c r="E2949" s="1">
        <f>IFERROR(VLOOKUP(1127,'PEDIDO 37'!$C$2:$E$230,3,0),0)</f>
        <v>0</v>
      </c>
      <c r="F2949" s="1">
        <f>IFERROR(VLOOKUP(1128,'PEDIDO 37'!$C$2:$E$230,3,0),0)</f>
        <v>0</v>
      </c>
      <c r="G2949" s="18">
        <f t="shared" si="85"/>
        <v>0</v>
      </c>
    </row>
    <row r="2950" spans="1:7" ht="15.75" x14ac:dyDescent="0.25">
      <c r="A2950" s="15">
        <f>'PEDIDO 37'!$B$2</f>
        <v>0</v>
      </c>
      <c r="B2950" s="12" t="s">
        <v>431</v>
      </c>
      <c r="C2950" s="1">
        <f>IFERROR(VLOOKUP(1133,'PEDIDO 37'!$C$2:$E$230,3,0),0)</f>
        <v>0</v>
      </c>
      <c r="D2950" s="1">
        <f>IFERROR(VLOOKUP(1134,'PEDIDO 37'!$C$2:$E$230,3,0),0)</f>
        <v>0</v>
      </c>
      <c r="E2950" s="1">
        <f>IFERROR(VLOOKUP(1135,'PEDIDO 37'!$C$2:$E$230,3,0),0)</f>
        <v>0</v>
      </c>
      <c r="F2950" s="1">
        <f>IFERROR(VLOOKUP(1136,'PEDIDO 37'!$C$2:$E$230,3,0),0)</f>
        <v>0</v>
      </c>
      <c r="G2950" s="18">
        <f t="shared" si="85"/>
        <v>0</v>
      </c>
    </row>
    <row r="2951" spans="1:7" ht="15.75" x14ac:dyDescent="0.25">
      <c r="A2951" s="15">
        <f>'PEDIDO 37'!$B$2</f>
        <v>0</v>
      </c>
      <c r="B2951" s="12" t="s">
        <v>432</v>
      </c>
      <c r="C2951" s="1">
        <f>IFERROR(VLOOKUP(1105,'PEDIDO 37'!$C$2:$E$230,3,0),0)</f>
        <v>0</v>
      </c>
      <c r="D2951" s="1">
        <f>IFERROR(VLOOKUP(1106,'PEDIDO 37'!$C$2:$E$230,3,0),0)</f>
        <v>0</v>
      </c>
      <c r="E2951" s="1">
        <f>IFERROR(VLOOKUP(1107,'PEDIDO 37'!$C$2:$E$230,3,0),0)</f>
        <v>0</v>
      </c>
      <c r="F2951" s="1">
        <f>IFERROR(VLOOKUP(1108,'PEDIDO 37'!$C$2:$E$230,3,0),0)</f>
        <v>0</v>
      </c>
      <c r="G2951" s="18">
        <f t="shared" si="85"/>
        <v>0</v>
      </c>
    </row>
    <row r="2952" spans="1:7" ht="15.75" x14ac:dyDescent="0.25">
      <c r="A2952" s="15">
        <f>'PEDIDO 37'!$B$2</f>
        <v>0</v>
      </c>
      <c r="B2952" s="12" t="s">
        <v>433</v>
      </c>
      <c r="C2952" s="1">
        <f>IFERROR(VLOOKUP(1109,'PEDIDO 37'!$C$2:$E$230,3,0),0)</f>
        <v>0</v>
      </c>
      <c r="D2952" s="1">
        <f>IFERROR(VLOOKUP(1110,'PEDIDO 37'!$C$2:$E$230,3,0),0)</f>
        <v>0</v>
      </c>
      <c r="E2952" s="1">
        <f>IFERROR(VLOOKUP(1111,'PEDIDO 37'!$C$2:$E$230,3,0),0)</f>
        <v>0</v>
      </c>
      <c r="F2952" s="1">
        <f>IFERROR(VLOOKUP(1112,'PEDIDO 37'!$C$2:$E$230,3,0),0)</f>
        <v>0</v>
      </c>
      <c r="G2952" s="18">
        <f t="shared" si="85"/>
        <v>0</v>
      </c>
    </row>
    <row r="2953" spans="1:7" ht="15.75" x14ac:dyDescent="0.25">
      <c r="A2953" s="15">
        <f>'PEDIDO 37'!$B$2</f>
        <v>0</v>
      </c>
      <c r="B2953" s="12" t="s">
        <v>434</v>
      </c>
      <c r="C2953" s="1">
        <f>IFERROR(VLOOKUP(1113,'PEDIDO 37'!$C$2:$E$230,3,0),0)</f>
        <v>0</v>
      </c>
      <c r="D2953" s="1">
        <f>IFERROR(VLOOKUP(1114,'PEDIDO 37'!$C$2:$E$230,3,0),0)</f>
        <v>0</v>
      </c>
      <c r="E2953" s="1">
        <f>IFERROR(VLOOKUP(1115,'PEDIDO 37'!$C$2:$E$230,3,0),0)</f>
        <v>0</v>
      </c>
      <c r="F2953" s="1">
        <f>IFERROR(VLOOKUP(1116,'PEDIDO 37'!$C$2:$E$230,3,0),0)</f>
        <v>0</v>
      </c>
      <c r="G2953" s="18">
        <f t="shared" si="85"/>
        <v>0</v>
      </c>
    </row>
    <row r="2954" spans="1:7" ht="15.75" x14ac:dyDescent="0.25">
      <c r="A2954" s="15">
        <f>'PEDIDO 37'!$B$2</f>
        <v>0</v>
      </c>
      <c r="B2954" s="12" t="s">
        <v>435</v>
      </c>
      <c r="C2954" s="1">
        <f>IFERROR(VLOOKUP(1117,'PEDIDO 37'!$C$2:$E$230,3,0),0)</f>
        <v>0</v>
      </c>
      <c r="D2954" s="1">
        <f>IFERROR(VLOOKUP(1118,'PEDIDO 37'!$C$2:$E$230,3,0),0)</f>
        <v>0</v>
      </c>
      <c r="E2954" s="1">
        <f>IFERROR(VLOOKUP(1119,'PEDIDO 37'!$C$2:$E$230,3,0),0)</f>
        <v>0</v>
      </c>
      <c r="F2954" s="1">
        <f>IFERROR(VLOOKUP(1120,'PEDIDO 37'!$C$2:$E$230,3,0),0)</f>
        <v>0</v>
      </c>
      <c r="G2954" s="18">
        <f t="shared" si="85"/>
        <v>0</v>
      </c>
    </row>
    <row r="2955" spans="1:7" ht="15.75" x14ac:dyDescent="0.25">
      <c r="A2955" s="15">
        <f>'PEDIDO 37'!$B$2</f>
        <v>0</v>
      </c>
      <c r="B2955" s="12" t="s">
        <v>436</v>
      </c>
      <c r="C2955" s="1">
        <f>IFERROR(VLOOKUP(1121,'PEDIDO 37'!$C$2:$E$230,3,0),0)</f>
        <v>0</v>
      </c>
      <c r="D2955" s="1">
        <f>IFERROR(VLOOKUP(1122,'PEDIDO 37'!$C$2:$E$230,3,0),0)</f>
        <v>0</v>
      </c>
      <c r="E2955" s="1">
        <f>IFERROR(VLOOKUP(1123,'PEDIDO 37'!$C$2:$E$230,3,0),0)</f>
        <v>0</v>
      </c>
      <c r="F2955" s="1">
        <f>IFERROR(VLOOKUP(1124,'PEDIDO 37'!$C$2:$E$230,3,0),0)</f>
        <v>0</v>
      </c>
      <c r="G2955" s="18">
        <f t="shared" si="85"/>
        <v>0</v>
      </c>
    </row>
    <row r="2956" spans="1:7" ht="15.75" x14ac:dyDescent="0.25">
      <c r="A2956" s="15">
        <f>'PEDIDO 37'!$B$2</f>
        <v>0</v>
      </c>
      <c r="B2956" s="12" t="s">
        <v>437</v>
      </c>
      <c r="C2956" s="1">
        <f>IFERROR(VLOOKUP(1129,'PEDIDO 37'!$C$2:$E$230,3,0),0)</f>
        <v>0</v>
      </c>
      <c r="D2956" s="1">
        <f>IFERROR(VLOOKUP(1130,'PEDIDO 37'!$C$2:$E$230,3,0),0)</f>
        <v>0</v>
      </c>
      <c r="E2956" s="1">
        <f>IFERROR(VLOOKUP(1131,'PEDIDO 37'!$C$2:$E$230,3,0),0)</f>
        <v>0</v>
      </c>
      <c r="F2956" s="1">
        <f>IFERROR(VLOOKUP(1132,'PEDIDO 37'!$C$2:$E$230,3,0),0)</f>
        <v>0</v>
      </c>
      <c r="G2956" s="18">
        <f t="shared" si="85"/>
        <v>0</v>
      </c>
    </row>
    <row r="2957" spans="1:7" ht="15.75" x14ac:dyDescent="0.25">
      <c r="A2957" s="15">
        <f>'PEDIDO 37'!$B$2</f>
        <v>0</v>
      </c>
      <c r="B2957" s="12" t="s">
        <v>438</v>
      </c>
      <c r="C2957" s="1">
        <f>IFERROR(VLOOKUP(1137,'PEDIDO 37'!$C$2:$E$230,3,0),0)</f>
        <v>0</v>
      </c>
      <c r="D2957" s="1">
        <f>IFERROR(VLOOKUP(1138,'PEDIDO 37'!$C$2:$E$230,3,0),0)</f>
        <v>0</v>
      </c>
      <c r="E2957" s="1">
        <f>IFERROR(VLOOKUP(1139,'PEDIDO 37'!$C$2:$E$230,3,0),0)</f>
        <v>0</v>
      </c>
      <c r="F2957" s="1">
        <f>IFERROR(VLOOKUP(1140,'PEDIDO 37'!$C$2:$E$230,3,0),0)</f>
        <v>0</v>
      </c>
      <c r="G2957" s="18">
        <f t="shared" si="85"/>
        <v>0</v>
      </c>
    </row>
    <row r="2958" spans="1:7" ht="15.75" x14ac:dyDescent="0.25">
      <c r="A2958" s="15">
        <f>'PEDIDO 37'!$B$2</f>
        <v>0</v>
      </c>
      <c r="B2958" s="12" t="s">
        <v>439</v>
      </c>
      <c r="C2958" s="1">
        <f>IFERROR(VLOOKUP(1141,'PEDIDO 37'!$C$2:$E$230,3,0),0)</f>
        <v>0</v>
      </c>
      <c r="D2958" s="1">
        <f>IFERROR(VLOOKUP(1142,'PEDIDO 37'!$C$2:$E$230,3,0),0)</f>
        <v>0</v>
      </c>
      <c r="E2958" s="1">
        <f>IFERROR(VLOOKUP(1143,'PEDIDO 37'!$C$2:$E$230,3,0),0)</f>
        <v>0</v>
      </c>
      <c r="F2958" s="1">
        <f>IFERROR(VLOOKUP(1144,'PEDIDO 37'!$C$2:$E$230,3,0),0)</f>
        <v>0</v>
      </c>
      <c r="G2958" s="18">
        <f t="shared" si="85"/>
        <v>0</v>
      </c>
    </row>
    <row r="2959" spans="1:7" ht="15.75" x14ac:dyDescent="0.25">
      <c r="A2959" s="15">
        <f>'PEDIDO 37'!$B$2</f>
        <v>0</v>
      </c>
      <c r="B2959" s="12" t="s">
        <v>440</v>
      </c>
      <c r="C2959" s="1">
        <f>IFERROR(VLOOKUP(1145,'PEDIDO 37'!$C$2:$E$230,3,0),0)</f>
        <v>0</v>
      </c>
      <c r="D2959" s="1">
        <f>IFERROR(VLOOKUP(1146,'PEDIDO 37'!$C$2:$E$230,3,0),0)</f>
        <v>0</v>
      </c>
      <c r="E2959" s="1">
        <f>IFERROR(VLOOKUP(1147,'PEDIDO 37'!$C$2:$E$230,3,0),0)</f>
        <v>0</v>
      </c>
      <c r="F2959" s="1">
        <f>IFERROR(VLOOKUP(1148,'PEDIDO 37'!$C$2:$E$230,3,0),0)</f>
        <v>0</v>
      </c>
      <c r="G2959" s="18">
        <f t="shared" si="85"/>
        <v>0</v>
      </c>
    </row>
    <row r="2960" spans="1:7" ht="15.75" x14ac:dyDescent="0.25">
      <c r="A2960" s="15">
        <f>'PEDIDO 37'!$B$2</f>
        <v>0</v>
      </c>
      <c r="B2960" s="12" t="s">
        <v>441</v>
      </c>
      <c r="C2960" s="1">
        <f>IFERROR(VLOOKUP(1149,'PEDIDO 37'!$C$2:$E$230,3,0),0)</f>
        <v>0</v>
      </c>
      <c r="D2960" s="1">
        <f>IFERROR(VLOOKUP(1150,'PEDIDO 37'!$C$2:$E$230,3,0),0)</f>
        <v>0</v>
      </c>
      <c r="E2960" s="1">
        <f>IFERROR(VLOOKUP(1151,'PEDIDO 37'!$C$2:$E$230,3,0),0)</f>
        <v>0</v>
      </c>
      <c r="F2960" s="1">
        <f>IFERROR(VLOOKUP(1152,'PEDIDO 37'!$C$2:$E$230,3,0),0)</f>
        <v>0</v>
      </c>
      <c r="G2960" s="18">
        <f t="shared" si="85"/>
        <v>0</v>
      </c>
    </row>
    <row r="2961" spans="1:7" ht="15.75" x14ac:dyDescent="0.25">
      <c r="A2961" s="15">
        <f>'PEDIDO 37'!$B$2</f>
        <v>0</v>
      </c>
      <c r="B2961" s="12" t="s">
        <v>442</v>
      </c>
      <c r="C2961" s="1">
        <f>IFERROR(VLOOKUP(1153,'PEDIDO 37'!$C$2:$E$230,3,0),0)</f>
        <v>0</v>
      </c>
      <c r="D2961" s="1">
        <f>IFERROR(VLOOKUP(1154,'PEDIDO 37'!$C$2:$E$230,3,0),0)</f>
        <v>0</v>
      </c>
      <c r="E2961" s="1">
        <f>IFERROR(VLOOKUP(1155,'PEDIDO 37'!$C$2:$E$230,3,0),0)</f>
        <v>0</v>
      </c>
      <c r="F2961" s="1">
        <f>IFERROR(VLOOKUP(1156,'PEDIDO 37'!$C$2:$E$230,3,0),0)</f>
        <v>0</v>
      </c>
      <c r="G2961" s="18">
        <f t="shared" si="85"/>
        <v>0</v>
      </c>
    </row>
    <row r="2962" spans="1:7" ht="15.75" x14ac:dyDescent="0.25">
      <c r="A2962" s="15">
        <f>'PEDIDO 37'!$B$2</f>
        <v>0</v>
      </c>
      <c r="B2962" s="12" t="s">
        <v>443</v>
      </c>
      <c r="C2962" s="1">
        <f>IFERROR(VLOOKUP(1157,'PEDIDO 37'!$C$2:$E$230,3,0),0)</f>
        <v>0</v>
      </c>
      <c r="D2962" s="1">
        <f>IFERROR(VLOOKUP(1158,'PEDIDO 37'!$C$2:$E$230,3,0),0)</f>
        <v>0</v>
      </c>
      <c r="E2962" s="1">
        <f>IFERROR(VLOOKUP(1159,'PEDIDO 37'!$C$2:$E$230,3,0),0)</f>
        <v>0</v>
      </c>
      <c r="F2962" s="1">
        <f>IFERROR(VLOOKUP(1160,'PEDIDO 37'!$C$2:$E$230,3,0),0)</f>
        <v>0</v>
      </c>
      <c r="G2962" s="18">
        <f t="shared" si="85"/>
        <v>0</v>
      </c>
    </row>
    <row r="2963" spans="1:7" ht="15.75" x14ac:dyDescent="0.25">
      <c r="A2963" s="15">
        <f>'PEDIDO 37'!$B$2</f>
        <v>0</v>
      </c>
      <c r="B2963" s="12" t="s">
        <v>444</v>
      </c>
      <c r="C2963" s="1">
        <f>IFERROR(VLOOKUP(1161,'PEDIDO 37'!$C$2:$E$230,3,0),0)</f>
        <v>0</v>
      </c>
      <c r="D2963" s="1">
        <f>IFERROR(VLOOKUP(1162,'PEDIDO 37'!$C$2:$E$230,3,0),0)</f>
        <v>0</v>
      </c>
      <c r="E2963" s="1">
        <f>IFERROR(VLOOKUP(1163,'PEDIDO 37'!$C$2:$E$230,3,0),0)</f>
        <v>0</v>
      </c>
      <c r="F2963" s="1">
        <f>IFERROR(VLOOKUP(1164,'PEDIDO 37'!$C$2:$E$230,3,0),0)</f>
        <v>0</v>
      </c>
      <c r="G2963" s="18">
        <f t="shared" si="85"/>
        <v>0</v>
      </c>
    </row>
    <row r="2964" spans="1:7" ht="15.75" x14ac:dyDescent="0.25">
      <c r="A2964" s="15">
        <f>'PEDIDO 37'!$B$2</f>
        <v>0</v>
      </c>
      <c r="B2964" s="12" t="s">
        <v>445</v>
      </c>
      <c r="C2964" s="1">
        <f>IFERROR(VLOOKUP(1165,'PEDIDO 37'!$C$2:$E$230,3,0),0)</f>
        <v>0</v>
      </c>
      <c r="D2964" s="1">
        <f>IFERROR(VLOOKUP(1166,'PEDIDO 37'!$C$2:$E$230,3,0),0)</f>
        <v>0</v>
      </c>
      <c r="E2964" s="1">
        <f>IFERROR(VLOOKUP(1167,'PEDIDO 37'!$C$2:$E$230,3,0),0)</f>
        <v>0</v>
      </c>
      <c r="F2964" s="1">
        <f>IFERROR(VLOOKUP(1168,'PEDIDO 37'!$C$2:$E$230,3,0),0)</f>
        <v>0</v>
      </c>
      <c r="G2964" s="18">
        <f t="shared" si="85"/>
        <v>0</v>
      </c>
    </row>
    <row r="2965" spans="1:7" ht="15.75" x14ac:dyDescent="0.25">
      <c r="A2965" s="15">
        <f>'PEDIDO 37'!$B$2</f>
        <v>0</v>
      </c>
      <c r="B2965" s="12" t="s">
        <v>446</v>
      </c>
      <c r="C2965" s="1">
        <f>IFERROR(VLOOKUP(1169,'PEDIDO 37'!$C$2:$E$230,3,0),0)</f>
        <v>0</v>
      </c>
      <c r="D2965" s="1">
        <f>IFERROR(VLOOKUP(1170,'PEDIDO 37'!$C$2:$E$230,3,0),0)</f>
        <v>0</v>
      </c>
      <c r="E2965" s="1">
        <f>IFERROR(VLOOKUP(1171,'PEDIDO 37'!$C$2:$E$230,3,0),0)</f>
        <v>0</v>
      </c>
      <c r="F2965" s="1">
        <f>IFERROR(VLOOKUP(1172,'PEDIDO 37'!$C$2:$E$230,3,0),0)</f>
        <v>0</v>
      </c>
      <c r="G2965" s="18">
        <f t="shared" si="85"/>
        <v>0</v>
      </c>
    </row>
    <row r="2966" spans="1:7" ht="15.75" x14ac:dyDescent="0.25">
      <c r="A2966" s="15">
        <f>'PEDIDO 37'!$B$2</f>
        <v>0</v>
      </c>
      <c r="B2966" s="12" t="s">
        <v>447</v>
      </c>
      <c r="C2966" s="1">
        <f>IFERROR(VLOOKUP(1173,'PEDIDO 37'!$C$2:$E$230,3,0),0)</f>
        <v>0</v>
      </c>
      <c r="D2966" s="1">
        <f>IFERROR(VLOOKUP(1174,'PEDIDO 37'!$C$2:$E$230,3,0),0)</f>
        <v>0</v>
      </c>
      <c r="E2966" s="1">
        <f>IFERROR(VLOOKUP(1175,'PEDIDO 37'!$C$2:$E$230,3,0),0)</f>
        <v>0</v>
      </c>
      <c r="F2966" s="1">
        <f>IFERROR(VLOOKUP(1176,'PEDIDO 37'!$C$2:$E$230,3,0),0)</f>
        <v>0</v>
      </c>
      <c r="G2966" s="18">
        <f t="shared" si="85"/>
        <v>0</v>
      </c>
    </row>
    <row r="2967" spans="1:7" ht="15.75" x14ac:dyDescent="0.25">
      <c r="A2967" s="15">
        <f>'PEDIDO 37'!$B$2</f>
        <v>0</v>
      </c>
      <c r="B2967" s="12" t="s">
        <v>448</v>
      </c>
      <c r="C2967" s="1">
        <f>IFERROR(VLOOKUP(1249,'PEDIDO 37'!$C$2:$E$230,3,0),0)</f>
        <v>0</v>
      </c>
      <c r="D2967" s="1">
        <f>IFERROR(VLOOKUP(1250,'PEDIDO 37'!$C$2:$E$230,3,0),0)</f>
        <v>0</v>
      </c>
      <c r="E2967" s="1">
        <f>IFERROR(VLOOKUP(1251,'PEDIDO 37'!$C$2:$E$230,3,0),0)</f>
        <v>0</v>
      </c>
      <c r="F2967" s="1">
        <f>IFERROR(VLOOKUP(1252,'PEDIDO 37'!$C$2:$E$230,3,0),0)</f>
        <v>0</v>
      </c>
      <c r="G2967" s="18">
        <f t="shared" si="85"/>
        <v>0</v>
      </c>
    </row>
    <row r="2968" spans="1:7" ht="15.75" x14ac:dyDescent="0.25">
      <c r="A2968" s="15">
        <f>'PEDIDO 37'!$B$2</f>
        <v>0</v>
      </c>
      <c r="B2968" s="12" t="s">
        <v>449</v>
      </c>
      <c r="C2968" s="1">
        <f>IFERROR(VLOOKUP(1177,'PEDIDO 37'!$C$2:$E$230,3,0),0)</f>
        <v>0</v>
      </c>
      <c r="D2968" s="1">
        <f>IFERROR(VLOOKUP(1178,'PEDIDO 37'!$C$2:$E$230,3,0),0)</f>
        <v>0</v>
      </c>
      <c r="E2968" s="1">
        <f>IFERROR(VLOOKUP(1179,'PEDIDO 37'!$C$2:$E$230,3,0),0)</f>
        <v>0</v>
      </c>
      <c r="F2968" s="1">
        <f>IFERROR(VLOOKUP(1180,'PEDIDO 37'!$C$2:$E$230,3,0),0)</f>
        <v>0</v>
      </c>
      <c r="G2968" s="18">
        <f t="shared" si="85"/>
        <v>0</v>
      </c>
    </row>
    <row r="2969" spans="1:7" ht="15.75" x14ac:dyDescent="0.25">
      <c r="A2969" s="15">
        <f>'PEDIDO 37'!$B$2</f>
        <v>0</v>
      </c>
      <c r="B2969" s="12" t="s">
        <v>450</v>
      </c>
      <c r="C2969" s="1">
        <f>IFERROR(VLOOKUP(1181,'PEDIDO 37'!$C$2:$E$230,3,0),0)</f>
        <v>0</v>
      </c>
      <c r="D2969" s="1">
        <f>IFERROR(VLOOKUP(1182,'PEDIDO 37'!$C$2:$E$230,3,0),0)</f>
        <v>0</v>
      </c>
      <c r="E2969" s="1">
        <f>IFERROR(VLOOKUP(1183,'PEDIDO 37'!$C$2:$E$230,3,0),0)</f>
        <v>0</v>
      </c>
      <c r="F2969" s="1">
        <f>IFERROR(VLOOKUP(1184,'PEDIDO 37'!$C$2:$E$230,3,0),0)</f>
        <v>0</v>
      </c>
      <c r="G2969" s="18">
        <f t="shared" si="85"/>
        <v>0</v>
      </c>
    </row>
    <row r="2970" spans="1:7" ht="15.75" x14ac:dyDescent="0.25">
      <c r="A2970" s="15">
        <f>'PEDIDO 37'!$B$2</f>
        <v>0</v>
      </c>
      <c r="B2970" s="12" t="s">
        <v>451</v>
      </c>
      <c r="C2970" s="1">
        <f>IFERROR(VLOOKUP(1185,'PEDIDO 37'!$C$2:$E$230,3,0),0)</f>
        <v>0</v>
      </c>
      <c r="D2970" s="1">
        <f>IFERROR(VLOOKUP(1186,'PEDIDO 37'!$C$2:$E$230,3,0),0)</f>
        <v>0</v>
      </c>
      <c r="E2970" s="1">
        <f>IFERROR(VLOOKUP(1187,'PEDIDO 37'!$C$2:$E$230,3,0),0)</f>
        <v>0</v>
      </c>
      <c r="F2970" s="1">
        <f>IFERROR(VLOOKUP(1188,'PEDIDO 37'!$C$2:$E$230,3,0),0)</f>
        <v>0</v>
      </c>
      <c r="G2970" s="18">
        <f t="shared" si="85"/>
        <v>0</v>
      </c>
    </row>
    <row r="2971" spans="1:7" ht="15.75" x14ac:dyDescent="0.25">
      <c r="A2971" s="15">
        <f>'PEDIDO 37'!$B$2</f>
        <v>0</v>
      </c>
      <c r="B2971" s="12" t="s">
        <v>452</v>
      </c>
      <c r="C2971" s="1">
        <f>IFERROR(VLOOKUP(1189,'PEDIDO 37'!$C$2:$E$230,3,0),0)</f>
        <v>0</v>
      </c>
      <c r="D2971" s="1">
        <f>IFERROR(VLOOKUP(1190,'PEDIDO 37'!$C$2:$E$230,3,0),0)</f>
        <v>0</v>
      </c>
      <c r="E2971" s="1">
        <f>IFERROR(VLOOKUP(1191,'PEDIDO 37'!$C$2:$E$230,3,0),0)</f>
        <v>0</v>
      </c>
      <c r="F2971" s="1">
        <f>IFERROR(VLOOKUP(1192,'PEDIDO 37'!$C$2:$E$230,3,0),0)</f>
        <v>0</v>
      </c>
      <c r="G2971" s="18">
        <f t="shared" si="85"/>
        <v>0</v>
      </c>
    </row>
    <row r="2972" spans="1:7" ht="15.75" x14ac:dyDescent="0.25">
      <c r="A2972" s="15">
        <f>'PEDIDO 37'!$B$2</f>
        <v>0</v>
      </c>
      <c r="B2972" s="12" t="s">
        <v>453</v>
      </c>
      <c r="C2972" s="1">
        <f>IFERROR(VLOOKUP(1193,'PEDIDO 37'!$C$2:$E$230,3,0),0)</f>
        <v>0</v>
      </c>
      <c r="D2972" s="1">
        <f>IFERROR(VLOOKUP(1194,'PEDIDO 37'!$C$2:$E$230,3,0),0)</f>
        <v>0</v>
      </c>
      <c r="E2972" s="1">
        <f>IFERROR(VLOOKUP(1195,'PEDIDO 37'!$C$2:$E$230,3,0),0)</f>
        <v>0</v>
      </c>
      <c r="F2972" s="1">
        <f>IFERROR(VLOOKUP(1196,'PEDIDO 37'!$C$2:$E$230,3,0),0)</f>
        <v>0</v>
      </c>
      <c r="G2972" s="18">
        <f t="shared" si="85"/>
        <v>0</v>
      </c>
    </row>
    <row r="2973" spans="1:7" ht="15.75" x14ac:dyDescent="0.25">
      <c r="A2973" s="15">
        <f>'PEDIDO 37'!$B$2</f>
        <v>0</v>
      </c>
      <c r="B2973" s="12" t="s">
        <v>454</v>
      </c>
      <c r="C2973" s="1">
        <f>IFERROR(VLOOKUP(1197,'PEDIDO 37'!$C$2:$E$230,3,0),0)</f>
        <v>0</v>
      </c>
      <c r="D2973" s="1">
        <f>IFERROR(VLOOKUP(1198,'PEDIDO 37'!$C$2:$E$230,3,0),0)</f>
        <v>0</v>
      </c>
      <c r="E2973" s="1">
        <f>IFERROR(VLOOKUP(1199,'PEDIDO 37'!$C$2:$E$230,3,0),0)</f>
        <v>0</v>
      </c>
      <c r="F2973" s="1">
        <f>IFERROR(VLOOKUP(1200,'PEDIDO 37'!$C$2:$E$230,3,0),0)</f>
        <v>0</v>
      </c>
      <c r="G2973" s="18">
        <f t="shared" si="85"/>
        <v>0</v>
      </c>
    </row>
    <row r="2974" spans="1:7" ht="15.75" x14ac:dyDescent="0.25">
      <c r="A2974" s="15">
        <f>'PEDIDO 37'!$B$2</f>
        <v>0</v>
      </c>
      <c r="B2974" s="12" t="s">
        <v>455</v>
      </c>
      <c r="C2974" s="1">
        <f>IFERROR(VLOOKUP(1201,'PEDIDO 37'!$C$2:$E$230,3,0),0)</f>
        <v>0</v>
      </c>
      <c r="D2974" s="1">
        <f>IFERROR(VLOOKUP(1202,'PEDIDO 37'!$C$2:$E$230,3,0),0)</f>
        <v>0</v>
      </c>
      <c r="E2974" s="1">
        <f>IFERROR(VLOOKUP(1203,'PEDIDO 37'!$C$2:$E$230,3,0),0)</f>
        <v>0</v>
      </c>
      <c r="F2974" s="1">
        <f>IFERROR(VLOOKUP(1204,'PEDIDO 37'!$C$2:$E$230,3,0),0)</f>
        <v>0</v>
      </c>
      <c r="G2974" s="18">
        <f t="shared" si="85"/>
        <v>0</v>
      </c>
    </row>
    <row r="2975" spans="1:7" ht="15.75" x14ac:dyDescent="0.25">
      <c r="A2975" s="15">
        <f>'PEDIDO 37'!$B$2</f>
        <v>0</v>
      </c>
      <c r="B2975" s="12" t="s">
        <v>456</v>
      </c>
      <c r="C2975" s="1">
        <f>IFERROR(VLOOKUP(1205,'PEDIDO 37'!$C$2:$E$230,3,0),0)</f>
        <v>0</v>
      </c>
      <c r="D2975" s="1">
        <f>IFERROR(VLOOKUP(1206,'PEDIDO 37'!$C$2:$E$230,3,0),0)</f>
        <v>0</v>
      </c>
      <c r="E2975" s="1">
        <f>IFERROR(VLOOKUP(1207,'PEDIDO 37'!$C$2:$E$230,3,0),0)</f>
        <v>0</v>
      </c>
      <c r="F2975" s="1">
        <f>IFERROR(VLOOKUP(1208,'PEDIDO 37'!$C$2:$E$230,3,0),0)</f>
        <v>0</v>
      </c>
      <c r="G2975" s="18">
        <f t="shared" si="85"/>
        <v>0</v>
      </c>
    </row>
    <row r="2976" spans="1:7" ht="15.75" x14ac:dyDescent="0.25">
      <c r="A2976" s="15">
        <f>'PEDIDO 37'!$B$2</f>
        <v>0</v>
      </c>
      <c r="B2976" s="12" t="s">
        <v>457</v>
      </c>
      <c r="C2976" s="1">
        <f>IFERROR(VLOOKUP(1213,'PEDIDO 37'!$C$2:$E$230,3,0),0)</f>
        <v>0</v>
      </c>
      <c r="D2976" s="1">
        <f>IFERROR(VLOOKUP(1214,'PEDIDO 37'!$C$2:$E$230,3,0),0)</f>
        <v>0</v>
      </c>
      <c r="E2976" s="1">
        <f>IFERROR(VLOOKUP(1215,'PEDIDO 37'!$C$2:$E$230,3,0),0)</f>
        <v>0</v>
      </c>
      <c r="F2976" s="10">
        <f>IFERROR(VLOOKUP(1216,'PEDIDO 37'!$C$2:$E$230,3,0),0)</f>
        <v>0</v>
      </c>
      <c r="G2976" s="18">
        <f t="shared" si="85"/>
        <v>0</v>
      </c>
    </row>
    <row r="2977" spans="1:7" ht="15.75" x14ac:dyDescent="0.25">
      <c r="A2977" s="15">
        <f>'PEDIDO 37'!$B$2</f>
        <v>0</v>
      </c>
      <c r="B2977" s="12" t="s">
        <v>458</v>
      </c>
      <c r="C2977" s="1">
        <f>IFERROR(VLOOKUP(1209,'PEDIDO 37'!$C$2:$E$230,3,0),0)</f>
        <v>0</v>
      </c>
      <c r="D2977" s="1">
        <f>IFERROR(VLOOKUP(1210,'PEDIDO 37'!$C$2:$E$230,3,0),0)</f>
        <v>0</v>
      </c>
      <c r="E2977" s="1">
        <f>IFERROR(VLOOKUP(1211,'PEDIDO 37'!$C$2:$E$230,3,0),0)</f>
        <v>0</v>
      </c>
      <c r="F2977" s="1">
        <f>IFERROR(VLOOKUP(1212,'PEDIDO 37'!$C$2:$E$230,3,0),0)</f>
        <v>0</v>
      </c>
      <c r="G2977" s="18">
        <f t="shared" si="85"/>
        <v>0</v>
      </c>
    </row>
    <row r="2978" spans="1:7" ht="15.75" x14ac:dyDescent="0.25">
      <c r="A2978" s="15">
        <f>'PEDIDO 37'!$B$2</f>
        <v>0</v>
      </c>
      <c r="B2978" s="12" t="s">
        <v>459</v>
      </c>
      <c r="C2978" s="1">
        <f>IFERROR(VLOOKUP(1217,'PEDIDO 37'!$C$2:$E$230,3,0),0)</f>
        <v>0</v>
      </c>
      <c r="D2978" s="1">
        <f>IFERROR(VLOOKUP(1218,'PEDIDO 37'!$C$2:$E$230,3,0),0)</f>
        <v>0</v>
      </c>
      <c r="E2978" s="1">
        <f>IFERROR(VLOOKUP(1219,'PEDIDO 37'!$C$2:$E$230,3,0),0)</f>
        <v>0</v>
      </c>
      <c r="F2978" s="1">
        <f>IFERROR(VLOOKUP(1220,'PEDIDO 37'!$C$2:$E$230,3,0),0)</f>
        <v>0</v>
      </c>
      <c r="G2978" s="18">
        <f t="shared" si="85"/>
        <v>0</v>
      </c>
    </row>
    <row r="2979" spans="1:7" ht="15.75" x14ac:dyDescent="0.25">
      <c r="A2979" s="15">
        <f>'PEDIDO 37'!$B$2</f>
        <v>0</v>
      </c>
      <c r="B2979" s="12" t="s">
        <v>461</v>
      </c>
      <c r="C2979" s="1">
        <f>IFERROR(VLOOKUP(1225,'PEDIDO 37'!$C$2:$E$230,3,0),0)</f>
        <v>0</v>
      </c>
      <c r="D2979" s="1">
        <f>IFERROR(VLOOKUP(1226,'PEDIDO 37'!$C$2:$E$230,3,0),0)</f>
        <v>0</v>
      </c>
      <c r="E2979" s="1">
        <f>IFERROR(VLOOKUP(1227,'PEDIDO 37'!$C$2:$E$230,3,0),0)</f>
        <v>0</v>
      </c>
      <c r="F2979" s="1">
        <f>IFERROR(VLOOKUP(1228,'PEDIDO 37'!$C$2:$E$230,3,0),0)</f>
        <v>0</v>
      </c>
      <c r="G2979" s="18">
        <f t="shared" si="85"/>
        <v>0</v>
      </c>
    </row>
    <row r="2980" spans="1:7" ht="15.75" x14ac:dyDescent="0.25">
      <c r="A2980" s="15">
        <f>'PEDIDO 37'!$B$2</f>
        <v>0</v>
      </c>
      <c r="B2980" s="12" t="s">
        <v>462</v>
      </c>
      <c r="C2980" s="1">
        <f>IFERROR(VLOOKUP(1221,'PEDIDO 37'!$C$2:$E$230,3,0),0)</f>
        <v>0</v>
      </c>
      <c r="D2980" s="1">
        <f>IFERROR(VLOOKUP(1222,'PEDIDO 37'!$C$2:$E$230,3,0),0)</f>
        <v>0</v>
      </c>
      <c r="E2980" s="1">
        <f>IFERROR(VLOOKUP(1223,'PEDIDO 37'!$C$2:$E$230,3,0),0)</f>
        <v>0</v>
      </c>
      <c r="F2980" s="1">
        <f>IFERROR(VLOOKUP(1224,'PEDIDO 37'!$C$2:$E$230,3,0),0)</f>
        <v>0</v>
      </c>
      <c r="G2980" s="18">
        <f t="shared" si="85"/>
        <v>0</v>
      </c>
    </row>
    <row r="2981" spans="1:7" ht="15.75" x14ac:dyDescent="0.25">
      <c r="A2981" s="15">
        <f>'PEDIDO 37'!$B$2</f>
        <v>0</v>
      </c>
      <c r="B2981" s="12" t="s">
        <v>460</v>
      </c>
      <c r="C2981" s="1">
        <f>IFERROR(VLOOKUP(1229,'PEDIDO 37'!$C$2:$E$230,3,0),0)</f>
        <v>0</v>
      </c>
      <c r="D2981" s="1">
        <f>IFERROR(VLOOKUP(1230,'PEDIDO 37'!$C$2:$E$230,3,0),0)</f>
        <v>0</v>
      </c>
      <c r="E2981" s="1">
        <f>IFERROR(VLOOKUP(1231,'PEDIDO 37'!$C$2:$E$230,3,0),0)</f>
        <v>0</v>
      </c>
      <c r="F2981" s="1">
        <f>IFERROR(VLOOKUP(1232,'PEDIDO 37'!$C$2:$E$230,3,0),0)</f>
        <v>0</v>
      </c>
      <c r="G2981" s="18">
        <f t="shared" si="85"/>
        <v>0</v>
      </c>
    </row>
    <row r="2982" spans="1:7" ht="15.75" x14ac:dyDescent="0.25">
      <c r="A2982" s="15">
        <f>'PEDIDO 37'!$B$2</f>
        <v>0</v>
      </c>
      <c r="B2982" s="12" t="s">
        <v>463</v>
      </c>
      <c r="C2982" s="1">
        <f>IFERROR(VLOOKUP(1233,'PEDIDO 37'!$C$2:$E$230,3,0),0)</f>
        <v>0</v>
      </c>
      <c r="D2982" s="1">
        <f>IFERROR(VLOOKUP(1234,'PEDIDO 37'!$C$2:$E$230,3,0),0)</f>
        <v>0</v>
      </c>
      <c r="E2982" s="1">
        <f>IFERROR(VLOOKUP(1235,'PEDIDO 37'!$C$2:$E$230,3,0),0)</f>
        <v>0</v>
      </c>
      <c r="F2982" s="1">
        <f>IFERROR(VLOOKUP(1236,'PEDIDO 37'!$C$2:$E$230,3,0),0)</f>
        <v>0</v>
      </c>
      <c r="G2982" s="18">
        <f t="shared" si="85"/>
        <v>0</v>
      </c>
    </row>
    <row r="2983" spans="1:7" ht="15.75" x14ac:dyDescent="0.25">
      <c r="A2983" s="15">
        <f>'PEDIDO 37'!$B$2</f>
        <v>0</v>
      </c>
      <c r="B2983" s="12" t="s">
        <v>464</v>
      </c>
      <c r="C2983" s="1">
        <f>IFERROR(VLOOKUP(1237,'PEDIDO 37'!$C$2:$E$230,3,0),0)</f>
        <v>0</v>
      </c>
      <c r="D2983" s="1">
        <f>IFERROR(VLOOKUP(1238,'PEDIDO 37'!$C$2:$E$230,3,0),0)</f>
        <v>0</v>
      </c>
      <c r="E2983" s="1">
        <f>IFERROR(VLOOKUP(1239,'PEDIDO 37'!$C$2:$E$230,3,0),0)</f>
        <v>0</v>
      </c>
      <c r="F2983" s="1">
        <f>IFERROR(VLOOKUP(1240,'PEDIDO 37'!$C$2:$E$230,3,0),0)</f>
        <v>0</v>
      </c>
      <c r="G2983" s="18">
        <f t="shared" ref="G2983:G2995" si="86">SUM(C2983+D2983+E2983+F2983)</f>
        <v>0</v>
      </c>
    </row>
    <row r="2984" spans="1:7" ht="15.75" x14ac:dyDescent="0.25">
      <c r="A2984" s="15">
        <f>'PEDIDO 37'!$B$2</f>
        <v>0</v>
      </c>
      <c r="B2984" s="12" t="s">
        <v>465</v>
      </c>
      <c r="C2984" s="1">
        <f>IFERROR(VLOOKUP(1241,'PEDIDO 37'!$C$2:$E$230,3,0),0)</f>
        <v>0</v>
      </c>
      <c r="D2984" s="1">
        <f>IFERROR(VLOOKUP(1242,'PEDIDO 37'!$C$2:$E$230,3,0),0)</f>
        <v>0</v>
      </c>
      <c r="E2984" s="1">
        <f>IFERROR(VLOOKUP(1243,'PEDIDO 37'!$C$2:$E$230,3,0),0)</f>
        <v>0</v>
      </c>
      <c r="F2984" s="1">
        <f>IFERROR(VLOOKUP(1244,'PEDIDO 37'!$C$2:$E$230,3,0),0)</f>
        <v>0</v>
      </c>
      <c r="G2984" s="18">
        <f t="shared" si="86"/>
        <v>0</v>
      </c>
    </row>
    <row r="2985" spans="1:7" ht="15.75" x14ac:dyDescent="0.25">
      <c r="A2985" s="15">
        <f>'PEDIDO 37'!$B$2</f>
        <v>0</v>
      </c>
      <c r="B2985" s="12" t="s">
        <v>466</v>
      </c>
      <c r="C2985" s="1">
        <f>IFERROR(VLOOKUP(1245,'PEDIDO 37'!$C$2:$E$230,3,0),0)</f>
        <v>0</v>
      </c>
      <c r="D2985" s="1">
        <f>IFERROR(VLOOKUP(1246,'PEDIDO 37'!$C$2:$E$230,3,0),0)</f>
        <v>0</v>
      </c>
      <c r="E2985" s="1">
        <f>IFERROR(VLOOKUP(1247,'PEDIDO 37'!$C$2:$E$230,3,0),0)</f>
        <v>0</v>
      </c>
      <c r="F2985" s="1">
        <f>IFERROR(VLOOKUP(1248,'PEDIDO 37'!$C$2:$E$230,3,0),0)</f>
        <v>0</v>
      </c>
      <c r="G2985" s="18">
        <f t="shared" si="86"/>
        <v>0</v>
      </c>
    </row>
    <row r="2986" spans="1:7" ht="15.75" x14ac:dyDescent="0.25">
      <c r="A2986" s="15">
        <f>'PEDIDO 37'!$B$2</f>
        <v>0</v>
      </c>
      <c r="B2986" s="12" t="s">
        <v>467</v>
      </c>
      <c r="C2986" s="1">
        <f>IFERROR(VLOOKUP(25714,'PEDIDO 37'!$C$2:$E$230,3,0),0)</f>
        <v>0</v>
      </c>
      <c r="D2986" s="1"/>
      <c r="E2986" s="1"/>
      <c r="F2986" s="1"/>
      <c r="G2986" s="18">
        <f t="shared" si="86"/>
        <v>0</v>
      </c>
    </row>
    <row r="2987" spans="1:7" ht="15.75" x14ac:dyDescent="0.25">
      <c r="A2987" s="15">
        <f>'PEDIDO 37'!$B$2</f>
        <v>0</v>
      </c>
      <c r="B2987" s="12" t="s">
        <v>468</v>
      </c>
      <c r="C2987" s="1">
        <f>IFERROR(VLOOKUP(25712,'PEDIDO 37'!$C$2:$E$230,3,0),0)</f>
        <v>0</v>
      </c>
      <c r="D2987" s="1"/>
      <c r="E2987" s="1"/>
      <c r="F2987" s="1"/>
      <c r="G2987" s="18">
        <f t="shared" si="86"/>
        <v>0</v>
      </c>
    </row>
    <row r="2988" spans="1:7" ht="15.75" x14ac:dyDescent="0.25">
      <c r="A2988" s="15">
        <f>'PEDIDO 37'!$B$2</f>
        <v>0</v>
      </c>
      <c r="B2988" s="12" t="s">
        <v>469</v>
      </c>
      <c r="C2988" s="1">
        <f>IFERROR(VLOOKUP(25713,'PEDIDO 37'!$C$2:$E$230,3,0),0)</f>
        <v>0</v>
      </c>
      <c r="D2988" s="1"/>
      <c r="E2988" s="1"/>
      <c r="F2988" s="1"/>
      <c r="G2988" s="18">
        <f t="shared" si="86"/>
        <v>0</v>
      </c>
    </row>
    <row r="2989" spans="1:7" ht="15.75" x14ac:dyDescent="0.25">
      <c r="A2989" s="15">
        <f>'PEDIDO 37'!$B$2</f>
        <v>0</v>
      </c>
      <c r="B2989" s="12" t="s">
        <v>470</v>
      </c>
      <c r="C2989" s="1">
        <f>IFERROR(VLOOKUP(1260,'PEDIDO 37'!$C$2:$E$230,3,0),0)</f>
        <v>0</v>
      </c>
      <c r="D2989" s="1"/>
      <c r="E2989" s="1"/>
      <c r="F2989" s="1"/>
      <c r="G2989" s="18">
        <f t="shared" si="86"/>
        <v>0</v>
      </c>
    </row>
    <row r="2990" spans="1:7" ht="15.75" x14ac:dyDescent="0.25">
      <c r="A2990" s="15">
        <f>'PEDIDO 37'!$B$2</f>
        <v>0</v>
      </c>
      <c r="B2990" s="12" t="s">
        <v>471</v>
      </c>
      <c r="C2990" s="1">
        <f>IFERROR(VLOOKUP(1261,'PEDIDO 37'!$C$2:$E$230,3,0),0)</f>
        <v>0</v>
      </c>
      <c r="D2990" s="1"/>
      <c r="E2990" s="1"/>
      <c r="F2990" s="1"/>
      <c r="G2990" s="18">
        <f t="shared" si="86"/>
        <v>0</v>
      </c>
    </row>
    <row r="2991" spans="1:7" ht="15.75" x14ac:dyDescent="0.25">
      <c r="A2991" s="15">
        <f>'PEDIDO 37'!$B$2</f>
        <v>0</v>
      </c>
      <c r="B2991" s="12" t="s">
        <v>472</v>
      </c>
      <c r="C2991" s="1">
        <f>IFERROR(VLOOKUP(1262,'PEDIDO 37'!$C$2:$E$230,3,0),0)</f>
        <v>0</v>
      </c>
      <c r="D2991" s="1"/>
      <c r="E2991" s="1"/>
      <c r="F2991" s="1"/>
      <c r="G2991" s="18">
        <f t="shared" si="86"/>
        <v>0</v>
      </c>
    </row>
    <row r="2992" spans="1:7" ht="15.75" x14ac:dyDescent="0.25">
      <c r="A2992" s="15">
        <f>'PEDIDO 37'!$B$2</f>
        <v>0</v>
      </c>
      <c r="B2992" s="12" t="s">
        <v>473</v>
      </c>
      <c r="C2992" s="1">
        <f>IFERROR(VLOOKUP(1263,'PEDIDO 37'!$C$2:$E$230,3,0),0)</f>
        <v>0</v>
      </c>
      <c r="D2992" s="1"/>
      <c r="E2992" s="1"/>
      <c r="F2992" s="1"/>
      <c r="G2992" s="18">
        <f t="shared" si="86"/>
        <v>0</v>
      </c>
    </row>
    <row r="2993" spans="1:7" ht="15.75" x14ac:dyDescent="0.25">
      <c r="A2993" s="15">
        <f>'PEDIDO 37'!$B$2</f>
        <v>0</v>
      </c>
      <c r="B2993" s="12" t="s">
        <v>474</v>
      </c>
      <c r="C2993" s="1">
        <f>IFERROR(VLOOKUP(1264,'PEDIDO 37'!$C$2:$E$230,3,0),0)</f>
        <v>0</v>
      </c>
      <c r="D2993" s="1"/>
      <c r="E2993" s="1"/>
      <c r="F2993" s="1"/>
      <c r="G2993" s="18">
        <f t="shared" si="86"/>
        <v>0</v>
      </c>
    </row>
    <row r="2994" spans="1:7" ht="15.75" x14ac:dyDescent="0.25">
      <c r="A2994" s="15">
        <f>'PEDIDO 37'!$B$2</f>
        <v>0</v>
      </c>
      <c r="B2994" s="12" t="s">
        <v>475</v>
      </c>
      <c r="C2994" s="1">
        <f>IFERROR(VLOOKUP(1265,'PEDIDO 37'!$C$2:$E$230,3,0),0)</f>
        <v>0</v>
      </c>
      <c r="D2994" s="1"/>
      <c r="E2994" s="1"/>
      <c r="F2994" s="1"/>
      <c r="G2994" s="18">
        <f t="shared" si="86"/>
        <v>0</v>
      </c>
    </row>
    <row r="2995" spans="1:7" ht="15.75" x14ac:dyDescent="0.25">
      <c r="A2995" s="15">
        <f>'PEDIDO 37'!$B$2</f>
        <v>0</v>
      </c>
      <c r="B2995" s="12" t="s">
        <v>476</v>
      </c>
      <c r="C2995" s="1">
        <f>IFERROR(VLOOKUP(1266,'PEDIDO 37'!$C$2:$E$230,3,0),0)</f>
        <v>0</v>
      </c>
      <c r="D2995" s="1"/>
      <c r="E2995" s="1"/>
      <c r="F2995" s="1"/>
      <c r="G2995" s="18">
        <f t="shared" si="86"/>
        <v>0</v>
      </c>
    </row>
    <row r="2996" spans="1:7" ht="15.75" x14ac:dyDescent="0.25">
      <c r="A2996" s="15">
        <f>'PEDIDO 37'!$B$2</f>
        <v>0</v>
      </c>
      <c r="B2996" s="12" t="s">
        <v>477</v>
      </c>
      <c r="C2996" s="1">
        <f>IFERROR(VLOOKUP(1268,'PEDIDO 37'!$C$2:$E$230,3,0),0)</f>
        <v>0</v>
      </c>
      <c r="D2996" s="1">
        <f>IFERROR(VLOOKUP(1269,'PEDIDO 37'!$C$2:$E$230,3,0),0)</f>
        <v>0</v>
      </c>
      <c r="E2996" s="1">
        <f>IFERROR(VLOOKUP(1270,'PEDIDO 37'!$C$2:$E$230,3,0),0)</f>
        <v>0</v>
      </c>
      <c r="F2996" s="1">
        <f>IFERROR(VLOOKUP(1271,'PEDIDO 37'!$C$2:$E$230,3,0),0)</f>
        <v>0</v>
      </c>
      <c r="G2996" s="18">
        <f t="shared" ref="G2996" si="87">SUM(C2996+D2996+E2996+F2996)</f>
        <v>0</v>
      </c>
    </row>
    <row r="2999" spans="1:7" ht="15.75" x14ac:dyDescent="0.25">
      <c r="A2999" s="15">
        <f>'PEDIDO 38'!$B$2</f>
        <v>0</v>
      </c>
      <c r="B2999" s="12" t="s">
        <v>399</v>
      </c>
      <c r="C2999" s="1">
        <f>IFERROR(VLOOKUP(1,'PEDIDO 38'!$C$2:$E$230,3,0),0)</f>
        <v>0</v>
      </c>
      <c r="D2999" s="1">
        <f>IFERROR(VLOOKUP(2,'PEDIDO 38'!$C$2:$E$230,3,0),0)</f>
        <v>0</v>
      </c>
      <c r="E2999" s="1">
        <f>IFERROR(VLOOKUP(3,'PEDIDO 38'!$C$2:$E$230,3,0),0)</f>
        <v>0</v>
      </c>
      <c r="F2999" s="1">
        <f>IFERROR(VLOOKUP(282,'PEDIDO 38'!$C$2:$E$230,3,0),0)</f>
        <v>0</v>
      </c>
      <c r="G2999" s="18">
        <f>SUM(C2999+D2999+E2999+F2999)</f>
        <v>0</v>
      </c>
    </row>
    <row r="3000" spans="1:7" ht="15.75" x14ac:dyDescent="0.25">
      <c r="A3000" s="15">
        <f>'PEDIDO 38'!$B$2</f>
        <v>0</v>
      </c>
      <c r="B3000" s="12" t="s">
        <v>400</v>
      </c>
      <c r="C3000" s="1">
        <f>IFERROR(VLOOKUP(5,'PEDIDO 38'!$C$2:$E$230,3,0),0)</f>
        <v>0</v>
      </c>
      <c r="D3000" s="1">
        <f>IFERROR(VLOOKUP(6,'PEDIDO 38'!$C$2:$E$230,3,0),0)</f>
        <v>0</v>
      </c>
      <c r="E3000" s="1">
        <f>IFERROR(VLOOKUP(7,'PEDIDO 38'!$C$2:$E$230,3,0),0)</f>
        <v>0</v>
      </c>
      <c r="F3000" s="1">
        <f>IFERROR(VLOOKUP(258,'PEDIDO 38'!$C$2:$E$230,3,0),0)</f>
        <v>0</v>
      </c>
      <c r="G3000" s="18">
        <f t="shared" ref="G3000:G3063" si="88">SUM(C3000+D3000+E3000+F3000)</f>
        <v>0</v>
      </c>
    </row>
    <row r="3001" spans="1:7" ht="15.75" x14ac:dyDescent="0.25">
      <c r="A3001" s="15">
        <f>'PEDIDO 38'!$B$2</f>
        <v>0</v>
      </c>
      <c r="B3001" s="12" t="s">
        <v>401</v>
      </c>
      <c r="C3001" s="1">
        <f>IFERROR(VLOOKUP(13,'PEDIDO 38'!$C$2:$E$230,3,0),0)</f>
        <v>0</v>
      </c>
      <c r="D3001" s="1">
        <f>IFERROR(VLOOKUP(14,'PEDIDO 38'!$C$2:$E$230,3,0),0)</f>
        <v>0</v>
      </c>
      <c r="E3001" s="1">
        <f>IFERROR(VLOOKUP(15,'PEDIDO 38'!$C$2:$E$230,3,0),0)</f>
        <v>0</v>
      </c>
      <c r="F3001" s="1">
        <f>IFERROR(VLOOKUP(289,'PEDIDO 38'!$C$2:$E$230,3,0),0)</f>
        <v>0</v>
      </c>
      <c r="G3001" s="18">
        <f t="shared" si="88"/>
        <v>0</v>
      </c>
    </row>
    <row r="3002" spans="1:7" ht="15.75" x14ac:dyDescent="0.25">
      <c r="A3002" s="15">
        <f>'PEDIDO 38'!$B$2</f>
        <v>0</v>
      </c>
      <c r="B3002" s="12" t="s">
        <v>402</v>
      </c>
      <c r="C3002" s="1">
        <f>IFERROR(VLOOKUP(267,'PEDIDO 38'!$C$2:$E$230,3,0),0)</f>
        <v>0</v>
      </c>
      <c r="D3002" s="1">
        <f>IFERROR(VLOOKUP(268,'PEDIDO 38'!$C$2:$E$230,3,0),0)</f>
        <v>0</v>
      </c>
      <c r="E3002" s="1">
        <f>IFERROR(VLOOKUP(270,'PEDIDO 38'!$C$2:$E$230,3,0),0)</f>
        <v>0</v>
      </c>
      <c r="F3002" s="1">
        <f>IFERROR(VLOOKUP(269,'PEDIDO 38'!$C$2:$E$230,3,0),0)</f>
        <v>0</v>
      </c>
      <c r="G3002" s="18">
        <f t="shared" si="88"/>
        <v>0</v>
      </c>
    </row>
    <row r="3003" spans="1:7" ht="15.75" x14ac:dyDescent="0.25">
      <c r="A3003" s="15">
        <f>'PEDIDO 38'!$B$2</f>
        <v>0</v>
      </c>
      <c r="B3003" s="12" t="s">
        <v>403</v>
      </c>
      <c r="C3003" s="1">
        <f>IFERROR(VLOOKUP(17,'PEDIDO 38'!$C$2:$E$230,3,0),0)</f>
        <v>0</v>
      </c>
      <c r="D3003" s="1">
        <f>IFERROR(VLOOKUP(18,'PEDIDO 38'!$C$2:$E$230,3,0),0)</f>
        <v>0</v>
      </c>
      <c r="E3003" s="1">
        <f>IFERROR(VLOOKUP(19,'PEDIDO 38'!$C$2:$E$230,3,0),0)</f>
        <v>0</v>
      </c>
      <c r="F3003" s="1">
        <f>IFERROR(VLOOKUP(290,'PEDIDO 38'!$C$2:$E$230,3,0),0)</f>
        <v>0</v>
      </c>
      <c r="G3003" s="18">
        <f t="shared" si="88"/>
        <v>0</v>
      </c>
    </row>
    <row r="3004" spans="1:7" ht="15.75" x14ac:dyDescent="0.25">
      <c r="A3004" s="15">
        <f>'PEDIDO 38'!$B$2</f>
        <v>0</v>
      </c>
      <c r="B3004" s="12" t="s">
        <v>404</v>
      </c>
      <c r="C3004" s="1">
        <f>IFERROR(VLOOKUP(23,'PEDIDO 38'!$C$2:$E$230,3,0),0)</f>
        <v>0</v>
      </c>
      <c r="D3004" s="1">
        <f>IFERROR(VLOOKUP(24,'PEDIDO 38'!$C$2:$E$230,3,0),0)</f>
        <v>0</v>
      </c>
      <c r="E3004" s="1">
        <f>IFERROR(VLOOKUP(25,'PEDIDO 38'!$C$2:$E$230,3,0),0)</f>
        <v>0</v>
      </c>
      <c r="F3004" s="1">
        <f>IFERROR(VLOOKUP(291,'PEDIDO 38'!$C$2:$E$230,3,0),0)</f>
        <v>0</v>
      </c>
      <c r="G3004" s="18">
        <f t="shared" si="88"/>
        <v>0</v>
      </c>
    </row>
    <row r="3005" spans="1:7" ht="15.75" x14ac:dyDescent="0.25">
      <c r="A3005" s="15">
        <f>'PEDIDO 38'!$B$2</f>
        <v>0</v>
      </c>
      <c r="B3005" s="12" t="s">
        <v>405</v>
      </c>
      <c r="C3005" s="1">
        <f>IFERROR(VLOOKUP(27,'PEDIDO 38'!$C$2:$E$230,3,0),0)</f>
        <v>0</v>
      </c>
      <c r="D3005" s="1">
        <f>IFERROR(VLOOKUP(28,'PEDIDO 38'!$C$2:$E$230,3,0),0)</f>
        <v>0</v>
      </c>
      <c r="E3005" s="1">
        <f>IFERROR(VLOOKUP(29,'PEDIDO 38'!$C$2:$E$230,3,0),0)</f>
        <v>0</v>
      </c>
      <c r="F3005" s="1">
        <f>IFERROR(VLOOKUP(292,'PEDIDO 38'!$C$2:$E$230,3,0),0)</f>
        <v>0</v>
      </c>
      <c r="G3005" s="18">
        <f t="shared" si="88"/>
        <v>0</v>
      </c>
    </row>
    <row r="3006" spans="1:7" ht="15.75" x14ac:dyDescent="0.25">
      <c r="A3006" s="15">
        <f>'PEDIDO 38'!$B$2</f>
        <v>0</v>
      </c>
      <c r="B3006" s="12" t="s">
        <v>406</v>
      </c>
      <c r="C3006" s="1">
        <f>IFERROR(VLOOKUP(227,'PEDIDO 38'!$C$2:$E$230,3,0),0)</f>
        <v>0</v>
      </c>
      <c r="D3006" s="1">
        <f>IFERROR(VLOOKUP(228,'PEDIDO 38'!$C$2:$E$230,3,0),0)</f>
        <v>0</v>
      </c>
      <c r="E3006" s="1">
        <f>IFERROR(VLOOKUP(229,'PEDIDO 38'!$C$2:$E$230,3,0),0)</f>
        <v>0</v>
      </c>
      <c r="F3006" s="1">
        <f>IFERROR(VLOOKUP(230,'PEDIDO 38'!$C$2:$E$230,3,0),0)</f>
        <v>0</v>
      </c>
      <c r="G3006" s="18">
        <f t="shared" si="88"/>
        <v>0</v>
      </c>
    </row>
    <row r="3007" spans="1:7" ht="15.75" x14ac:dyDescent="0.25">
      <c r="A3007" s="15">
        <f>'PEDIDO 38'!$B$2</f>
        <v>0</v>
      </c>
      <c r="B3007" s="12" t="s">
        <v>407</v>
      </c>
      <c r="C3007" s="1">
        <f>IFERROR(VLOOKUP(231,'PEDIDO 38'!$C$2:$E$230,3,0),0)</f>
        <v>0</v>
      </c>
      <c r="D3007" s="1">
        <f>IFERROR(VLOOKUP(232,'PEDIDO 38'!$C$2:$E$230,3,0),0)</f>
        <v>0</v>
      </c>
      <c r="E3007" s="1">
        <f>IFERROR(VLOOKUP(234,'PEDIDO 38'!$C$2:$E$230,3,0),0)</f>
        <v>0</v>
      </c>
      <c r="F3007" s="1">
        <f>IFERROR(VLOOKUP(233,'PEDIDO 38'!$C$2:$E$230,3,0),0)</f>
        <v>0</v>
      </c>
      <c r="G3007" s="18">
        <f t="shared" si="88"/>
        <v>0</v>
      </c>
    </row>
    <row r="3008" spans="1:7" ht="15.75" x14ac:dyDescent="0.25">
      <c r="A3008" s="15">
        <f>'PEDIDO 38'!$B$2</f>
        <v>0</v>
      </c>
      <c r="B3008" s="12" t="s">
        <v>408</v>
      </c>
      <c r="C3008" s="1">
        <f>IFERROR(VLOOKUP(237,'PEDIDO 38'!$C$2:$E$230,3,0),0)</f>
        <v>0</v>
      </c>
      <c r="D3008" s="1">
        <f>IFERROR(VLOOKUP(238,'PEDIDO 38'!$C$2:$E$230,3,0),0)</f>
        <v>0</v>
      </c>
      <c r="E3008" s="1">
        <f>IFERROR(VLOOKUP(240,'PEDIDO 38'!$C$2:$E$230,3,0),0)</f>
        <v>0</v>
      </c>
      <c r="F3008" s="1">
        <f>IFERROR(VLOOKUP(239,'PEDIDO 38'!$C$2:$E$230,3,0),0)</f>
        <v>0</v>
      </c>
      <c r="G3008" s="18">
        <f t="shared" si="88"/>
        <v>0</v>
      </c>
    </row>
    <row r="3009" spans="1:7" ht="15.75" x14ac:dyDescent="0.25">
      <c r="A3009" s="15">
        <f>'PEDIDO 38'!$B$2</f>
        <v>0</v>
      </c>
      <c r="B3009" s="12" t="s">
        <v>409</v>
      </c>
      <c r="C3009" s="1">
        <f>IFERROR(VLOOKUP(25707,'PEDIDO 38'!$C$2:$E$230,3,0),0)</f>
        <v>0</v>
      </c>
      <c r="D3009" s="1">
        <f>IFERROR(VLOOKUP(25708,'PEDIDO 38'!$C$2:$E$230,3,0),0)</f>
        <v>0</v>
      </c>
      <c r="E3009" s="1">
        <f>IFERROR(VLOOKUP(25710,'PEDIDO 38'!$C$2:$E$230,3,0),0)</f>
        <v>0</v>
      </c>
      <c r="F3009" s="1">
        <f>IFERROR(VLOOKUP(25709,'PEDIDO 38'!$C$2:$E$230,3,0),0)</f>
        <v>0</v>
      </c>
      <c r="G3009" s="18">
        <f t="shared" si="88"/>
        <v>0</v>
      </c>
    </row>
    <row r="3010" spans="1:7" ht="15.75" x14ac:dyDescent="0.25">
      <c r="A3010" s="15">
        <f>'PEDIDO 38'!$B$2</f>
        <v>0</v>
      </c>
      <c r="B3010" s="12" t="s">
        <v>410</v>
      </c>
      <c r="C3010" s="1">
        <f>IFERROR(VLOOKUP(25711,'PEDIDO 38'!$C$2:$E$230,3,0),0)</f>
        <v>0</v>
      </c>
      <c r="D3010" s="1"/>
      <c r="E3010" s="1"/>
      <c r="F3010" s="1"/>
      <c r="G3010" s="18">
        <f t="shared" si="88"/>
        <v>0</v>
      </c>
    </row>
    <row r="3011" spans="1:7" ht="15.75" x14ac:dyDescent="0.25">
      <c r="A3011" s="15">
        <f>'PEDIDO 38'!$B$2</f>
        <v>0</v>
      </c>
      <c r="B3011" s="12" t="s">
        <v>411</v>
      </c>
      <c r="C3011" s="1">
        <f>IFERROR(VLOOKUP(35,'PEDIDO 38'!$C$2:$E$230,3,0),0)</f>
        <v>0</v>
      </c>
      <c r="D3011" s="1">
        <f>IFERROR(VLOOKUP(36,'PEDIDO 38'!$C$2:$E$230,3,0),0)</f>
        <v>0</v>
      </c>
      <c r="E3011" s="1">
        <f>IFERROR(VLOOKUP(37,'PEDIDO 38'!$C$2:$E$230,3,0),0)</f>
        <v>0</v>
      </c>
      <c r="F3011" s="1">
        <f>IFERROR(VLOOKUP(294,'PEDIDO 38'!$C$2:$E$230,3,0),0)</f>
        <v>0</v>
      </c>
      <c r="G3011" s="18">
        <f t="shared" si="88"/>
        <v>0</v>
      </c>
    </row>
    <row r="3012" spans="1:7" ht="15.75" x14ac:dyDescent="0.25">
      <c r="A3012" s="15">
        <f>'PEDIDO 38'!$B$2</f>
        <v>0</v>
      </c>
      <c r="B3012" s="12" t="s">
        <v>412</v>
      </c>
      <c r="C3012" s="1">
        <f>IFERROR(VLOOKUP(39,'PEDIDO 38'!$C$2:$E$230,3,0),0)</f>
        <v>0</v>
      </c>
      <c r="D3012" s="1">
        <f>IFERROR(VLOOKUP(40,'PEDIDO 38'!$C$2:$E$230,3,0),0)</f>
        <v>0</v>
      </c>
      <c r="E3012" s="1">
        <f>IFERROR(VLOOKUP(42,'PEDIDO 38'!$C$2:$E$230,3,0),0)</f>
        <v>0</v>
      </c>
      <c r="F3012" s="1">
        <f>IFERROR(VLOOKUP(295,'PEDIDO 38'!$C$2:$E$230,3,0),0)</f>
        <v>0</v>
      </c>
      <c r="G3012" s="18">
        <f t="shared" si="88"/>
        <v>0</v>
      </c>
    </row>
    <row r="3013" spans="1:7" ht="15.75" x14ac:dyDescent="0.25">
      <c r="A3013" s="15">
        <f>'PEDIDO 38'!$B$2</f>
        <v>0</v>
      </c>
      <c r="B3013" s="12" t="s">
        <v>413</v>
      </c>
      <c r="C3013" s="1">
        <f>IFERROR(VLOOKUP(44,'PEDIDO 38'!$C$2:$E$230,3,0),0)</f>
        <v>0</v>
      </c>
      <c r="D3013" s="1">
        <f>IFERROR(VLOOKUP(45,'PEDIDO 38'!$C$2:$E$230,3,0),0)</f>
        <v>0</v>
      </c>
      <c r="E3013" s="1">
        <f>IFERROR(VLOOKUP(46,'PEDIDO 38'!$C$2:$E$230,3,0),0)</f>
        <v>0</v>
      </c>
      <c r="F3013" s="1">
        <f>IFERROR(VLOOKUP(283,'PEDIDO 38'!$C$2:$E$230,3,0),0)</f>
        <v>0</v>
      </c>
      <c r="G3013" s="18">
        <f t="shared" si="88"/>
        <v>0</v>
      </c>
    </row>
    <row r="3014" spans="1:7" ht="15.75" x14ac:dyDescent="0.25">
      <c r="A3014" s="15">
        <f>'PEDIDO 38'!$B$2</f>
        <v>0</v>
      </c>
      <c r="B3014" s="12" t="s">
        <v>414</v>
      </c>
      <c r="C3014" s="1">
        <f>IFERROR(VLOOKUP(48,'PEDIDO 38'!$C$2:$E$230,3,0),0)</f>
        <v>0</v>
      </c>
      <c r="D3014" s="1">
        <f>IFERROR(VLOOKUP(49,'PEDIDO 38'!$C$2:$E$230,3,0),0)</f>
        <v>0</v>
      </c>
      <c r="E3014" s="1">
        <f>IFERROR(VLOOKUP(50,'PEDIDO 38'!$C$2:$E$230,3,0),0)</f>
        <v>0</v>
      </c>
      <c r="F3014" s="1">
        <f>IFERROR(VLOOKUP(298,'PEDIDO 38'!$C$2:$E$230,3,0),0)</f>
        <v>0</v>
      </c>
      <c r="G3014" s="18">
        <f t="shared" si="88"/>
        <v>0</v>
      </c>
    </row>
    <row r="3015" spans="1:7" ht="15.75" x14ac:dyDescent="0.25">
      <c r="A3015" s="15">
        <f>'PEDIDO 38'!$B$2</f>
        <v>0</v>
      </c>
      <c r="B3015" s="12" t="s">
        <v>415</v>
      </c>
      <c r="C3015" s="1">
        <f>IFERROR(VLOOKUP(52,'PEDIDO 38'!$C$2:$E$230,3,0),0)</f>
        <v>0</v>
      </c>
      <c r="D3015" s="1">
        <f>IFERROR(VLOOKUP(53,'PEDIDO 38'!$C$2:$E$230,3,0),0)</f>
        <v>0</v>
      </c>
      <c r="E3015" s="1">
        <f>IFERROR(VLOOKUP(54,'PEDIDO 38'!$C$2:$E$230,3,0),0)</f>
        <v>0</v>
      </c>
      <c r="F3015" s="1">
        <f>IFERROR(VLOOKUP(299,'PEDIDO 38'!$C$2:$E$230,3,0),0)</f>
        <v>0</v>
      </c>
      <c r="G3015" s="18">
        <f t="shared" si="88"/>
        <v>0</v>
      </c>
    </row>
    <row r="3016" spans="1:7" ht="15.75" x14ac:dyDescent="0.25">
      <c r="A3016" s="15">
        <f>'PEDIDO 38'!$B$2</f>
        <v>0</v>
      </c>
      <c r="B3016" s="12" t="s">
        <v>416</v>
      </c>
      <c r="C3016" s="1">
        <f>IFERROR(VLOOKUP(56,'PEDIDO 38'!$C$2:$E$230,3,0),0)</f>
        <v>0</v>
      </c>
      <c r="D3016" s="1">
        <f>IFERROR(VLOOKUP(61,'PEDIDO 38'!$C$2:$E$230,3,0),0)</f>
        <v>0</v>
      </c>
      <c r="E3016" s="1">
        <f>IFERROR(VLOOKUP(58,'PEDIDO 38'!$C$2:$E$230,3,0),0)</f>
        <v>0</v>
      </c>
      <c r="F3016" s="1">
        <f>IFERROR(VLOOKUP(300,'PEDIDO 38'!$C$2:$E$230,3,0),0)</f>
        <v>0</v>
      </c>
      <c r="G3016" s="18">
        <f t="shared" si="88"/>
        <v>0</v>
      </c>
    </row>
    <row r="3017" spans="1:7" ht="15.75" x14ac:dyDescent="0.25">
      <c r="A3017" s="15">
        <f>'PEDIDO 38'!$B$2</f>
        <v>0</v>
      </c>
      <c r="B3017" s="12" t="s">
        <v>417</v>
      </c>
      <c r="C3017" s="1">
        <f>IFERROR(VLOOKUP(60,'PEDIDO 38'!$C$2:$E$230,3,0),0)</f>
        <v>0</v>
      </c>
      <c r="D3017" s="1">
        <f>IFERROR(VLOOKUP(120,'PEDIDO 38'!$C$2:$E$230,3,0),0)</f>
        <v>0</v>
      </c>
      <c r="E3017" s="1">
        <f>IFERROR(VLOOKUP(62,'PEDIDO 38'!$C$2:$E$230,3,0),0)</f>
        <v>0</v>
      </c>
      <c r="F3017" s="1">
        <f>IFERROR(VLOOKUP(301,'PEDIDO 38'!$C$2:$E$230,3,0),0)</f>
        <v>0</v>
      </c>
      <c r="G3017" s="18">
        <f t="shared" si="88"/>
        <v>0</v>
      </c>
    </row>
    <row r="3018" spans="1:7" ht="15.75" x14ac:dyDescent="0.25">
      <c r="A3018" s="15">
        <f>'PEDIDO 38'!$B$2</f>
        <v>0</v>
      </c>
      <c r="B3018" s="12" t="s">
        <v>426</v>
      </c>
      <c r="C3018" s="1">
        <f>IFERROR(VLOOKUP(112,'PEDIDO 38'!$C$2:$E$230,3,0),0)</f>
        <v>0</v>
      </c>
      <c r="D3018" s="1">
        <f>IFERROR(VLOOKUP(113,'PEDIDO 38'!$C$2:$E$230,3,0),0)</f>
        <v>0</v>
      </c>
      <c r="E3018" s="1">
        <f>IFERROR(VLOOKUP(114,'PEDIDO 38'!$C$2:$E$230,3,0),0)</f>
        <v>0</v>
      </c>
      <c r="F3018" s="1">
        <f>IFERROR(VLOOKUP(296,'PEDIDO 38'!$C$2:$E$230,3,0),0)</f>
        <v>0</v>
      </c>
      <c r="G3018" s="18">
        <f t="shared" si="88"/>
        <v>0</v>
      </c>
    </row>
    <row r="3019" spans="1:7" ht="15.75" x14ac:dyDescent="0.25">
      <c r="A3019" s="15">
        <f>'PEDIDO 38'!$B$2</f>
        <v>0</v>
      </c>
      <c r="B3019" s="12" t="s">
        <v>427</v>
      </c>
      <c r="C3019" s="1">
        <f>IFERROR(VLOOKUP(116,'PEDIDO 38'!$C$2:$E$230,3,0),0)</f>
        <v>0</v>
      </c>
      <c r="D3019" s="1">
        <f>IFERROR(VLOOKUP(117,'PEDIDO 38'!$C$2:$E$230,3,0),0)</f>
        <v>0</v>
      </c>
      <c r="E3019" s="1">
        <f>IFERROR(VLOOKUP(118,'PEDIDO 38'!$C$2:$E$230,3,0),0)</f>
        <v>0</v>
      </c>
      <c r="F3019" s="1">
        <f>IFERROR(VLOOKUP(293,'PEDIDO 38'!$C$2:$E$230,3,0),0)</f>
        <v>0</v>
      </c>
      <c r="G3019" s="18">
        <f t="shared" si="88"/>
        <v>0</v>
      </c>
    </row>
    <row r="3020" spans="1:7" ht="15.75" x14ac:dyDescent="0.25">
      <c r="A3020" s="15">
        <f>'PEDIDO 38'!$B$2</f>
        <v>0</v>
      </c>
      <c r="B3020" s="12" t="s">
        <v>418</v>
      </c>
      <c r="C3020" s="1">
        <f>IFERROR(VLOOKUP(963,'PEDIDO 38'!$C$2:$E$230,3,0),0)</f>
        <v>0</v>
      </c>
      <c r="D3020" s="1">
        <f>IFERROR(VLOOKUP(965,'PEDIDO 38'!$C$2:$E$230,3,0),0)</f>
        <v>0</v>
      </c>
      <c r="E3020" s="1">
        <f>IFERROR(VLOOKUP(966,'PEDIDO 38'!$C$2:$E$230,3,0),0)</f>
        <v>0</v>
      </c>
      <c r="F3020" s="1">
        <f>IFERROR(VLOOKUP(964,'PEDIDO 38'!$C$2:$E$230,3,0),0)</f>
        <v>0</v>
      </c>
      <c r="G3020" s="18">
        <f t="shared" si="88"/>
        <v>0</v>
      </c>
    </row>
    <row r="3021" spans="1:7" ht="15.75" x14ac:dyDescent="0.25">
      <c r="A3021" s="15">
        <f>'PEDIDO 38'!$B$2</f>
        <v>0</v>
      </c>
      <c r="B3021" s="12" t="s">
        <v>419</v>
      </c>
      <c r="C3021" s="1">
        <f>IFERROR(VLOOKUP(2042,'PEDIDO 38'!$C$2:$E$230,3,0),0)</f>
        <v>0</v>
      </c>
      <c r="D3021" s="1">
        <f>IFERROR(VLOOKUP(2041,'PEDIDO 38'!$C$2:$E$230,3,0),0)</f>
        <v>0</v>
      </c>
      <c r="E3021" s="1">
        <f>IFERROR(VLOOKUP(2043,'PEDIDO 38'!$C$2:$E$230,3,0),0)</f>
        <v>0</v>
      </c>
      <c r="F3021" s="1">
        <f>IFERROR(VLOOKUP(2040,'PEDIDO 38'!$C$2:$E$230,3,0),0)</f>
        <v>0</v>
      </c>
      <c r="G3021" s="18">
        <f t="shared" si="88"/>
        <v>0</v>
      </c>
    </row>
    <row r="3022" spans="1:7" ht="15.75" x14ac:dyDescent="0.25">
      <c r="A3022" s="15">
        <f>'PEDIDO 38'!$B$2</f>
        <v>0</v>
      </c>
      <c r="B3022" s="12" t="s">
        <v>420</v>
      </c>
      <c r="C3022" s="1">
        <f>IFERROR(VLOOKUP(2045,'PEDIDO 38'!$C$2:$E$230,3,0),0)</f>
        <v>0</v>
      </c>
      <c r="D3022" s="1">
        <f>IFERROR(VLOOKUP(2046,'PEDIDO 38'!$C$2:$E$230,3,0),0)</f>
        <v>0</v>
      </c>
      <c r="E3022" s="1">
        <f>IFERROR(VLOOKUP(2047,'PEDIDO 38'!$C$2:$E$230,3,0),0)</f>
        <v>0</v>
      </c>
      <c r="F3022" s="1">
        <f>IFERROR(VLOOKUP(2048,'PEDIDO 38'!$C$2:$E$230,3,0),0)</f>
        <v>0</v>
      </c>
      <c r="G3022" s="18">
        <f t="shared" si="88"/>
        <v>0</v>
      </c>
    </row>
    <row r="3023" spans="1:7" ht="15.75" x14ac:dyDescent="0.25">
      <c r="A3023" s="15">
        <f>'PEDIDO 38'!$B$2</f>
        <v>0</v>
      </c>
      <c r="B3023" s="12" t="s">
        <v>421</v>
      </c>
      <c r="C3023" s="1">
        <f>IFERROR(VLOOKUP(2050,'PEDIDO 38'!$C$2:$E$230,3,0),0)</f>
        <v>0</v>
      </c>
      <c r="D3023" s="1">
        <f>IFERROR(VLOOKUP(2051,'PEDIDO 38'!$C$2:$E$230,3,0),0)</f>
        <v>0</v>
      </c>
      <c r="E3023" s="1">
        <f>IFERROR(VLOOKUP(2052,'PEDIDO 38'!$C$2:$E$230,3,0),0)</f>
        <v>0</v>
      </c>
      <c r="F3023" s="1">
        <f>IFERROR(VLOOKUP(2053,'PEDIDO 38'!$C$2:$E$230,3,0),0)</f>
        <v>0</v>
      </c>
      <c r="G3023" s="18">
        <f t="shared" si="88"/>
        <v>0</v>
      </c>
    </row>
    <row r="3024" spans="1:7" ht="15.75" x14ac:dyDescent="0.25">
      <c r="A3024" s="15">
        <f>'PEDIDO 38'!$B$2</f>
        <v>0</v>
      </c>
      <c r="B3024" s="12" t="s">
        <v>422</v>
      </c>
      <c r="C3024" s="1">
        <f>IFERROR(VLOOKUP(216,'PEDIDO 38'!$C$2:$E$230,3,0),0)</f>
        <v>0</v>
      </c>
      <c r="D3024" s="1">
        <f>IFERROR(VLOOKUP(217,'PEDIDO 38'!$C$2:$E$230,3,0),0)</f>
        <v>0</v>
      </c>
      <c r="E3024" s="1">
        <f>IFERROR(VLOOKUP(218,'PEDIDO 38'!$C$2:$E$230,3,0),0)</f>
        <v>0</v>
      </c>
      <c r="F3024" s="1">
        <f>IFERROR(VLOOKUP(305,'PEDIDO 38'!$C$2:$E$230,3,0),0)</f>
        <v>0</v>
      </c>
      <c r="G3024" s="18">
        <f t="shared" si="88"/>
        <v>0</v>
      </c>
    </row>
    <row r="3025" spans="1:7" ht="15.75" x14ac:dyDescent="0.25">
      <c r="A3025" s="15">
        <f>'PEDIDO 38'!$B$2</f>
        <v>0</v>
      </c>
      <c r="B3025" s="12" t="s">
        <v>423</v>
      </c>
      <c r="C3025" s="1">
        <f>IFERROR(VLOOKUP(100,'PEDIDO 38'!$C$2:$E$230,3,0),0)</f>
        <v>0</v>
      </c>
      <c r="D3025" s="1">
        <f>IFERROR(VLOOKUP(101,'PEDIDO 38'!$C$2:$E$230,3,0),0)</f>
        <v>0</v>
      </c>
      <c r="E3025" s="1">
        <f>IFERROR(VLOOKUP(102,'PEDIDO 38'!$C$2:$E$230,3,0),0)</f>
        <v>0</v>
      </c>
      <c r="F3025" s="1">
        <f>IFERROR(VLOOKUP(306,'PEDIDO 38'!$C$2:$E$230,3,0),0)</f>
        <v>0</v>
      </c>
      <c r="G3025" s="18">
        <f t="shared" si="88"/>
        <v>0</v>
      </c>
    </row>
    <row r="3026" spans="1:7" ht="15.75" x14ac:dyDescent="0.25">
      <c r="A3026" s="15">
        <f>'PEDIDO 38'!$B$2</f>
        <v>0</v>
      </c>
      <c r="B3026" s="12" t="s">
        <v>424</v>
      </c>
      <c r="C3026" s="1">
        <f>IFERROR(VLOOKUP(104,'PEDIDO 38'!$C$2:$E$230,3,0),0)</f>
        <v>0</v>
      </c>
      <c r="D3026" s="1">
        <f>IFERROR(VLOOKUP(105,'PEDIDO 38'!$C$2:$E$230,3,0),0)</f>
        <v>0</v>
      </c>
      <c r="E3026" s="1">
        <f>IFERROR(VLOOKUP(106,'PEDIDO 38'!$C$2:$E$230,3,0),0)</f>
        <v>0</v>
      </c>
      <c r="F3026" s="1">
        <f>IFERROR(VLOOKUP(307,'PEDIDO 38'!$C$2:$E$230,3,0),0)</f>
        <v>0</v>
      </c>
      <c r="G3026" s="18">
        <f t="shared" si="88"/>
        <v>0</v>
      </c>
    </row>
    <row r="3027" spans="1:7" ht="15.75" x14ac:dyDescent="0.25">
      <c r="A3027" s="15">
        <f>'PEDIDO 38'!$B$2</f>
        <v>0</v>
      </c>
      <c r="B3027" s="12" t="s">
        <v>425</v>
      </c>
      <c r="C3027" s="1">
        <f>IFERROR(VLOOKUP(400,'PEDIDO 38'!$C$2:$E$230,3,0),0)</f>
        <v>0</v>
      </c>
      <c r="D3027" s="1">
        <f>IFERROR(VLOOKUP(401,'PEDIDO 38'!$C$2:$E$230,3,0),0)</f>
        <v>0</v>
      </c>
      <c r="E3027" s="1">
        <f>IFERROR(VLOOKUP(402,'PEDIDO 38'!$C$2:$E$230,3,0),0)</f>
        <v>0</v>
      </c>
      <c r="F3027" s="1">
        <f>IFERROR(VLOOKUP(403,'PEDIDO 38'!$C$2:$E$230,3,0),0)</f>
        <v>0</v>
      </c>
      <c r="G3027" s="18">
        <f t="shared" si="88"/>
        <v>0</v>
      </c>
    </row>
    <row r="3028" spans="1:7" ht="15.75" x14ac:dyDescent="0.25">
      <c r="A3028" s="15">
        <f>'PEDIDO 38'!$B$2</f>
        <v>0</v>
      </c>
      <c r="B3028" s="12" t="s">
        <v>428</v>
      </c>
      <c r="C3028" s="1">
        <f>IFERROR(VLOOKUP(22,'PEDIDO 38'!$C$2:$E$230,3,0),0)</f>
        <v>0</v>
      </c>
      <c r="D3028" s="1"/>
      <c r="E3028" s="1"/>
      <c r="F3028" s="1"/>
      <c r="G3028" s="18">
        <f t="shared" si="88"/>
        <v>0</v>
      </c>
    </row>
    <row r="3029" spans="1:7" ht="15.75" x14ac:dyDescent="0.25">
      <c r="A3029" s="15">
        <f>'PEDIDO 38'!$B$2</f>
        <v>0</v>
      </c>
      <c r="B3029" s="12" t="s">
        <v>429</v>
      </c>
      <c r="C3029" s="1">
        <f>IFERROR(VLOOKUP(21,'PEDIDO 38'!$C$2:$E$230,3,0),0)</f>
        <v>0</v>
      </c>
      <c r="D3029" s="1"/>
      <c r="E3029" s="1"/>
      <c r="F3029" s="1"/>
      <c r="G3029" s="18">
        <f t="shared" si="88"/>
        <v>0</v>
      </c>
    </row>
    <row r="3030" spans="1:7" ht="15.75" x14ac:dyDescent="0.25">
      <c r="A3030" s="15">
        <f>'PEDIDO 38'!$B$2</f>
        <v>0</v>
      </c>
      <c r="B3030" s="12" t="s">
        <v>430</v>
      </c>
      <c r="C3030" s="1">
        <f>IFERROR(VLOOKUP(1125,'PEDIDO 38'!$C$2:$E$230,3,0),0)</f>
        <v>0</v>
      </c>
      <c r="D3030" s="1">
        <f>IFERROR(VLOOKUP(1126,'PEDIDO 38'!$C$2:$E$230,3,0),0)</f>
        <v>0</v>
      </c>
      <c r="E3030" s="1">
        <f>IFERROR(VLOOKUP(1127,'PEDIDO 38'!$C$2:$E$230,3,0),0)</f>
        <v>0</v>
      </c>
      <c r="F3030" s="1">
        <f>IFERROR(VLOOKUP(1128,'PEDIDO 38'!$C$2:$E$230,3,0),0)</f>
        <v>0</v>
      </c>
      <c r="G3030" s="18">
        <f t="shared" si="88"/>
        <v>0</v>
      </c>
    </row>
    <row r="3031" spans="1:7" ht="15.75" x14ac:dyDescent="0.25">
      <c r="A3031" s="15">
        <f>'PEDIDO 38'!$B$2</f>
        <v>0</v>
      </c>
      <c r="B3031" s="12" t="s">
        <v>431</v>
      </c>
      <c r="C3031" s="1">
        <f>IFERROR(VLOOKUP(1133,'PEDIDO 38'!$C$2:$E$230,3,0),0)</f>
        <v>0</v>
      </c>
      <c r="D3031" s="1">
        <f>IFERROR(VLOOKUP(1134,'PEDIDO 38'!$C$2:$E$230,3,0),0)</f>
        <v>0</v>
      </c>
      <c r="E3031" s="1">
        <f>IFERROR(VLOOKUP(1135,'PEDIDO 38'!$C$2:$E$230,3,0),0)</f>
        <v>0</v>
      </c>
      <c r="F3031" s="1">
        <f>IFERROR(VLOOKUP(1136,'PEDIDO 38'!$C$2:$E$230,3,0),0)</f>
        <v>0</v>
      </c>
      <c r="G3031" s="18">
        <f t="shared" si="88"/>
        <v>0</v>
      </c>
    </row>
    <row r="3032" spans="1:7" ht="15.75" x14ac:dyDescent="0.25">
      <c r="A3032" s="15">
        <f>'PEDIDO 38'!$B$2</f>
        <v>0</v>
      </c>
      <c r="B3032" s="12" t="s">
        <v>432</v>
      </c>
      <c r="C3032" s="1">
        <f>IFERROR(VLOOKUP(1105,'PEDIDO 38'!$C$2:$E$230,3,0),0)</f>
        <v>0</v>
      </c>
      <c r="D3032" s="1">
        <f>IFERROR(VLOOKUP(1106,'PEDIDO 38'!$C$2:$E$230,3,0),0)</f>
        <v>0</v>
      </c>
      <c r="E3032" s="1">
        <f>IFERROR(VLOOKUP(1107,'PEDIDO 38'!$C$2:$E$230,3,0),0)</f>
        <v>0</v>
      </c>
      <c r="F3032" s="1">
        <f>IFERROR(VLOOKUP(1108,'PEDIDO 38'!$C$2:$E$230,3,0),0)</f>
        <v>0</v>
      </c>
      <c r="G3032" s="18">
        <f t="shared" si="88"/>
        <v>0</v>
      </c>
    </row>
    <row r="3033" spans="1:7" ht="15.75" x14ac:dyDescent="0.25">
      <c r="A3033" s="15">
        <f>'PEDIDO 38'!$B$2</f>
        <v>0</v>
      </c>
      <c r="B3033" s="12" t="s">
        <v>433</v>
      </c>
      <c r="C3033" s="1">
        <f>IFERROR(VLOOKUP(1109,'PEDIDO 38'!$C$2:$E$230,3,0),0)</f>
        <v>0</v>
      </c>
      <c r="D3033" s="1">
        <f>IFERROR(VLOOKUP(1110,'PEDIDO 38'!$C$2:$E$230,3,0),0)</f>
        <v>0</v>
      </c>
      <c r="E3033" s="1">
        <f>IFERROR(VLOOKUP(1111,'PEDIDO 38'!$C$2:$E$230,3,0),0)</f>
        <v>0</v>
      </c>
      <c r="F3033" s="1">
        <f>IFERROR(VLOOKUP(1112,'PEDIDO 38'!$C$2:$E$230,3,0),0)</f>
        <v>0</v>
      </c>
      <c r="G3033" s="18">
        <f t="shared" si="88"/>
        <v>0</v>
      </c>
    </row>
    <row r="3034" spans="1:7" ht="15.75" x14ac:dyDescent="0.25">
      <c r="A3034" s="15">
        <f>'PEDIDO 38'!$B$2</f>
        <v>0</v>
      </c>
      <c r="B3034" s="12" t="s">
        <v>434</v>
      </c>
      <c r="C3034" s="1">
        <f>IFERROR(VLOOKUP(1113,'PEDIDO 38'!$C$2:$E$230,3,0),0)</f>
        <v>0</v>
      </c>
      <c r="D3034" s="1">
        <f>IFERROR(VLOOKUP(1114,'PEDIDO 38'!$C$2:$E$230,3,0),0)</f>
        <v>0</v>
      </c>
      <c r="E3034" s="1">
        <f>IFERROR(VLOOKUP(1115,'PEDIDO 38'!$C$2:$E$230,3,0),0)</f>
        <v>0</v>
      </c>
      <c r="F3034" s="1">
        <f>IFERROR(VLOOKUP(1116,'PEDIDO 38'!$C$2:$E$230,3,0),0)</f>
        <v>0</v>
      </c>
      <c r="G3034" s="18">
        <f t="shared" si="88"/>
        <v>0</v>
      </c>
    </row>
    <row r="3035" spans="1:7" ht="15.75" x14ac:dyDescent="0.25">
      <c r="A3035" s="15">
        <f>'PEDIDO 38'!$B$2</f>
        <v>0</v>
      </c>
      <c r="B3035" s="12" t="s">
        <v>435</v>
      </c>
      <c r="C3035" s="1">
        <f>IFERROR(VLOOKUP(1117,'PEDIDO 38'!$C$2:$E$230,3,0),0)</f>
        <v>0</v>
      </c>
      <c r="D3035" s="1">
        <f>IFERROR(VLOOKUP(1118,'PEDIDO 38'!$C$2:$E$230,3,0),0)</f>
        <v>0</v>
      </c>
      <c r="E3035" s="1">
        <f>IFERROR(VLOOKUP(1119,'PEDIDO 38'!$C$2:$E$230,3,0),0)</f>
        <v>0</v>
      </c>
      <c r="F3035" s="1">
        <f>IFERROR(VLOOKUP(1120,'PEDIDO 38'!$C$2:$E$230,3,0),0)</f>
        <v>0</v>
      </c>
      <c r="G3035" s="18">
        <f t="shared" si="88"/>
        <v>0</v>
      </c>
    </row>
    <row r="3036" spans="1:7" ht="15.75" x14ac:dyDescent="0.25">
      <c r="A3036" s="15">
        <f>'PEDIDO 38'!$B$2</f>
        <v>0</v>
      </c>
      <c r="B3036" s="12" t="s">
        <v>436</v>
      </c>
      <c r="C3036" s="1">
        <f>IFERROR(VLOOKUP(1121,'PEDIDO 38'!$C$2:$E$230,3,0),0)</f>
        <v>0</v>
      </c>
      <c r="D3036" s="1">
        <f>IFERROR(VLOOKUP(1122,'PEDIDO 38'!$C$2:$E$230,3,0),0)</f>
        <v>0</v>
      </c>
      <c r="E3036" s="1">
        <f>IFERROR(VLOOKUP(1123,'PEDIDO 38'!$C$2:$E$230,3,0),0)</f>
        <v>0</v>
      </c>
      <c r="F3036" s="1">
        <f>IFERROR(VLOOKUP(1124,'PEDIDO 38'!$C$2:$E$230,3,0),0)</f>
        <v>0</v>
      </c>
      <c r="G3036" s="18">
        <f t="shared" si="88"/>
        <v>0</v>
      </c>
    </row>
    <row r="3037" spans="1:7" ht="15.75" x14ac:dyDescent="0.25">
      <c r="A3037" s="15">
        <f>'PEDIDO 38'!$B$2</f>
        <v>0</v>
      </c>
      <c r="B3037" s="12" t="s">
        <v>437</v>
      </c>
      <c r="C3037" s="1">
        <f>IFERROR(VLOOKUP(1129,'PEDIDO 38'!$C$2:$E$230,3,0),0)</f>
        <v>0</v>
      </c>
      <c r="D3037" s="1">
        <f>IFERROR(VLOOKUP(1130,'PEDIDO 38'!$C$2:$E$230,3,0),0)</f>
        <v>0</v>
      </c>
      <c r="E3037" s="1">
        <f>IFERROR(VLOOKUP(1131,'PEDIDO 38'!$C$2:$E$230,3,0),0)</f>
        <v>0</v>
      </c>
      <c r="F3037" s="1">
        <f>IFERROR(VLOOKUP(1132,'PEDIDO 38'!$C$2:$E$230,3,0),0)</f>
        <v>0</v>
      </c>
      <c r="G3037" s="18">
        <f t="shared" si="88"/>
        <v>0</v>
      </c>
    </row>
    <row r="3038" spans="1:7" ht="15.75" x14ac:dyDescent="0.25">
      <c r="A3038" s="15">
        <f>'PEDIDO 38'!$B$2</f>
        <v>0</v>
      </c>
      <c r="B3038" s="12" t="s">
        <v>438</v>
      </c>
      <c r="C3038" s="1">
        <f>IFERROR(VLOOKUP(1137,'PEDIDO 38'!$C$2:$E$230,3,0),0)</f>
        <v>0</v>
      </c>
      <c r="D3038" s="1">
        <f>IFERROR(VLOOKUP(1138,'PEDIDO 38'!$C$2:$E$230,3,0),0)</f>
        <v>0</v>
      </c>
      <c r="E3038" s="1">
        <f>IFERROR(VLOOKUP(1139,'PEDIDO 38'!$C$2:$E$230,3,0),0)</f>
        <v>0</v>
      </c>
      <c r="F3038" s="1">
        <f>IFERROR(VLOOKUP(1140,'PEDIDO 38'!$C$2:$E$230,3,0),0)</f>
        <v>0</v>
      </c>
      <c r="G3038" s="18">
        <f t="shared" si="88"/>
        <v>0</v>
      </c>
    </row>
    <row r="3039" spans="1:7" ht="15.75" x14ac:dyDescent="0.25">
      <c r="A3039" s="15">
        <f>'PEDIDO 38'!$B$2</f>
        <v>0</v>
      </c>
      <c r="B3039" s="12" t="s">
        <v>439</v>
      </c>
      <c r="C3039" s="1">
        <f>IFERROR(VLOOKUP(1141,'PEDIDO 38'!$C$2:$E$230,3,0),0)</f>
        <v>0</v>
      </c>
      <c r="D3039" s="1">
        <f>IFERROR(VLOOKUP(1142,'PEDIDO 38'!$C$2:$E$230,3,0),0)</f>
        <v>0</v>
      </c>
      <c r="E3039" s="1">
        <f>IFERROR(VLOOKUP(1143,'PEDIDO 38'!$C$2:$E$230,3,0),0)</f>
        <v>0</v>
      </c>
      <c r="F3039" s="1">
        <f>IFERROR(VLOOKUP(1144,'PEDIDO 38'!$C$2:$E$230,3,0),0)</f>
        <v>0</v>
      </c>
      <c r="G3039" s="18">
        <f t="shared" si="88"/>
        <v>0</v>
      </c>
    </row>
    <row r="3040" spans="1:7" ht="15.75" x14ac:dyDescent="0.25">
      <c r="A3040" s="15">
        <f>'PEDIDO 38'!$B$2</f>
        <v>0</v>
      </c>
      <c r="B3040" s="12" t="s">
        <v>440</v>
      </c>
      <c r="C3040" s="1">
        <f>IFERROR(VLOOKUP(1145,'PEDIDO 38'!$C$2:$E$230,3,0),0)</f>
        <v>0</v>
      </c>
      <c r="D3040" s="1">
        <f>IFERROR(VLOOKUP(1146,'PEDIDO 38'!$C$2:$E$230,3,0),0)</f>
        <v>0</v>
      </c>
      <c r="E3040" s="1">
        <f>IFERROR(VLOOKUP(1147,'PEDIDO 38'!$C$2:$E$230,3,0),0)</f>
        <v>0</v>
      </c>
      <c r="F3040" s="1">
        <f>IFERROR(VLOOKUP(1148,'PEDIDO 38'!$C$2:$E$230,3,0),0)</f>
        <v>0</v>
      </c>
      <c r="G3040" s="18">
        <f t="shared" si="88"/>
        <v>0</v>
      </c>
    </row>
    <row r="3041" spans="1:7" ht="15.75" x14ac:dyDescent="0.25">
      <c r="A3041" s="15">
        <f>'PEDIDO 38'!$B$2</f>
        <v>0</v>
      </c>
      <c r="B3041" s="12" t="s">
        <v>441</v>
      </c>
      <c r="C3041" s="1">
        <f>IFERROR(VLOOKUP(1149,'PEDIDO 38'!$C$2:$E$230,3,0),0)</f>
        <v>0</v>
      </c>
      <c r="D3041" s="1">
        <f>IFERROR(VLOOKUP(1150,'PEDIDO 38'!$C$2:$E$230,3,0),0)</f>
        <v>0</v>
      </c>
      <c r="E3041" s="1">
        <f>IFERROR(VLOOKUP(1151,'PEDIDO 38'!$C$2:$E$230,3,0),0)</f>
        <v>0</v>
      </c>
      <c r="F3041" s="1">
        <f>IFERROR(VLOOKUP(1152,'PEDIDO 38'!$C$2:$E$230,3,0),0)</f>
        <v>0</v>
      </c>
      <c r="G3041" s="18">
        <f t="shared" si="88"/>
        <v>0</v>
      </c>
    </row>
    <row r="3042" spans="1:7" ht="15.75" x14ac:dyDescent="0.25">
      <c r="A3042" s="15">
        <f>'PEDIDO 38'!$B$2</f>
        <v>0</v>
      </c>
      <c r="B3042" s="12" t="s">
        <v>442</v>
      </c>
      <c r="C3042" s="1">
        <f>IFERROR(VLOOKUP(1153,'PEDIDO 38'!$C$2:$E$230,3,0),0)</f>
        <v>0</v>
      </c>
      <c r="D3042" s="1">
        <f>IFERROR(VLOOKUP(1154,'PEDIDO 38'!$C$2:$E$230,3,0),0)</f>
        <v>0</v>
      </c>
      <c r="E3042" s="1">
        <f>IFERROR(VLOOKUP(1155,'PEDIDO 38'!$C$2:$E$230,3,0),0)</f>
        <v>0</v>
      </c>
      <c r="F3042" s="1">
        <f>IFERROR(VLOOKUP(1156,'PEDIDO 38'!$C$2:$E$230,3,0),0)</f>
        <v>0</v>
      </c>
      <c r="G3042" s="18">
        <f t="shared" si="88"/>
        <v>0</v>
      </c>
    </row>
    <row r="3043" spans="1:7" ht="15.75" x14ac:dyDescent="0.25">
      <c r="A3043" s="15">
        <f>'PEDIDO 38'!$B$2</f>
        <v>0</v>
      </c>
      <c r="B3043" s="12" t="s">
        <v>443</v>
      </c>
      <c r="C3043" s="1">
        <f>IFERROR(VLOOKUP(1157,'PEDIDO 38'!$C$2:$E$230,3,0),0)</f>
        <v>0</v>
      </c>
      <c r="D3043" s="1">
        <f>IFERROR(VLOOKUP(1158,'PEDIDO 38'!$C$2:$E$230,3,0),0)</f>
        <v>0</v>
      </c>
      <c r="E3043" s="1">
        <f>IFERROR(VLOOKUP(1159,'PEDIDO 38'!$C$2:$E$230,3,0),0)</f>
        <v>0</v>
      </c>
      <c r="F3043" s="1">
        <f>IFERROR(VLOOKUP(1160,'PEDIDO 38'!$C$2:$E$230,3,0),0)</f>
        <v>0</v>
      </c>
      <c r="G3043" s="18">
        <f t="shared" si="88"/>
        <v>0</v>
      </c>
    </row>
    <row r="3044" spans="1:7" ht="15.75" x14ac:dyDescent="0.25">
      <c r="A3044" s="15">
        <f>'PEDIDO 38'!$B$2</f>
        <v>0</v>
      </c>
      <c r="B3044" s="12" t="s">
        <v>444</v>
      </c>
      <c r="C3044" s="1">
        <f>IFERROR(VLOOKUP(1161,'PEDIDO 38'!$C$2:$E$230,3,0),0)</f>
        <v>0</v>
      </c>
      <c r="D3044" s="1">
        <f>IFERROR(VLOOKUP(1162,'PEDIDO 38'!$C$2:$E$230,3,0),0)</f>
        <v>0</v>
      </c>
      <c r="E3044" s="1">
        <f>IFERROR(VLOOKUP(1163,'PEDIDO 38'!$C$2:$E$230,3,0),0)</f>
        <v>0</v>
      </c>
      <c r="F3044" s="1">
        <f>IFERROR(VLOOKUP(1164,'PEDIDO 38'!$C$2:$E$230,3,0),0)</f>
        <v>0</v>
      </c>
      <c r="G3044" s="18">
        <f t="shared" si="88"/>
        <v>0</v>
      </c>
    </row>
    <row r="3045" spans="1:7" ht="15.75" x14ac:dyDescent="0.25">
      <c r="A3045" s="15">
        <f>'PEDIDO 38'!$B$2</f>
        <v>0</v>
      </c>
      <c r="B3045" s="12" t="s">
        <v>445</v>
      </c>
      <c r="C3045" s="1">
        <f>IFERROR(VLOOKUP(1165,'PEDIDO 38'!$C$2:$E$230,3,0),0)</f>
        <v>0</v>
      </c>
      <c r="D3045" s="1">
        <f>IFERROR(VLOOKUP(1166,'PEDIDO 38'!$C$2:$E$230,3,0),0)</f>
        <v>0</v>
      </c>
      <c r="E3045" s="1">
        <f>IFERROR(VLOOKUP(1167,'PEDIDO 38'!$C$2:$E$230,3,0),0)</f>
        <v>0</v>
      </c>
      <c r="F3045" s="1">
        <f>IFERROR(VLOOKUP(1168,'PEDIDO 38'!$C$2:$E$230,3,0),0)</f>
        <v>0</v>
      </c>
      <c r="G3045" s="18">
        <f t="shared" si="88"/>
        <v>0</v>
      </c>
    </row>
    <row r="3046" spans="1:7" ht="15.75" x14ac:dyDescent="0.25">
      <c r="A3046" s="15">
        <f>'PEDIDO 38'!$B$2</f>
        <v>0</v>
      </c>
      <c r="B3046" s="12" t="s">
        <v>446</v>
      </c>
      <c r="C3046" s="1">
        <f>IFERROR(VLOOKUP(1169,'PEDIDO 38'!$C$2:$E$230,3,0),0)</f>
        <v>0</v>
      </c>
      <c r="D3046" s="1">
        <f>IFERROR(VLOOKUP(1170,'PEDIDO 38'!$C$2:$E$230,3,0),0)</f>
        <v>0</v>
      </c>
      <c r="E3046" s="1">
        <f>IFERROR(VLOOKUP(1171,'PEDIDO 38'!$C$2:$E$230,3,0),0)</f>
        <v>0</v>
      </c>
      <c r="F3046" s="1">
        <f>IFERROR(VLOOKUP(1172,'PEDIDO 38'!$C$2:$E$230,3,0),0)</f>
        <v>0</v>
      </c>
      <c r="G3046" s="18">
        <f t="shared" si="88"/>
        <v>0</v>
      </c>
    </row>
    <row r="3047" spans="1:7" ht="15.75" x14ac:dyDescent="0.25">
      <c r="A3047" s="15">
        <f>'PEDIDO 38'!$B$2</f>
        <v>0</v>
      </c>
      <c r="B3047" s="12" t="s">
        <v>447</v>
      </c>
      <c r="C3047" s="1">
        <f>IFERROR(VLOOKUP(1173,'PEDIDO 38'!$C$2:$E$230,3,0),0)</f>
        <v>0</v>
      </c>
      <c r="D3047" s="1">
        <f>IFERROR(VLOOKUP(1174,'PEDIDO 38'!$C$2:$E$230,3,0),0)</f>
        <v>0</v>
      </c>
      <c r="E3047" s="1">
        <f>IFERROR(VLOOKUP(1175,'PEDIDO 38'!$C$2:$E$230,3,0),0)</f>
        <v>0</v>
      </c>
      <c r="F3047" s="1">
        <f>IFERROR(VLOOKUP(1176,'PEDIDO 38'!$C$2:$E$230,3,0),0)</f>
        <v>0</v>
      </c>
      <c r="G3047" s="18">
        <f t="shared" si="88"/>
        <v>0</v>
      </c>
    </row>
    <row r="3048" spans="1:7" ht="15.75" x14ac:dyDescent="0.25">
      <c r="A3048" s="15">
        <f>'PEDIDO 38'!$B$2</f>
        <v>0</v>
      </c>
      <c r="B3048" s="12" t="s">
        <v>448</v>
      </c>
      <c r="C3048" s="1">
        <f>IFERROR(VLOOKUP(1249,'PEDIDO 38'!$C$2:$E$230,3,0),0)</f>
        <v>0</v>
      </c>
      <c r="D3048" s="1">
        <f>IFERROR(VLOOKUP(1250,'PEDIDO 38'!$C$2:$E$230,3,0),0)</f>
        <v>0</v>
      </c>
      <c r="E3048" s="1">
        <f>IFERROR(VLOOKUP(1251,'PEDIDO 38'!$C$2:$E$230,3,0),0)</f>
        <v>0</v>
      </c>
      <c r="F3048" s="1">
        <f>IFERROR(VLOOKUP(1252,'PEDIDO 38'!$C$2:$E$230,3,0),0)</f>
        <v>0</v>
      </c>
      <c r="G3048" s="18">
        <f t="shared" si="88"/>
        <v>0</v>
      </c>
    </row>
    <row r="3049" spans="1:7" ht="15.75" x14ac:dyDescent="0.25">
      <c r="A3049" s="15">
        <f>'PEDIDO 38'!$B$2</f>
        <v>0</v>
      </c>
      <c r="B3049" s="12" t="s">
        <v>449</v>
      </c>
      <c r="C3049" s="1">
        <f>IFERROR(VLOOKUP(1177,'PEDIDO 38'!$C$2:$E$230,3,0),0)</f>
        <v>0</v>
      </c>
      <c r="D3049" s="1">
        <f>IFERROR(VLOOKUP(1178,'PEDIDO 38'!$C$2:$E$230,3,0),0)</f>
        <v>0</v>
      </c>
      <c r="E3049" s="1">
        <f>IFERROR(VLOOKUP(1179,'PEDIDO 38'!$C$2:$E$230,3,0),0)</f>
        <v>0</v>
      </c>
      <c r="F3049" s="1">
        <f>IFERROR(VLOOKUP(1180,'PEDIDO 38'!$C$2:$E$230,3,0),0)</f>
        <v>0</v>
      </c>
      <c r="G3049" s="18">
        <f t="shared" si="88"/>
        <v>0</v>
      </c>
    </row>
    <row r="3050" spans="1:7" ht="15.75" x14ac:dyDescent="0.25">
      <c r="A3050" s="15">
        <f>'PEDIDO 38'!$B$2</f>
        <v>0</v>
      </c>
      <c r="B3050" s="12" t="s">
        <v>450</v>
      </c>
      <c r="C3050" s="1">
        <f>IFERROR(VLOOKUP(1181,'PEDIDO 38'!$C$2:$E$230,3,0),0)</f>
        <v>0</v>
      </c>
      <c r="D3050" s="1">
        <f>IFERROR(VLOOKUP(1182,'PEDIDO 38'!$C$2:$E$230,3,0),0)</f>
        <v>0</v>
      </c>
      <c r="E3050" s="1">
        <f>IFERROR(VLOOKUP(1183,'PEDIDO 38'!$C$2:$E$230,3,0),0)</f>
        <v>0</v>
      </c>
      <c r="F3050" s="1">
        <f>IFERROR(VLOOKUP(1184,'PEDIDO 38'!$C$2:$E$230,3,0),0)</f>
        <v>0</v>
      </c>
      <c r="G3050" s="18">
        <f t="shared" si="88"/>
        <v>0</v>
      </c>
    </row>
    <row r="3051" spans="1:7" ht="15.75" x14ac:dyDescent="0.25">
      <c r="A3051" s="15">
        <f>'PEDIDO 38'!$B$2</f>
        <v>0</v>
      </c>
      <c r="B3051" s="12" t="s">
        <v>451</v>
      </c>
      <c r="C3051" s="1">
        <f>IFERROR(VLOOKUP(1185,'PEDIDO 38'!$C$2:$E$230,3,0),0)</f>
        <v>0</v>
      </c>
      <c r="D3051" s="1">
        <f>IFERROR(VLOOKUP(1186,'PEDIDO 38'!$C$2:$E$230,3,0),0)</f>
        <v>0</v>
      </c>
      <c r="E3051" s="1">
        <f>IFERROR(VLOOKUP(1187,'PEDIDO 38'!$C$2:$E$230,3,0),0)</f>
        <v>0</v>
      </c>
      <c r="F3051" s="1">
        <f>IFERROR(VLOOKUP(1188,'PEDIDO 38'!$C$2:$E$230,3,0),0)</f>
        <v>0</v>
      </c>
      <c r="G3051" s="18">
        <f t="shared" si="88"/>
        <v>0</v>
      </c>
    </row>
    <row r="3052" spans="1:7" ht="15.75" x14ac:dyDescent="0.25">
      <c r="A3052" s="15">
        <f>'PEDIDO 38'!$B$2</f>
        <v>0</v>
      </c>
      <c r="B3052" s="12" t="s">
        <v>452</v>
      </c>
      <c r="C3052" s="1">
        <f>IFERROR(VLOOKUP(1189,'PEDIDO 38'!$C$2:$E$230,3,0),0)</f>
        <v>0</v>
      </c>
      <c r="D3052" s="1">
        <f>IFERROR(VLOOKUP(1190,'PEDIDO 38'!$C$2:$E$230,3,0),0)</f>
        <v>0</v>
      </c>
      <c r="E3052" s="1">
        <f>IFERROR(VLOOKUP(1191,'PEDIDO 38'!$C$2:$E$230,3,0),0)</f>
        <v>0</v>
      </c>
      <c r="F3052" s="1">
        <f>IFERROR(VLOOKUP(1192,'PEDIDO 38'!$C$2:$E$230,3,0),0)</f>
        <v>0</v>
      </c>
      <c r="G3052" s="18">
        <f t="shared" si="88"/>
        <v>0</v>
      </c>
    </row>
    <row r="3053" spans="1:7" ht="15.75" x14ac:dyDescent="0.25">
      <c r="A3053" s="15">
        <f>'PEDIDO 38'!$B$2</f>
        <v>0</v>
      </c>
      <c r="B3053" s="12" t="s">
        <v>453</v>
      </c>
      <c r="C3053" s="1">
        <f>IFERROR(VLOOKUP(1193,'PEDIDO 38'!$C$2:$E$230,3,0),0)</f>
        <v>0</v>
      </c>
      <c r="D3053" s="1">
        <f>IFERROR(VLOOKUP(1194,'PEDIDO 38'!$C$2:$E$230,3,0),0)</f>
        <v>0</v>
      </c>
      <c r="E3053" s="1">
        <f>IFERROR(VLOOKUP(1195,'PEDIDO 38'!$C$2:$E$230,3,0),0)</f>
        <v>0</v>
      </c>
      <c r="F3053" s="1">
        <f>IFERROR(VLOOKUP(1196,'PEDIDO 38'!$C$2:$E$230,3,0),0)</f>
        <v>0</v>
      </c>
      <c r="G3053" s="18">
        <f t="shared" si="88"/>
        <v>0</v>
      </c>
    </row>
    <row r="3054" spans="1:7" ht="15.75" x14ac:dyDescent="0.25">
      <c r="A3054" s="15">
        <f>'PEDIDO 38'!$B$2</f>
        <v>0</v>
      </c>
      <c r="B3054" s="12" t="s">
        <v>454</v>
      </c>
      <c r="C3054" s="1">
        <f>IFERROR(VLOOKUP(1197,'PEDIDO 38'!$C$2:$E$230,3,0),0)</f>
        <v>0</v>
      </c>
      <c r="D3054" s="1">
        <f>IFERROR(VLOOKUP(1198,'PEDIDO 38'!$C$2:$E$230,3,0),0)</f>
        <v>0</v>
      </c>
      <c r="E3054" s="1">
        <f>IFERROR(VLOOKUP(1199,'PEDIDO 38'!$C$2:$E$230,3,0),0)</f>
        <v>0</v>
      </c>
      <c r="F3054" s="1">
        <f>IFERROR(VLOOKUP(1200,'PEDIDO 38'!$C$2:$E$230,3,0),0)</f>
        <v>0</v>
      </c>
      <c r="G3054" s="18">
        <f t="shared" si="88"/>
        <v>0</v>
      </c>
    </row>
    <row r="3055" spans="1:7" ht="15.75" x14ac:dyDescent="0.25">
      <c r="A3055" s="15">
        <f>'PEDIDO 38'!$B$2</f>
        <v>0</v>
      </c>
      <c r="B3055" s="12" t="s">
        <v>455</v>
      </c>
      <c r="C3055" s="1">
        <f>IFERROR(VLOOKUP(1201,'PEDIDO 38'!$C$2:$E$230,3,0),0)</f>
        <v>0</v>
      </c>
      <c r="D3055" s="1">
        <f>IFERROR(VLOOKUP(1202,'PEDIDO 38'!$C$2:$E$230,3,0),0)</f>
        <v>0</v>
      </c>
      <c r="E3055" s="1">
        <f>IFERROR(VLOOKUP(1203,'PEDIDO 38'!$C$2:$E$230,3,0),0)</f>
        <v>0</v>
      </c>
      <c r="F3055" s="1">
        <f>IFERROR(VLOOKUP(1204,'PEDIDO 38'!$C$2:$E$230,3,0),0)</f>
        <v>0</v>
      </c>
      <c r="G3055" s="18">
        <f t="shared" si="88"/>
        <v>0</v>
      </c>
    </row>
    <row r="3056" spans="1:7" ht="15.75" x14ac:dyDescent="0.25">
      <c r="A3056" s="15">
        <f>'PEDIDO 38'!$B$2</f>
        <v>0</v>
      </c>
      <c r="B3056" s="12" t="s">
        <v>456</v>
      </c>
      <c r="C3056" s="1">
        <f>IFERROR(VLOOKUP(1205,'PEDIDO 38'!$C$2:$E$230,3,0),0)</f>
        <v>0</v>
      </c>
      <c r="D3056" s="1">
        <f>IFERROR(VLOOKUP(1206,'PEDIDO 38'!$C$2:$E$230,3,0),0)</f>
        <v>0</v>
      </c>
      <c r="E3056" s="1">
        <f>IFERROR(VLOOKUP(1207,'PEDIDO 38'!$C$2:$E$230,3,0),0)</f>
        <v>0</v>
      </c>
      <c r="F3056" s="1">
        <f>IFERROR(VLOOKUP(1208,'PEDIDO 38'!$C$2:$E$230,3,0),0)</f>
        <v>0</v>
      </c>
      <c r="G3056" s="18">
        <f t="shared" si="88"/>
        <v>0</v>
      </c>
    </row>
    <row r="3057" spans="1:7" ht="15.75" x14ac:dyDescent="0.25">
      <c r="A3057" s="15">
        <f>'PEDIDO 38'!$B$2</f>
        <v>0</v>
      </c>
      <c r="B3057" s="12" t="s">
        <v>457</v>
      </c>
      <c r="C3057" s="1">
        <f>IFERROR(VLOOKUP(1213,'PEDIDO 38'!$C$2:$E$230,3,0),0)</f>
        <v>0</v>
      </c>
      <c r="D3057" s="1">
        <f>IFERROR(VLOOKUP(1214,'PEDIDO 38'!$C$2:$E$230,3,0),0)</f>
        <v>0</v>
      </c>
      <c r="E3057" s="1">
        <f>IFERROR(VLOOKUP(1215,'PEDIDO 38'!$C$2:$E$230,3,0),0)</f>
        <v>0</v>
      </c>
      <c r="F3057" s="10">
        <f>IFERROR(VLOOKUP(1216,'PEDIDO 38'!$C$2:$E$230,3,0),0)</f>
        <v>0</v>
      </c>
      <c r="G3057" s="18">
        <f t="shared" si="88"/>
        <v>0</v>
      </c>
    </row>
    <row r="3058" spans="1:7" ht="15.75" x14ac:dyDescent="0.25">
      <c r="A3058" s="15">
        <f>'PEDIDO 38'!$B$2</f>
        <v>0</v>
      </c>
      <c r="B3058" s="12" t="s">
        <v>458</v>
      </c>
      <c r="C3058" s="1">
        <f>IFERROR(VLOOKUP(1209,'PEDIDO 38'!$C$2:$E$230,3,0),0)</f>
        <v>0</v>
      </c>
      <c r="D3058" s="1">
        <f>IFERROR(VLOOKUP(1210,'PEDIDO 38'!$C$2:$E$230,3,0),0)</f>
        <v>0</v>
      </c>
      <c r="E3058" s="1">
        <f>IFERROR(VLOOKUP(1211,'PEDIDO 38'!$C$2:$E$230,3,0),0)</f>
        <v>0</v>
      </c>
      <c r="F3058" s="1">
        <f>IFERROR(VLOOKUP(1212,'PEDIDO 38'!$C$2:$E$230,3,0),0)</f>
        <v>0</v>
      </c>
      <c r="G3058" s="18">
        <f t="shared" si="88"/>
        <v>0</v>
      </c>
    </row>
    <row r="3059" spans="1:7" ht="15.75" x14ac:dyDescent="0.25">
      <c r="A3059" s="15">
        <f>'PEDIDO 38'!$B$2</f>
        <v>0</v>
      </c>
      <c r="B3059" s="12" t="s">
        <v>459</v>
      </c>
      <c r="C3059" s="1">
        <f>IFERROR(VLOOKUP(1217,'PEDIDO 38'!$C$2:$E$230,3,0),0)</f>
        <v>0</v>
      </c>
      <c r="D3059" s="1">
        <f>IFERROR(VLOOKUP(1218,'PEDIDO 38'!$C$2:$E$230,3,0),0)</f>
        <v>0</v>
      </c>
      <c r="E3059" s="1">
        <f>IFERROR(VLOOKUP(1219,'PEDIDO 38'!$C$2:$E$230,3,0),0)</f>
        <v>0</v>
      </c>
      <c r="F3059" s="1">
        <f>IFERROR(VLOOKUP(1220,'PEDIDO 38'!$C$2:$E$230,3,0),0)</f>
        <v>0</v>
      </c>
      <c r="G3059" s="18">
        <f t="shared" si="88"/>
        <v>0</v>
      </c>
    </row>
    <row r="3060" spans="1:7" ht="15.75" x14ac:dyDescent="0.25">
      <c r="A3060" s="15">
        <f>'PEDIDO 38'!$B$2</f>
        <v>0</v>
      </c>
      <c r="B3060" s="12" t="s">
        <v>461</v>
      </c>
      <c r="C3060" s="1">
        <f>IFERROR(VLOOKUP(1225,'PEDIDO 38'!$C$2:$E$230,3,0),0)</f>
        <v>0</v>
      </c>
      <c r="D3060" s="1">
        <f>IFERROR(VLOOKUP(1226,'PEDIDO 38'!$C$2:$E$230,3,0),0)</f>
        <v>0</v>
      </c>
      <c r="E3060" s="1">
        <f>IFERROR(VLOOKUP(1227,'PEDIDO 38'!$C$2:$E$230,3,0),0)</f>
        <v>0</v>
      </c>
      <c r="F3060" s="1">
        <f>IFERROR(VLOOKUP(1228,'PEDIDO 38'!$C$2:$E$230,3,0),0)</f>
        <v>0</v>
      </c>
      <c r="G3060" s="18">
        <f t="shared" si="88"/>
        <v>0</v>
      </c>
    </row>
    <row r="3061" spans="1:7" ht="15.75" x14ac:dyDescent="0.25">
      <c r="A3061" s="15">
        <f>'PEDIDO 38'!$B$2</f>
        <v>0</v>
      </c>
      <c r="B3061" s="12" t="s">
        <v>462</v>
      </c>
      <c r="C3061" s="1">
        <f>IFERROR(VLOOKUP(1221,'PEDIDO 38'!$C$2:$E$230,3,0),0)</f>
        <v>0</v>
      </c>
      <c r="D3061" s="1">
        <f>IFERROR(VLOOKUP(1222,'PEDIDO 38'!$C$2:$E$230,3,0),0)</f>
        <v>0</v>
      </c>
      <c r="E3061" s="1">
        <f>IFERROR(VLOOKUP(1223,'PEDIDO 38'!$C$2:$E$230,3,0),0)</f>
        <v>0</v>
      </c>
      <c r="F3061" s="1">
        <f>IFERROR(VLOOKUP(1224,'PEDIDO 38'!$C$2:$E$230,3,0),0)</f>
        <v>0</v>
      </c>
      <c r="G3061" s="18">
        <f t="shared" si="88"/>
        <v>0</v>
      </c>
    </row>
    <row r="3062" spans="1:7" ht="15.75" x14ac:dyDescent="0.25">
      <c r="A3062" s="15">
        <f>'PEDIDO 38'!$B$2</f>
        <v>0</v>
      </c>
      <c r="B3062" s="12" t="s">
        <v>460</v>
      </c>
      <c r="C3062" s="1">
        <f>IFERROR(VLOOKUP(1229,'PEDIDO 38'!$C$2:$E$230,3,0),0)</f>
        <v>0</v>
      </c>
      <c r="D3062" s="1">
        <f>IFERROR(VLOOKUP(1230,'PEDIDO 38'!$C$2:$E$230,3,0),0)</f>
        <v>0</v>
      </c>
      <c r="E3062" s="1">
        <f>IFERROR(VLOOKUP(1231,'PEDIDO 38'!$C$2:$E$230,3,0),0)</f>
        <v>0</v>
      </c>
      <c r="F3062" s="1">
        <f>IFERROR(VLOOKUP(1232,'PEDIDO 38'!$C$2:$E$230,3,0),0)</f>
        <v>0</v>
      </c>
      <c r="G3062" s="18">
        <f t="shared" si="88"/>
        <v>0</v>
      </c>
    </row>
    <row r="3063" spans="1:7" ht="15.75" x14ac:dyDescent="0.25">
      <c r="A3063" s="15">
        <f>'PEDIDO 38'!$B$2</f>
        <v>0</v>
      </c>
      <c r="B3063" s="12" t="s">
        <v>463</v>
      </c>
      <c r="C3063" s="1">
        <f>IFERROR(VLOOKUP(1233,'PEDIDO 38'!$C$2:$E$230,3,0),0)</f>
        <v>0</v>
      </c>
      <c r="D3063" s="1">
        <f>IFERROR(VLOOKUP(1234,'PEDIDO 38'!$C$2:$E$230,3,0),0)</f>
        <v>0</v>
      </c>
      <c r="E3063" s="1">
        <f>IFERROR(VLOOKUP(1235,'PEDIDO 38'!$C$2:$E$230,3,0),0)</f>
        <v>0</v>
      </c>
      <c r="F3063" s="1">
        <f>IFERROR(VLOOKUP(1236,'PEDIDO 38'!$C$2:$E$230,3,0),0)</f>
        <v>0</v>
      </c>
      <c r="G3063" s="18">
        <f t="shared" si="88"/>
        <v>0</v>
      </c>
    </row>
    <row r="3064" spans="1:7" ht="15.75" x14ac:dyDescent="0.25">
      <c r="A3064" s="15">
        <f>'PEDIDO 38'!$B$2</f>
        <v>0</v>
      </c>
      <c r="B3064" s="12" t="s">
        <v>464</v>
      </c>
      <c r="C3064" s="1">
        <f>IFERROR(VLOOKUP(1237,'PEDIDO 38'!$C$2:$E$230,3,0),0)</f>
        <v>0</v>
      </c>
      <c r="D3064" s="1">
        <f>IFERROR(VLOOKUP(1238,'PEDIDO 38'!$C$2:$E$230,3,0),0)</f>
        <v>0</v>
      </c>
      <c r="E3064" s="1">
        <f>IFERROR(VLOOKUP(1239,'PEDIDO 38'!$C$2:$E$230,3,0),0)</f>
        <v>0</v>
      </c>
      <c r="F3064" s="1">
        <f>IFERROR(VLOOKUP(1240,'PEDIDO 38'!$C$2:$E$230,3,0),0)</f>
        <v>0</v>
      </c>
      <c r="G3064" s="18">
        <f t="shared" ref="G3064:G3076" si="89">SUM(C3064+D3064+E3064+F3064)</f>
        <v>0</v>
      </c>
    </row>
    <row r="3065" spans="1:7" ht="15.75" x14ac:dyDescent="0.25">
      <c r="A3065" s="15">
        <f>'PEDIDO 38'!$B$2</f>
        <v>0</v>
      </c>
      <c r="B3065" s="12" t="s">
        <v>465</v>
      </c>
      <c r="C3065" s="1">
        <f>IFERROR(VLOOKUP(1241,'PEDIDO 38'!$C$2:$E$230,3,0),0)</f>
        <v>0</v>
      </c>
      <c r="D3065" s="1">
        <f>IFERROR(VLOOKUP(1242,'PEDIDO 38'!$C$2:$E$230,3,0),0)</f>
        <v>0</v>
      </c>
      <c r="E3065" s="1">
        <f>IFERROR(VLOOKUP(1243,'PEDIDO 38'!$C$2:$E$230,3,0),0)</f>
        <v>0</v>
      </c>
      <c r="F3065" s="1">
        <f>IFERROR(VLOOKUP(1244,'PEDIDO 38'!$C$2:$E$230,3,0),0)</f>
        <v>0</v>
      </c>
      <c r="G3065" s="18">
        <f t="shared" si="89"/>
        <v>0</v>
      </c>
    </row>
    <row r="3066" spans="1:7" ht="15.75" x14ac:dyDescent="0.25">
      <c r="A3066" s="15">
        <f>'PEDIDO 38'!$B$2</f>
        <v>0</v>
      </c>
      <c r="B3066" s="12" t="s">
        <v>466</v>
      </c>
      <c r="C3066" s="1">
        <f>IFERROR(VLOOKUP(1245,'PEDIDO 38'!$C$2:$E$230,3,0),0)</f>
        <v>0</v>
      </c>
      <c r="D3066" s="1">
        <f>IFERROR(VLOOKUP(1246,'PEDIDO 38'!$C$2:$E$230,3,0),0)</f>
        <v>0</v>
      </c>
      <c r="E3066" s="1">
        <f>IFERROR(VLOOKUP(1247,'PEDIDO 38'!$C$2:$E$230,3,0),0)</f>
        <v>0</v>
      </c>
      <c r="F3066" s="1">
        <f>IFERROR(VLOOKUP(1248,'PEDIDO 38'!$C$2:$E$230,3,0),0)</f>
        <v>0</v>
      </c>
      <c r="G3066" s="18">
        <f t="shared" si="89"/>
        <v>0</v>
      </c>
    </row>
    <row r="3067" spans="1:7" ht="15.75" x14ac:dyDescent="0.25">
      <c r="A3067" s="15">
        <f>'PEDIDO 38'!$B$2</f>
        <v>0</v>
      </c>
      <c r="B3067" s="12" t="s">
        <v>467</v>
      </c>
      <c r="C3067" s="1">
        <f>IFERROR(VLOOKUP(25714,'PEDIDO 38'!$C$2:$E$230,3,0),0)</f>
        <v>0</v>
      </c>
      <c r="D3067" s="1"/>
      <c r="E3067" s="1"/>
      <c r="F3067" s="1"/>
      <c r="G3067" s="18">
        <f t="shared" si="89"/>
        <v>0</v>
      </c>
    </row>
    <row r="3068" spans="1:7" ht="15.75" x14ac:dyDescent="0.25">
      <c r="A3068" s="15">
        <f>'PEDIDO 38'!$B$2</f>
        <v>0</v>
      </c>
      <c r="B3068" s="12" t="s">
        <v>468</v>
      </c>
      <c r="C3068" s="1">
        <f>IFERROR(VLOOKUP(25712,'PEDIDO 38'!$C$2:$E$230,3,0),0)</f>
        <v>0</v>
      </c>
      <c r="D3068" s="1"/>
      <c r="E3068" s="1"/>
      <c r="F3068" s="1"/>
      <c r="G3068" s="18">
        <f t="shared" si="89"/>
        <v>0</v>
      </c>
    </row>
    <row r="3069" spans="1:7" ht="15.75" x14ac:dyDescent="0.25">
      <c r="A3069" s="15">
        <f>'PEDIDO 38'!$B$2</f>
        <v>0</v>
      </c>
      <c r="B3069" s="12" t="s">
        <v>469</v>
      </c>
      <c r="C3069" s="1">
        <f>IFERROR(VLOOKUP(25713,'PEDIDO 38'!$C$2:$E$230,3,0),0)</f>
        <v>0</v>
      </c>
      <c r="D3069" s="1"/>
      <c r="E3069" s="1"/>
      <c r="F3069" s="1"/>
      <c r="G3069" s="18">
        <f t="shared" si="89"/>
        <v>0</v>
      </c>
    </row>
    <row r="3070" spans="1:7" ht="15.75" x14ac:dyDescent="0.25">
      <c r="A3070" s="15">
        <f>'PEDIDO 38'!$B$2</f>
        <v>0</v>
      </c>
      <c r="B3070" s="12" t="s">
        <v>470</v>
      </c>
      <c r="C3070" s="1">
        <f>IFERROR(VLOOKUP(1260,'PEDIDO 38'!$C$2:$E$230,3,0),0)</f>
        <v>0</v>
      </c>
      <c r="D3070" s="1"/>
      <c r="E3070" s="1"/>
      <c r="F3070" s="1"/>
      <c r="G3070" s="18">
        <f t="shared" si="89"/>
        <v>0</v>
      </c>
    </row>
    <row r="3071" spans="1:7" ht="15.75" x14ac:dyDescent="0.25">
      <c r="A3071" s="15">
        <f>'PEDIDO 38'!$B$2</f>
        <v>0</v>
      </c>
      <c r="B3071" s="12" t="s">
        <v>471</v>
      </c>
      <c r="C3071" s="1">
        <f>IFERROR(VLOOKUP(1261,'PEDIDO 38'!$C$2:$E$230,3,0),0)</f>
        <v>0</v>
      </c>
      <c r="D3071" s="1"/>
      <c r="E3071" s="1"/>
      <c r="F3071" s="1"/>
      <c r="G3071" s="18">
        <f t="shared" si="89"/>
        <v>0</v>
      </c>
    </row>
    <row r="3072" spans="1:7" ht="15.75" x14ac:dyDescent="0.25">
      <c r="A3072" s="15">
        <f>'PEDIDO 38'!$B$2</f>
        <v>0</v>
      </c>
      <c r="B3072" s="12" t="s">
        <v>472</v>
      </c>
      <c r="C3072" s="1">
        <f>IFERROR(VLOOKUP(1262,'PEDIDO 38'!$C$2:$E$230,3,0),0)</f>
        <v>0</v>
      </c>
      <c r="D3072" s="1"/>
      <c r="E3072" s="1"/>
      <c r="F3072" s="1"/>
      <c r="G3072" s="18">
        <f t="shared" si="89"/>
        <v>0</v>
      </c>
    </row>
    <row r="3073" spans="1:7" ht="15.75" x14ac:dyDescent="0.25">
      <c r="A3073" s="15">
        <f>'PEDIDO 38'!$B$2</f>
        <v>0</v>
      </c>
      <c r="B3073" s="12" t="s">
        <v>473</v>
      </c>
      <c r="C3073" s="1">
        <f>IFERROR(VLOOKUP(1263,'PEDIDO 38'!$C$2:$E$230,3,0),0)</f>
        <v>0</v>
      </c>
      <c r="D3073" s="1"/>
      <c r="E3073" s="1"/>
      <c r="F3073" s="1"/>
      <c r="G3073" s="18">
        <f t="shared" si="89"/>
        <v>0</v>
      </c>
    </row>
    <row r="3074" spans="1:7" ht="15.75" x14ac:dyDescent="0.25">
      <c r="A3074" s="15">
        <f>'PEDIDO 38'!$B$2</f>
        <v>0</v>
      </c>
      <c r="B3074" s="12" t="s">
        <v>474</v>
      </c>
      <c r="C3074" s="1">
        <f>IFERROR(VLOOKUP(1264,'PEDIDO 38'!$C$2:$E$230,3,0),0)</f>
        <v>0</v>
      </c>
      <c r="D3074" s="1"/>
      <c r="E3074" s="1"/>
      <c r="F3074" s="1"/>
      <c r="G3074" s="18">
        <f t="shared" si="89"/>
        <v>0</v>
      </c>
    </row>
    <row r="3075" spans="1:7" ht="15.75" x14ac:dyDescent="0.25">
      <c r="A3075" s="15">
        <f>'PEDIDO 38'!$B$2</f>
        <v>0</v>
      </c>
      <c r="B3075" s="12" t="s">
        <v>475</v>
      </c>
      <c r="C3075" s="1">
        <f>IFERROR(VLOOKUP(1265,'PEDIDO 38'!$C$2:$E$230,3,0),0)</f>
        <v>0</v>
      </c>
      <c r="D3075" s="1"/>
      <c r="E3075" s="1"/>
      <c r="F3075" s="1"/>
      <c r="G3075" s="18">
        <f t="shared" si="89"/>
        <v>0</v>
      </c>
    </row>
    <row r="3076" spans="1:7" ht="15.75" x14ac:dyDescent="0.25">
      <c r="A3076" s="15">
        <f>'PEDIDO 38'!$B$2</f>
        <v>0</v>
      </c>
      <c r="B3076" s="12" t="s">
        <v>476</v>
      </c>
      <c r="C3076" s="1">
        <f>IFERROR(VLOOKUP(1266,'PEDIDO 38'!$C$2:$E$230,3,0),0)</f>
        <v>0</v>
      </c>
      <c r="D3076" s="1"/>
      <c r="E3076" s="1"/>
      <c r="F3076" s="1"/>
      <c r="G3076" s="18">
        <f t="shared" si="89"/>
        <v>0</v>
      </c>
    </row>
    <row r="3077" spans="1:7" ht="15.75" x14ac:dyDescent="0.25">
      <c r="A3077" s="15">
        <f>'PEDIDO 38'!$B$2</f>
        <v>0</v>
      </c>
      <c r="B3077" s="12" t="s">
        <v>477</v>
      </c>
      <c r="C3077" s="1">
        <f>IFERROR(VLOOKUP(1268,'PEDIDO 38'!$C$2:$E$230,3,0),0)</f>
        <v>0</v>
      </c>
      <c r="D3077" s="1">
        <f>IFERROR(VLOOKUP(1269,'PEDIDO 38'!$C$2:$E$230,3,0),0)</f>
        <v>0</v>
      </c>
      <c r="E3077" s="1">
        <f>IFERROR(VLOOKUP(1270,'PEDIDO 38'!$C$2:$E$230,3,0),0)</f>
        <v>0</v>
      </c>
      <c r="F3077" s="1">
        <f>IFERROR(VLOOKUP(1271,'PEDIDO 38'!$C$2:$E$230,3,0),0)</f>
        <v>0</v>
      </c>
      <c r="G3077" s="18">
        <f t="shared" ref="G3077" si="90">SUM(C3077+D3077+E3077+F3077)</f>
        <v>0</v>
      </c>
    </row>
    <row r="3080" spans="1:7" ht="15.75" x14ac:dyDescent="0.25">
      <c r="A3080" s="15">
        <f>'PEDIDO 39'!$B$2</f>
        <v>0</v>
      </c>
      <c r="B3080" s="12" t="s">
        <v>399</v>
      </c>
      <c r="C3080" s="1">
        <f>IFERROR(VLOOKUP(1,'PEDIDO 39'!$C$2:$E$230,3,0),0)</f>
        <v>0</v>
      </c>
      <c r="D3080" s="1">
        <f>IFERROR(VLOOKUP(2,'PEDIDO 39'!$C$2:$E$230,3,0),0)</f>
        <v>0</v>
      </c>
      <c r="E3080" s="1">
        <f>IFERROR(VLOOKUP(3,'PEDIDO 39'!$C$2:$E$230,3,0),0)</f>
        <v>0</v>
      </c>
      <c r="F3080" s="1">
        <f>IFERROR(VLOOKUP(282,'PEDIDO 39'!$C$2:$E$230,3,0),0)</f>
        <v>0</v>
      </c>
      <c r="G3080" s="18">
        <f>SUM(C3080+D3080+E3080+F3080)</f>
        <v>0</v>
      </c>
    </row>
    <row r="3081" spans="1:7" ht="15.75" x14ac:dyDescent="0.25">
      <c r="A3081" s="15">
        <f>'PEDIDO 39'!$B$2</f>
        <v>0</v>
      </c>
      <c r="B3081" s="12" t="s">
        <v>400</v>
      </c>
      <c r="C3081" s="1">
        <f>IFERROR(VLOOKUP(5,'PEDIDO 39'!$C$2:$E$230,3,0),0)</f>
        <v>0</v>
      </c>
      <c r="D3081" s="1">
        <f>IFERROR(VLOOKUP(6,'PEDIDO 39'!$C$2:$E$230,3,0),0)</f>
        <v>0</v>
      </c>
      <c r="E3081" s="1">
        <f>IFERROR(VLOOKUP(7,'PEDIDO 39'!$C$2:$E$230,3,0),0)</f>
        <v>0</v>
      </c>
      <c r="F3081" s="1">
        <f>IFERROR(VLOOKUP(258,'PEDIDO 39'!$C$2:$E$230,3,0),0)</f>
        <v>0</v>
      </c>
      <c r="G3081" s="18">
        <f t="shared" ref="G3081:G3144" si="91">SUM(C3081+D3081+E3081+F3081)</f>
        <v>0</v>
      </c>
    </row>
    <row r="3082" spans="1:7" ht="15.75" x14ac:dyDescent="0.25">
      <c r="A3082" s="15">
        <f>'PEDIDO 39'!$B$2</f>
        <v>0</v>
      </c>
      <c r="B3082" s="12" t="s">
        <v>401</v>
      </c>
      <c r="C3082" s="1">
        <f>IFERROR(VLOOKUP(13,'PEDIDO 39'!$C$2:$E$230,3,0),0)</f>
        <v>0</v>
      </c>
      <c r="D3082" s="1">
        <f>IFERROR(VLOOKUP(14,'PEDIDO 39'!$C$2:$E$230,3,0),0)</f>
        <v>0</v>
      </c>
      <c r="E3082" s="1">
        <f>IFERROR(VLOOKUP(15,'PEDIDO 39'!$C$2:$E$230,3,0),0)</f>
        <v>0</v>
      </c>
      <c r="F3082" s="1">
        <f>IFERROR(VLOOKUP(289,'PEDIDO 39'!$C$2:$E$230,3,0),0)</f>
        <v>0</v>
      </c>
      <c r="G3082" s="18">
        <f t="shared" si="91"/>
        <v>0</v>
      </c>
    </row>
    <row r="3083" spans="1:7" ht="15.75" x14ac:dyDescent="0.25">
      <c r="A3083" s="15">
        <f>'PEDIDO 39'!$B$2</f>
        <v>0</v>
      </c>
      <c r="B3083" s="12" t="s">
        <v>402</v>
      </c>
      <c r="C3083" s="1">
        <f>IFERROR(VLOOKUP(267,'PEDIDO 39'!$C$2:$E$230,3,0),0)</f>
        <v>0</v>
      </c>
      <c r="D3083" s="1">
        <f>IFERROR(VLOOKUP(268,'PEDIDO 39'!$C$2:$E$230,3,0),0)</f>
        <v>0</v>
      </c>
      <c r="E3083" s="1">
        <f>IFERROR(VLOOKUP(270,'PEDIDO 39'!$C$2:$E$230,3,0),0)</f>
        <v>0</v>
      </c>
      <c r="F3083" s="1">
        <f>IFERROR(VLOOKUP(269,'PEDIDO 39'!$C$2:$E$230,3,0),0)</f>
        <v>0</v>
      </c>
      <c r="G3083" s="18">
        <f t="shared" si="91"/>
        <v>0</v>
      </c>
    </row>
    <row r="3084" spans="1:7" ht="15.75" x14ac:dyDescent="0.25">
      <c r="A3084" s="15">
        <f>'PEDIDO 39'!$B$2</f>
        <v>0</v>
      </c>
      <c r="B3084" s="12" t="s">
        <v>403</v>
      </c>
      <c r="C3084" s="1">
        <f>IFERROR(VLOOKUP(17,'PEDIDO 39'!$C$2:$E$230,3,0),0)</f>
        <v>0</v>
      </c>
      <c r="D3084" s="1">
        <f>IFERROR(VLOOKUP(18,'PEDIDO 39'!$C$2:$E$230,3,0),0)</f>
        <v>0</v>
      </c>
      <c r="E3084" s="1">
        <f>IFERROR(VLOOKUP(19,'PEDIDO 39'!$C$2:$E$230,3,0),0)</f>
        <v>0</v>
      </c>
      <c r="F3084" s="1">
        <f>IFERROR(VLOOKUP(290,'PEDIDO 39'!$C$2:$E$230,3,0),0)</f>
        <v>0</v>
      </c>
      <c r="G3084" s="18">
        <f t="shared" si="91"/>
        <v>0</v>
      </c>
    </row>
    <row r="3085" spans="1:7" ht="15.75" x14ac:dyDescent="0.25">
      <c r="A3085" s="15">
        <f>'PEDIDO 39'!$B$2</f>
        <v>0</v>
      </c>
      <c r="B3085" s="12" t="s">
        <v>404</v>
      </c>
      <c r="C3085" s="1">
        <f>IFERROR(VLOOKUP(23,'PEDIDO 39'!$C$2:$E$230,3,0),0)</f>
        <v>0</v>
      </c>
      <c r="D3085" s="1">
        <f>IFERROR(VLOOKUP(24,'PEDIDO 39'!$C$2:$E$230,3,0),0)</f>
        <v>0</v>
      </c>
      <c r="E3085" s="1">
        <f>IFERROR(VLOOKUP(25,'PEDIDO 39'!$C$2:$E$230,3,0),0)</f>
        <v>0</v>
      </c>
      <c r="F3085" s="1">
        <f>IFERROR(VLOOKUP(291,'PEDIDO 39'!$C$2:$E$230,3,0),0)</f>
        <v>0</v>
      </c>
      <c r="G3085" s="18">
        <f t="shared" si="91"/>
        <v>0</v>
      </c>
    </row>
    <row r="3086" spans="1:7" ht="15.75" x14ac:dyDescent="0.25">
      <c r="A3086" s="15">
        <f>'PEDIDO 39'!$B$2</f>
        <v>0</v>
      </c>
      <c r="B3086" s="12" t="s">
        <v>405</v>
      </c>
      <c r="C3086" s="1">
        <f>IFERROR(VLOOKUP(27,'PEDIDO 39'!$C$2:$E$230,3,0),0)</f>
        <v>0</v>
      </c>
      <c r="D3086" s="1">
        <f>IFERROR(VLOOKUP(28,'PEDIDO 39'!$C$2:$E$230,3,0),0)</f>
        <v>0</v>
      </c>
      <c r="E3086" s="1">
        <f>IFERROR(VLOOKUP(29,'PEDIDO 39'!$C$2:$E$230,3,0),0)</f>
        <v>0</v>
      </c>
      <c r="F3086" s="1">
        <f>IFERROR(VLOOKUP(292,'PEDIDO 39'!$C$2:$E$230,3,0),0)</f>
        <v>0</v>
      </c>
      <c r="G3086" s="18">
        <f t="shared" si="91"/>
        <v>0</v>
      </c>
    </row>
    <row r="3087" spans="1:7" ht="15.75" x14ac:dyDescent="0.25">
      <c r="A3087" s="15">
        <f>'PEDIDO 39'!$B$2</f>
        <v>0</v>
      </c>
      <c r="B3087" s="12" t="s">
        <v>406</v>
      </c>
      <c r="C3087" s="1">
        <f>IFERROR(VLOOKUP(227,'PEDIDO 39'!$C$2:$E$230,3,0),0)</f>
        <v>0</v>
      </c>
      <c r="D3087" s="1">
        <f>IFERROR(VLOOKUP(228,'PEDIDO 39'!$C$2:$E$230,3,0),0)</f>
        <v>0</v>
      </c>
      <c r="E3087" s="1">
        <f>IFERROR(VLOOKUP(229,'PEDIDO 39'!$C$2:$E$230,3,0),0)</f>
        <v>0</v>
      </c>
      <c r="F3087" s="1">
        <f>IFERROR(VLOOKUP(230,'PEDIDO 39'!$C$2:$E$230,3,0),0)</f>
        <v>0</v>
      </c>
      <c r="G3087" s="18">
        <f t="shared" si="91"/>
        <v>0</v>
      </c>
    </row>
    <row r="3088" spans="1:7" ht="15.75" x14ac:dyDescent="0.25">
      <c r="A3088" s="15">
        <f>'PEDIDO 39'!$B$2</f>
        <v>0</v>
      </c>
      <c r="B3088" s="12" t="s">
        <v>407</v>
      </c>
      <c r="C3088" s="1">
        <f>IFERROR(VLOOKUP(231,'PEDIDO 39'!$C$2:$E$230,3,0),0)</f>
        <v>0</v>
      </c>
      <c r="D3088" s="1">
        <f>IFERROR(VLOOKUP(232,'PEDIDO 39'!$C$2:$E$230,3,0),0)</f>
        <v>0</v>
      </c>
      <c r="E3088" s="1">
        <f>IFERROR(VLOOKUP(234,'PEDIDO 39'!$C$2:$E$230,3,0),0)</f>
        <v>0</v>
      </c>
      <c r="F3088" s="1">
        <f>IFERROR(VLOOKUP(233,'PEDIDO 39'!$C$2:$E$230,3,0),0)</f>
        <v>0</v>
      </c>
      <c r="G3088" s="18">
        <f t="shared" si="91"/>
        <v>0</v>
      </c>
    </row>
    <row r="3089" spans="1:7" ht="15.75" x14ac:dyDescent="0.25">
      <c r="A3089" s="15">
        <f>'PEDIDO 39'!$B$2</f>
        <v>0</v>
      </c>
      <c r="B3089" s="12" t="s">
        <v>408</v>
      </c>
      <c r="C3089" s="1">
        <f>IFERROR(VLOOKUP(237,'PEDIDO 39'!$C$2:$E$230,3,0),0)</f>
        <v>0</v>
      </c>
      <c r="D3089" s="1">
        <f>IFERROR(VLOOKUP(238,'PEDIDO 39'!$C$2:$E$230,3,0),0)</f>
        <v>0</v>
      </c>
      <c r="E3089" s="1">
        <f>IFERROR(VLOOKUP(240,'PEDIDO 39'!$C$2:$E$230,3,0),0)</f>
        <v>0</v>
      </c>
      <c r="F3089" s="1">
        <f>IFERROR(VLOOKUP(239,'PEDIDO 39'!$C$2:$E$230,3,0),0)</f>
        <v>0</v>
      </c>
      <c r="G3089" s="18">
        <f t="shared" si="91"/>
        <v>0</v>
      </c>
    </row>
    <row r="3090" spans="1:7" ht="15.75" x14ac:dyDescent="0.25">
      <c r="A3090" s="15">
        <f>'PEDIDO 39'!$B$2</f>
        <v>0</v>
      </c>
      <c r="B3090" s="12" t="s">
        <v>409</v>
      </c>
      <c r="C3090" s="1">
        <f>IFERROR(VLOOKUP(25707,'PEDIDO 39'!$C$2:$E$230,3,0),0)</f>
        <v>0</v>
      </c>
      <c r="D3090" s="1">
        <f>IFERROR(VLOOKUP(25708,'PEDIDO 39'!$C$2:$E$230,3,0),0)</f>
        <v>0</v>
      </c>
      <c r="E3090" s="1">
        <f>IFERROR(VLOOKUP(25710,'PEDIDO 39'!$C$2:$E$230,3,0),0)</f>
        <v>0</v>
      </c>
      <c r="F3090" s="1">
        <f>IFERROR(VLOOKUP(25709,'PEDIDO 39'!$C$2:$E$230,3,0),0)</f>
        <v>0</v>
      </c>
      <c r="G3090" s="18">
        <f t="shared" si="91"/>
        <v>0</v>
      </c>
    </row>
    <row r="3091" spans="1:7" ht="15.75" x14ac:dyDescent="0.25">
      <c r="A3091" s="15">
        <f>'PEDIDO 39'!$B$2</f>
        <v>0</v>
      </c>
      <c r="B3091" s="12" t="s">
        <v>410</v>
      </c>
      <c r="C3091" s="1">
        <f>IFERROR(VLOOKUP(25711,'PEDIDO 39'!$C$2:$E$230,3,0),0)</f>
        <v>0</v>
      </c>
      <c r="D3091" s="1"/>
      <c r="E3091" s="1"/>
      <c r="F3091" s="1"/>
      <c r="G3091" s="18">
        <f t="shared" si="91"/>
        <v>0</v>
      </c>
    </row>
    <row r="3092" spans="1:7" ht="15.75" x14ac:dyDescent="0.25">
      <c r="A3092" s="15">
        <f>'PEDIDO 39'!$B$2</f>
        <v>0</v>
      </c>
      <c r="B3092" s="12" t="s">
        <v>411</v>
      </c>
      <c r="C3092" s="1">
        <f>IFERROR(VLOOKUP(35,'PEDIDO 39'!$C$2:$E$230,3,0),0)</f>
        <v>0</v>
      </c>
      <c r="D3092" s="1">
        <f>IFERROR(VLOOKUP(36,'PEDIDO 39'!$C$2:$E$230,3,0),0)</f>
        <v>0</v>
      </c>
      <c r="E3092" s="1">
        <f>IFERROR(VLOOKUP(37,'PEDIDO 39'!$C$2:$E$230,3,0),0)</f>
        <v>0</v>
      </c>
      <c r="F3092" s="1">
        <f>IFERROR(VLOOKUP(294,'PEDIDO 39'!$C$2:$E$230,3,0),0)</f>
        <v>0</v>
      </c>
      <c r="G3092" s="18">
        <f t="shared" si="91"/>
        <v>0</v>
      </c>
    </row>
    <row r="3093" spans="1:7" ht="15.75" x14ac:dyDescent="0.25">
      <c r="A3093" s="15">
        <f>'PEDIDO 39'!$B$2</f>
        <v>0</v>
      </c>
      <c r="B3093" s="12" t="s">
        <v>412</v>
      </c>
      <c r="C3093" s="1">
        <f>IFERROR(VLOOKUP(39,'PEDIDO 39'!$C$2:$E$230,3,0),0)</f>
        <v>0</v>
      </c>
      <c r="D3093" s="1">
        <f>IFERROR(VLOOKUP(40,'PEDIDO 39'!$C$2:$E$230,3,0),0)</f>
        <v>0</v>
      </c>
      <c r="E3093" s="1">
        <f>IFERROR(VLOOKUP(42,'PEDIDO 39'!$C$2:$E$230,3,0),0)</f>
        <v>0</v>
      </c>
      <c r="F3093" s="1">
        <f>IFERROR(VLOOKUP(295,'PEDIDO 39'!$C$2:$E$230,3,0),0)</f>
        <v>0</v>
      </c>
      <c r="G3093" s="18">
        <f t="shared" si="91"/>
        <v>0</v>
      </c>
    </row>
    <row r="3094" spans="1:7" ht="15.75" x14ac:dyDescent="0.25">
      <c r="A3094" s="15">
        <f>'PEDIDO 39'!$B$2</f>
        <v>0</v>
      </c>
      <c r="B3094" s="12" t="s">
        <v>413</v>
      </c>
      <c r="C3094" s="1">
        <f>IFERROR(VLOOKUP(44,'PEDIDO 39'!$C$2:$E$230,3,0),0)</f>
        <v>0</v>
      </c>
      <c r="D3094" s="1">
        <f>IFERROR(VLOOKUP(45,'PEDIDO 39'!$C$2:$E$230,3,0),0)</f>
        <v>0</v>
      </c>
      <c r="E3094" s="1">
        <f>IFERROR(VLOOKUP(46,'PEDIDO 39'!$C$2:$E$230,3,0),0)</f>
        <v>0</v>
      </c>
      <c r="F3094" s="1">
        <f>IFERROR(VLOOKUP(283,'PEDIDO 39'!$C$2:$E$230,3,0),0)</f>
        <v>0</v>
      </c>
      <c r="G3094" s="18">
        <f t="shared" si="91"/>
        <v>0</v>
      </c>
    </row>
    <row r="3095" spans="1:7" ht="15.75" x14ac:dyDescent="0.25">
      <c r="A3095" s="15">
        <f>'PEDIDO 39'!$B$2</f>
        <v>0</v>
      </c>
      <c r="B3095" s="12" t="s">
        <v>414</v>
      </c>
      <c r="C3095" s="1">
        <f>IFERROR(VLOOKUP(48,'PEDIDO 39'!$C$2:$E$230,3,0),0)</f>
        <v>0</v>
      </c>
      <c r="D3095" s="1">
        <f>IFERROR(VLOOKUP(49,'PEDIDO 39'!$C$2:$E$230,3,0),0)</f>
        <v>0</v>
      </c>
      <c r="E3095" s="1">
        <f>IFERROR(VLOOKUP(50,'PEDIDO 39'!$C$2:$E$230,3,0),0)</f>
        <v>0</v>
      </c>
      <c r="F3095" s="1">
        <f>IFERROR(VLOOKUP(298,'PEDIDO 39'!$C$2:$E$230,3,0),0)</f>
        <v>0</v>
      </c>
      <c r="G3095" s="18">
        <f t="shared" si="91"/>
        <v>0</v>
      </c>
    </row>
    <row r="3096" spans="1:7" ht="15.75" x14ac:dyDescent="0.25">
      <c r="A3096" s="15">
        <f>'PEDIDO 39'!$B$2</f>
        <v>0</v>
      </c>
      <c r="B3096" s="12" t="s">
        <v>415</v>
      </c>
      <c r="C3096" s="1">
        <f>IFERROR(VLOOKUP(52,'PEDIDO 39'!$C$2:$E$230,3,0),0)</f>
        <v>0</v>
      </c>
      <c r="D3096" s="1">
        <f>IFERROR(VLOOKUP(53,'PEDIDO 39'!$C$2:$E$230,3,0),0)</f>
        <v>0</v>
      </c>
      <c r="E3096" s="1">
        <f>IFERROR(VLOOKUP(54,'PEDIDO 39'!$C$2:$E$230,3,0),0)</f>
        <v>0</v>
      </c>
      <c r="F3096" s="1">
        <f>IFERROR(VLOOKUP(299,'PEDIDO 39'!$C$2:$E$230,3,0),0)</f>
        <v>0</v>
      </c>
      <c r="G3096" s="18">
        <f t="shared" si="91"/>
        <v>0</v>
      </c>
    </row>
    <row r="3097" spans="1:7" ht="15.75" x14ac:dyDescent="0.25">
      <c r="A3097" s="15">
        <f>'PEDIDO 39'!$B$2</f>
        <v>0</v>
      </c>
      <c r="B3097" s="12" t="s">
        <v>416</v>
      </c>
      <c r="C3097" s="1">
        <f>IFERROR(VLOOKUP(56,'PEDIDO 39'!$C$2:$E$230,3,0),0)</f>
        <v>0</v>
      </c>
      <c r="D3097" s="1">
        <f>IFERROR(VLOOKUP(61,'PEDIDO 39'!$C$2:$E$230,3,0),0)</f>
        <v>0</v>
      </c>
      <c r="E3097" s="1">
        <f>IFERROR(VLOOKUP(58,'PEDIDO 39'!$C$2:$E$230,3,0),0)</f>
        <v>0</v>
      </c>
      <c r="F3097" s="1">
        <f>IFERROR(VLOOKUP(300,'PEDIDO 39'!$C$2:$E$230,3,0),0)</f>
        <v>0</v>
      </c>
      <c r="G3097" s="18">
        <f t="shared" si="91"/>
        <v>0</v>
      </c>
    </row>
    <row r="3098" spans="1:7" ht="15.75" x14ac:dyDescent="0.25">
      <c r="A3098" s="15">
        <f>'PEDIDO 39'!$B$2</f>
        <v>0</v>
      </c>
      <c r="B3098" s="12" t="s">
        <v>417</v>
      </c>
      <c r="C3098" s="1">
        <f>IFERROR(VLOOKUP(60,'PEDIDO 39'!$C$2:$E$230,3,0),0)</f>
        <v>0</v>
      </c>
      <c r="D3098" s="1">
        <f>IFERROR(VLOOKUP(120,'PEDIDO 39'!$C$2:$E$230,3,0),0)</f>
        <v>0</v>
      </c>
      <c r="E3098" s="1">
        <f>IFERROR(VLOOKUP(62,'PEDIDO 39'!$C$2:$E$230,3,0),0)</f>
        <v>0</v>
      </c>
      <c r="F3098" s="1">
        <f>IFERROR(VLOOKUP(301,'PEDIDO 39'!$C$2:$E$230,3,0),0)</f>
        <v>0</v>
      </c>
      <c r="G3098" s="18">
        <f t="shared" si="91"/>
        <v>0</v>
      </c>
    </row>
    <row r="3099" spans="1:7" ht="15.75" x14ac:dyDescent="0.25">
      <c r="A3099" s="15">
        <f>'PEDIDO 39'!$B$2</f>
        <v>0</v>
      </c>
      <c r="B3099" s="12" t="s">
        <v>426</v>
      </c>
      <c r="C3099" s="1">
        <f>IFERROR(VLOOKUP(112,'PEDIDO 39'!$C$2:$E$230,3,0),0)</f>
        <v>0</v>
      </c>
      <c r="D3099" s="1">
        <f>IFERROR(VLOOKUP(113,'PEDIDO 39'!$C$2:$E$230,3,0),0)</f>
        <v>0</v>
      </c>
      <c r="E3099" s="1">
        <f>IFERROR(VLOOKUP(114,'PEDIDO 39'!$C$2:$E$230,3,0),0)</f>
        <v>0</v>
      </c>
      <c r="F3099" s="1">
        <f>IFERROR(VLOOKUP(296,'PEDIDO 39'!$C$2:$E$230,3,0),0)</f>
        <v>0</v>
      </c>
      <c r="G3099" s="18">
        <f t="shared" si="91"/>
        <v>0</v>
      </c>
    </row>
    <row r="3100" spans="1:7" ht="15.75" x14ac:dyDescent="0.25">
      <c r="A3100" s="15">
        <f>'PEDIDO 39'!$B$2</f>
        <v>0</v>
      </c>
      <c r="B3100" s="12" t="s">
        <v>427</v>
      </c>
      <c r="C3100" s="1">
        <f>IFERROR(VLOOKUP(116,'PEDIDO 39'!$C$2:$E$230,3,0),0)</f>
        <v>0</v>
      </c>
      <c r="D3100" s="1">
        <f>IFERROR(VLOOKUP(117,'PEDIDO 39'!$C$2:$E$230,3,0),0)</f>
        <v>0</v>
      </c>
      <c r="E3100" s="1">
        <f>IFERROR(VLOOKUP(118,'PEDIDO 39'!$C$2:$E$230,3,0),0)</f>
        <v>0</v>
      </c>
      <c r="F3100" s="1">
        <f>IFERROR(VLOOKUP(293,'PEDIDO 39'!$C$2:$E$230,3,0),0)</f>
        <v>0</v>
      </c>
      <c r="G3100" s="18">
        <f t="shared" si="91"/>
        <v>0</v>
      </c>
    </row>
    <row r="3101" spans="1:7" ht="15.75" x14ac:dyDescent="0.25">
      <c r="A3101" s="15">
        <f>'PEDIDO 39'!$B$2</f>
        <v>0</v>
      </c>
      <c r="B3101" s="12" t="s">
        <v>418</v>
      </c>
      <c r="C3101" s="1">
        <f>IFERROR(VLOOKUP(963,'PEDIDO 39'!$C$2:$E$230,3,0),0)</f>
        <v>0</v>
      </c>
      <c r="D3101" s="1">
        <f>IFERROR(VLOOKUP(965,'PEDIDO 39'!$C$2:$E$230,3,0),0)</f>
        <v>0</v>
      </c>
      <c r="E3101" s="1">
        <f>IFERROR(VLOOKUP(966,'PEDIDO 39'!$C$2:$E$230,3,0),0)</f>
        <v>0</v>
      </c>
      <c r="F3101" s="1">
        <f>IFERROR(VLOOKUP(964,'PEDIDO 39'!$C$2:$E$230,3,0),0)</f>
        <v>0</v>
      </c>
      <c r="G3101" s="18">
        <f t="shared" si="91"/>
        <v>0</v>
      </c>
    </row>
    <row r="3102" spans="1:7" ht="15.75" x14ac:dyDescent="0.25">
      <c r="A3102" s="15">
        <f>'PEDIDO 39'!$B$2</f>
        <v>0</v>
      </c>
      <c r="B3102" s="12" t="s">
        <v>419</v>
      </c>
      <c r="C3102" s="1">
        <f>IFERROR(VLOOKUP(2042,'PEDIDO 39'!$C$2:$E$230,3,0),0)</f>
        <v>0</v>
      </c>
      <c r="D3102" s="1">
        <f>IFERROR(VLOOKUP(2041,'PEDIDO 39'!$C$2:$E$230,3,0),0)</f>
        <v>0</v>
      </c>
      <c r="E3102" s="1">
        <f>IFERROR(VLOOKUP(2043,'PEDIDO 39'!$C$2:$E$230,3,0),0)</f>
        <v>0</v>
      </c>
      <c r="F3102" s="1">
        <f>IFERROR(VLOOKUP(2040,'PEDIDO 39'!$C$2:$E$230,3,0),0)</f>
        <v>0</v>
      </c>
      <c r="G3102" s="18">
        <f t="shared" si="91"/>
        <v>0</v>
      </c>
    </row>
    <row r="3103" spans="1:7" ht="15.75" x14ac:dyDescent="0.25">
      <c r="A3103" s="15">
        <f>'PEDIDO 39'!$B$2</f>
        <v>0</v>
      </c>
      <c r="B3103" s="12" t="s">
        <v>420</v>
      </c>
      <c r="C3103" s="1">
        <f>IFERROR(VLOOKUP(2045,'PEDIDO 39'!$C$2:$E$230,3,0),0)</f>
        <v>0</v>
      </c>
      <c r="D3103" s="1">
        <f>IFERROR(VLOOKUP(2046,'PEDIDO 39'!$C$2:$E$230,3,0),0)</f>
        <v>0</v>
      </c>
      <c r="E3103" s="1">
        <f>IFERROR(VLOOKUP(2047,'PEDIDO 39'!$C$2:$E$230,3,0),0)</f>
        <v>0</v>
      </c>
      <c r="F3103" s="1">
        <f>IFERROR(VLOOKUP(2048,'PEDIDO 39'!$C$2:$E$230,3,0),0)</f>
        <v>0</v>
      </c>
      <c r="G3103" s="18">
        <f t="shared" si="91"/>
        <v>0</v>
      </c>
    </row>
    <row r="3104" spans="1:7" ht="15.75" x14ac:dyDescent="0.25">
      <c r="A3104" s="15">
        <f>'PEDIDO 39'!$B$2</f>
        <v>0</v>
      </c>
      <c r="B3104" s="12" t="s">
        <v>421</v>
      </c>
      <c r="C3104" s="1">
        <f>IFERROR(VLOOKUP(2050,'PEDIDO 39'!$C$2:$E$230,3,0),0)</f>
        <v>0</v>
      </c>
      <c r="D3104" s="1">
        <f>IFERROR(VLOOKUP(2051,'PEDIDO 39'!$C$2:$E$230,3,0),0)</f>
        <v>0</v>
      </c>
      <c r="E3104" s="1">
        <f>IFERROR(VLOOKUP(2052,'PEDIDO 39'!$C$2:$E$230,3,0),0)</f>
        <v>0</v>
      </c>
      <c r="F3104" s="1">
        <f>IFERROR(VLOOKUP(2053,'PEDIDO 39'!$C$2:$E$230,3,0),0)</f>
        <v>0</v>
      </c>
      <c r="G3104" s="18">
        <f t="shared" si="91"/>
        <v>0</v>
      </c>
    </row>
    <row r="3105" spans="1:7" ht="15.75" x14ac:dyDescent="0.25">
      <c r="A3105" s="15">
        <f>'PEDIDO 39'!$B$2</f>
        <v>0</v>
      </c>
      <c r="B3105" s="12" t="s">
        <v>422</v>
      </c>
      <c r="C3105" s="1">
        <f>IFERROR(VLOOKUP(216,'PEDIDO 39'!$C$2:$E$230,3,0),0)</f>
        <v>0</v>
      </c>
      <c r="D3105" s="1">
        <f>IFERROR(VLOOKUP(217,'PEDIDO 39'!$C$2:$E$230,3,0),0)</f>
        <v>0</v>
      </c>
      <c r="E3105" s="1">
        <f>IFERROR(VLOOKUP(218,'PEDIDO 39'!$C$2:$E$230,3,0),0)</f>
        <v>0</v>
      </c>
      <c r="F3105" s="1">
        <f>IFERROR(VLOOKUP(305,'PEDIDO 39'!$C$2:$E$230,3,0),0)</f>
        <v>0</v>
      </c>
      <c r="G3105" s="18">
        <f t="shared" si="91"/>
        <v>0</v>
      </c>
    </row>
    <row r="3106" spans="1:7" ht="15.75" x14ac:dyDescent="0.25">
      <c r="A3106" s="15">
        <f>'PEDIDO 39'!$B$2</f>
        <v>0</v>
      </c>
      <c r="B3106" s="12" t="s">
        <v>423</v>
      </c>
      <c r="C3106" s="1">
        <f>IFERROR(VLOOKUP(100,'PEDIDO 39'!$C$2:$E$230,3,0),0)</f>
        <v>0</v>
      </c>
      <c r="D3106" s="1">
        <f>IFERROR(VLOOKUP(101,'PEDIDO 39'!$C$2:$E$230,3,0),0)</f>
        <v>0</v>
      </c>
      <c r="E3106" s="1">
        <f>IFERROR(VLOOKUP(102,'PEDIDO 39'!$C$2:$E$230,3,0),0)</f>
        <v>0</v>
      </c>
      <c r="F3106" s="1">
        <f>IFERROR(VLOOKUP(306,'PEDIDO 39'!$C$2:$E$230,3,0),0)</f>
        <v>0</v>
      </c>
      <c r="G3106" s="18">
        <f t="shared" si="91"/>
        <v>0</v>
      </c>
    </row>
    <row r="3107" spans="1:7" ht="15.75" x14ac:dyDescent="0.25">
      <c r="A3107" s="15">
        <f>'PEDIDO 39'!$B$2</f>
        <v>0</v>
      </c>
      <c r="B3107" s="12" t="s">
        <v>424</v>
      </c>
      <c r="C3107" s="1">
        <f>IFERROR(VLOOKUP(104,'PEDIDO 39'!$C$2:$E$230,3,0),0)</f>
        <v>0</v>
      </c>
      <c r="D3107" s="1">
        <f>IFERROR(VLOOKUP(105,'PEDIDO 39'!$C$2:$E$230,3,0),0)</f>
        <v>0</v>
      </c>
      <c r="E3107" s="1">
        <f>IFERROR(VLOOKUP(106,'PEDIDO 39'!$C$2:$E$230,3,0),0)</f>
        <v>0</v>
      </c>
      <c r="F3107" s="1">
        <f>IFERROR(VLOOKUP(307,'PEDIDO 39'!$C$2:$E$230,3,0),0)</f>
        <v>0</v>
      </c>
      <c r="G3107" s="18">
        <f t="shared" si="91"/>
        <v>0</v>
      </c>
    </row>
    <row r="3108" spans="1:7" ht="15.75" x14ac:dyDescent="0.25">
      <c r="A3108" s="15">
        <f>'PEDIDO 39'!$B$2</f>
        <v>0</v>
      </c>
      <c r="B3108" s="12" t="s">
        <v>425</v>
      </c>
      <c r="C3108" s="1">
        <f>IFERROR(VLOOKUP(400,'PEDIDO 39'!$C$2:$E$230,3,0),0)</f>
        <v>0</v>
      </c>
      <c r="D3108" s="1">
        <f>IFERROR(VLOOKUP(401,'PEDIDO 39'!$C$2:$E$230,3,0),0)</f>
        <v>0</v>
      </c>
      <c r="E3108" s="1">
        <f>IFERROR(VLOOKUP(402,'PEDIDO 39'!$C$2:$E$230,3,0),0)</f>
        <v>0</v>
      </c>
      <c r="F3108" s="1">
        <f>IFERROR(VLOOKUP(403,'PEDIDO 39'!$C$2:$E$230,3,0),0)</f>
        <v>0</v>
      </c>
      <c r="G3108" s="18">
        <f t="shared" si="91"/>
        <v>0</v>
      </c>
    </row>
    <row r="3109" spans="1:7" ht="15.75" x14ac:dyDescent="0.25">
      <c r="A3109" s="15">
        <f>'PEDIDO 39'!$B$2</f>
        <v>0</v>
      </c>
      <c r="B3109" s="12" t="s">
        <v>428</v>
      </c>
      <c r="C3109" s="1">
        <f>IFERROR(VLOOKUP(22,'PEDIDO 39'!$C$2:$E$230,3,0),0)</f>
        <v>0</v>
      </c>
      <c r="D3109" s="1"/>
      <c r="E3109" s="1"/>
      <c r="F3109" s="1"/>
      <c r="G3109" s="18">
        <f t="shared" si="91"/>
        <v>0</v>
      </c>
    </row>
    <row r="3110" spans="1:7" ht="15.75" x14ac:dyDescent="0.25">
      <c r="A3110" s="15">
        <f>'PEDIDO 39'!$B$2</f>
        <v>0</v>
      </c>
      <c r="B3110" s="12" t="s">
        <v>429</v>
      </c>
      <c r="C3110" s="1">
        <f>IFERROR(VLOOKUP(21,'PEDIDO 39'!$C$2:$E$230,3,0),0)</f>
        <v>0</v>
      </c>
      <c r="D3110" s="1"/>
      <c r="E3110" s="1"/>
      <c r="F3110" s="1"/>
      <c r="G3110" s="18">
        <f t="shared" si="91"/>
        <v>0</v>
      </c>
    </row>
    <row r="3111" spans="1:7" ht="15.75" x14ac:dyDescent="0.25">
      <c r="A3111" s="15">
        <f>'PEDIDO 39'!$B$2</f>
        <v>0</v>
      </c>
      <c r="B3111" s="12" t="s">
        <v>430</v>
      </c>
      <c r="C3111" s="1">
        <f>IFERROR(VLOOKUP(1125,'PEDIDO 39'!$C$2:$E$230,3,0),0)</f>
        <v>0</v>
      </c>
      <c r="D3111" s="1">
        <f>IFERROR(VLOOKUP(1126,'PEDIDO 39'!$C$2:$E$230,3,0),0)</f>
        <v>0</v>
      </c>
      <c r="E3111" s="1">
        <f>IFERROR(VLOOKUP(1127,'PEDIDO 39'!$C$2:$E$230,3,0),0)</f>
        <v>0</v>
      </c>
      <c r="F3111" s="1">
        <f>IFERROR(VLOOKUP(1128,'PEDIDO 39'!$C$2:$E$230,3,0),0)</f>
        <v>0</v>
      </c>
      <c r="G3111" s="18">
        <f t="shared" si="91"/>
        <v>0</v>
      </c>
    </row>
    <row r="3112" spans="1:7" ht="15.75" x14ac:dyDescent="0.25">
      <c r="A3112" s="15">
        <f>'PEDIDO 39'!$B$2</f>
        <v>0</v>
      </c>
      <c r="B3112" s="12" t="s">
        <v>431</v>
      </c>
      <c r="C3112" s="1">
        <f>IFERROR(VLOOKUP(1133,'PEDIDO 39'!$C$2:$E$230,3,0),0)</f>
        <v>0</v>
      </c>
      <c r="D3112" s="1">
        <f>IFERROR(VLOOKUP(1134,'PEDIDO 39'!$C$2:$E$230,3,0),0)</f>
        <v>0</v>
      </c>
      <c r="E3112" s="1">
        <f>IFERROR(VLOOKUP(1135,'PEDIDO 39'!$C$2:$E$230,3,0),0)</f>
        <v>0</v>
      </c>
      <c r="F3112" s="1">
        <f>IFERROR(VLOOKUP(1136,'PEDIDO 39'!$C$2:$E$230,3,0),0)</f>
        <v>0</v>
      </c>
      <c r="G3112" s="18">
        <f t="shared" si="91"/>
        <v>0</v>
      </c>
    </row>
    <row r="3113" spans="1:7" ht="15.75" x14ac:dyDescent="0.25">
      <c r="A3113" s="15">
        <f>'PEDIDO 39'!$B$2</f>
        <v>0</v>
      </c>
      <c r="B3113" s="12" t="s">
        <v>432</v>
      </c>
      <c r="C3113" s="1">
        <f>IFERROR(VLOOKUP(1105,'PEDIDO 39'!$C$2:$E$230,3,0),0)</f>
        <v>0</v>
      </c>
      <c r="D3113" s="1">
        <f>IFERROR(VLOOKUP(1106,'PEDIDO 39'!$C$2:$E$230,3,0),0)</f>
        <v>0</v>
      </c>
      <c r="E3113" s="1">
        <f>IFERROR(VLOOKUP(1107,'PEDIDO 39'!$C$2:$E$230,3,0),0)</f>
        <v>0</v>
      </c>
      <c r="F3113" s="1">
        <f>IFERROR(VLOOKUP(1108,'PEDIDO 39'!$C$2:$E$230,3,0),0)</f>
        <v>0</v>
      </c>
      <c r="G3113" s="18">
        <f t="shared" si="91"/>
        <v>0</v>
      </c>
    </row>
    <row r="3114" spans="1:7" ht="15.75" x14ac:dyDescent="0.25">
      <c r="A3114" s="15">
        <f>'PEDIDO 39'!$B$2</f>
        <v>0</v>
      </c>
      <c r="B3114" s="12" t="s">
        <v>433</v>
      </c>
      <c r="C3114" s="1">
        <f>IFERROR(VLOOKUP(1109,'PEDIDO 39'!$C$2:$E$230,3,0),0)</f>
        <v>0</v>
      </c>
      <c r="D3114" s="1">
        <f>IFERROR(VLOOKUP(1110,'PEDIDO 39'!$C$2:$E$230,3,0),0)</f>
        <v>0</v>
      </c>
      <c r="E3114" s="1">
        <f>IFERROR(VLOOKUP(1111,'PEDIDO 39'!$C$2:$E$230,3,0),0)</f>
        <v>0</v>
      </c>
      <c r="F3114" s="1">
        <f>IFERROR(VLOOKUP(1112,'PEDIDO 39'!$C$2:$E$230,3,0),0)</f>
        <v>0</v>
      </c>
      <c r="G3114" s="18">
        <f t="shared" si="91"/>
        <v>0</v>
      </c>
    </row>
    <row r="3115" spans="1:7" ht="15.75" x14ac:dyDescent="0.25">
      <c r="A3115" s="15">
        <f>'PEDIDO 39'!$B$2</f>
        <v>0</v>
      </c>
      <c r="B3115" s="12" t="s">
        <v>434</v>
      </c>
      <c r="C3115" s="1">
        <f>IFERROR(VLOOKUP(1113,'PEDIDO 39'!$C$2:$E$230,3,0),0)</f>
        <v>0</v>
      </c>
      <c r="D3115" s="1">
        <f>IFERROR(VLOOKUP(1114,'PEDIDO 39'!$C$2:$E$230,3,0),0)</f>
        <v>0</v>
      </c>
      <c r="E3115" s="1">
        <f>IFERROR(VLOOKUP(1115,'PEDIDO 39'!$C$2:$E$230,3,0),0)</f>
        <v>0</v>
      </c>
      <c r="F3115" s="1">
        <f>IFERROR(VLOOKUP(1116,'PEDIDO 39'!$C$2:$E$230,3,0),0)</f>
        <v>0</v>
      </c>
      <c r="G3115" s="18">
        <f t="shared" si="91"/>
        <v>0</v>
      </c>
    </row>
    <row r="3116" spans="1:7" ht="15.75" x14ac:dyDescent="0.25">
      <c r="A3116" s="15">
        <f>'PEDIDO 39'!$B$2</f>
        <v>0</v>
      </c>
      <c r="B3116" s="12" t="s">
        <v>435</v>
      </c>
      <c r="C3116" s="1">
        <f>IFERROR(VLOOKUP(1117,'PEDIDO 39'!$C$2:$E$230,3,0),0)</f>
        <v>0</v>
      </c>
      <c r="D3116" s="1">
        <f>IFERROR(VLOOKUP(1118,'PEDIDO 39'!$C$2:$E$230,3,0),0)</f>
        <v>0</v>
      </c>
      <c r="E3116" s="1">
        <f>IFERROR(VLOOKUP(1119,'PEDIDO 39'!$C$2:$E$230,3,0),0)</f>
        <v>0</v>
      </c>
      <c r="F3116" s="1">
        <f>IFERROR(VLOOKUP(1120,'PEDIDO 39'!$C$2:$E$230,3,0),0)</f>
        <v>0</v>
      </c>
      <c r="G3116" s="18">
        <f t="shared" si="91"/>
        <v>0</v>
      </c>
    </row>
    <row r="3117" spans="1:7" ht="15.75" x14ac:dyDescent="0.25">
      <c r="A3117" s="15">
        <f>'PEDIDO 39'!$B$2</f>
        <v>0</v>
      </c>
      <c r="B3117" s="12" t="s">
        <v>436</v>
      </c>
      <c r="C3117" s="1">
        <f>IFERROR(VLOOKUP(1121,'PEDIDO 39'!$C$2:$E$230,3,0),0)</f>
        <v>0</v>
      </c>
      <c r="D3117" s="1">
        <f>IFERROR(VLOOKUP(1122,'PEDIDO 39'!$C$2:$E$230,3,0),0)</f>
        <v>0</v>
      </c>
      <c r="E3117" s="1">
        <f>IFERROR(VLOOKUP(1123,'PEDIDO 39'!$C$2:$E$230,3,0),0)</f>
        <v>0</v>
      </c>
      <c r="F3117" s="1">
        <f>IFERROR(VLOOKUP(1124,'PEDIDO 39'!$C$2:$E$230,3,0),0)</f>
        <v>0</v>
      </c>
      <c r="G3117" s="18">
        <f t="shared" si="91"/>
        <v>0</v>
      </c>
    </row>
    <row r="3118" spans="1:7" ht="15.75" x14ac:dyDescent="0.25">
      <c r="A3118" s="15">
        <f>'PEDIDO 39'!$B$2</f>
        <v>0</v>
      </c>
      <c r="B3118" s="12" t="s">
        <v>437</v>
      </c>
      <c r="C3118" s="1">
        <f>IFERROR(VLOOKUP(1129,'PEDIDO 39'!$C$2:$E$230,3,0),0)</f>
        <v>0</v>
      </c>
      <c r="D3118" s="1">
        <f>IFERROR(VLOOKUP(1130,'PEDIDO 39'!$C$2:$E$230,3,0),0)</f>
        <v>0</v>
      </c>
      <c r="E3118" s="1">
        <f>IFERROR(VLOOKUP(1131,'PEDIDO 39'!$C$2:$E$230,3,0),0)</f>
        <v>0</v>
      </c>
      <c r="F3118" s="1">
        <f>IFERROR(VLOOKUP(1132,'PEDIDO 39'!$C$2:$E$230,3,0),0)</f>
        <v>0</v>
      </c>
      <c r="G3118" s="18">
        <f t="shared" si="91"/>
        <v>0</v>
      </c>
    </row>
    <row r="3119" spans="1:7" ht="15.75" x14ac:dyDescent="0.25">
      <c r="A3119" s="15">
        <f>'PEDIDO 39'!$B$2</f>
        <v>0</v>
      </c>
      <c r="B3119" s="12" t="s">
        <v>438</v>
      </c>
      <c r="C3119" s="1">
        <f>IFERROR(VLOOKUP(1137,'PEDIDO 39'!$C$2:$E$230,3,0),0)</f>
        <v>0</v>
      </c>
      <c r="D3119" s="1">
        <f>IFERROR(VLOOKUP(1138,'PEDIDO 39'!$C$2:$E$230,3,0),0)</f>
        <v>0</v>
      </c>
      <c r="E3119" s="1">
        <f>IFERROR(VLOOKUP(1139,'PEDIDO 39'!$C$2:$E$230,3,0),0)</f>
        <v>0</v>
      </c>
      <c r="F3119" s="1">
        <f>IFERROR(VLOOKUP(1140,'PEDIDO 39'!$C$2:$E$230,3,0),0)</f>
        <v>0</v>
      </c>
      <c r="G3119" s="18">
        <f t="shared" si="91"/>
        <v>0</v>
      </c>
    </row>
    <row r="3120" spans="1:7" ht="15.75" x14ac:dyDescent="0.25">
      <c r="A3120" s="15">
        <f>'PEDIDO 39'!$B$2</f>
        <v>0</v>
      </c>
      <c r="B3120" s="12" t="s">
        <v>439</v>
      </c>
      <c r="C3120" s="1">
        <f>IFERROR(VLOOKUP(1141,'PEDIDO 39'!$C$2:$E$230,3,0),0)</f>
        <v>0</v>
      </c>
      <c r="D3120" s="1">
        <f>IFERROR(VLOOKUP(1142,'PEDIDO 39'!$C$2:$E$230,3,0),0)</f>
        <v>0</v>
      </c>
      <c r="E3120" s="1">
        <f>IFERROR(VLOOKUP(1143,'PEDIDO 39'!$C$2:$E$230,3,0),0)</f>
        <v>0</v>
      </c>
      <c r="F3120" s="1">
        <f>IFERROR(VLOOKUP(1144,'PEDIDO 39'!$C$2:$E$230,3,0),0)</f>
        <v>0</v>
      </c>
      <c r="G3120" s="18">
        <f t="shared" si="91"/>
        <v>0</v>
      </c>
    </row>
    <row r="3121" spans="1:7" ht="15.75" x14ac:dyDescent="0.25">
      <c r="A3121" s="15">
        <f>'PEDIDO 39'!$B$2</f>
        <v>0</v>
      </c>
      <c r="B3121" s="12" t="s">
        <v>440</v>
      </c>
      <c r="C3121" s="1">
        <f>IFERROR(VLOOKUP(1145,'PEDIDO 39'!$C$2:$E$230,3,0),0)</f>
        <v>0</v>
      </c>
      <c r="D3121" s="1">
        <f>IFERROR(VLOOKUP(1146,'PEDIDO 39'!$C$2:$E$230,3,0),0)</f>
        <v>0</v>
      </c>
      <c r="E3121" s="1">
        <f>IFERROR(VLOOKUP(1147,'PEDIDO 39'!$C$2:$E$230,3,0),0)</f>
        <v>0</v>
      </c>
      <c r="F3121" s="1">
        <f>IFERROR(VLOOKUP(1148,'PEDIDO 39'!$C$2:$E$230,3,0),0)</f>
        <v>0</v>
      </c>
      <c r="G3121" s="18">
        <f t="shared" si="91"/>
        <v>0</v>
      </c>
    </row>
    <row r="3122" spans="1:7" ht="15.75" x14ac:dyDescent="0.25">
      <c r="A3122" s="15">
        <f>'PEDIDO 39'!$B$2</f>
        <v>0</v>
      </c>
      <c r="B3122" s="12" t="s">
        <v>441</v>
      </c>
      <c r="C3122" s="1">
        <f>IFERROR(VLOOKUP(1149,'PEDIDO 39'!$C$2:$E$230,3,0),0)</f>
        <v>0</v>
      </c>
      <c r="D3122" s="1">
        <f>IFERROR(VLOOKUP(1150,'PEDIDO 39'!$C$2:$E$230,3,0),0)</f>
        <v>0</v>
      </c>
      <c r="E3122" s="1">
        <f>IFERROR(VLOOKUP(1151,'PEDIDO 39'!$C$2:$E$230,3,0),0)</f>
        <v>0</v>
      </c>
      <c r="F3122" s="1">
        <f>IFERROR(VLOOKUP(1152,'PEDIDO 39'!$C$2:$E$230,3,0),0)</f>
        <v>0</v>
      </c>
      <c r="G3122" s="18">
        <f t="shared" si="91"/>
        <v>0</v>
      </c>
    </row>
    <row r="3123" spans="1:7" ht="15.75" x14ac:dyDescent="0.25">
      <c r="A3123" s="15">
        <f>'PEDIDO 39'!$B$2</f>
        <v>0</v>
      </c>
      <c r="B3123" s="12" t="s">
        <v>442</v>
      </c>
      <c r="C3123" s="1">
        <f>IFERROR(VLOOKUP(1153,'PEDIDO 39'!$C$2:$E$230,3,0),0)</f>
        <v>0</v>
      </c>
      <c r="D3123" s="1">
        <f>IFERROR(VLOOKUP(1154,'PEDIDO 39'!$C$2:$E$230,3,0),0)</f>
        <v>0</v>
      </c>
      <c r="E3123" s="1">
        <f>IFERROR(VLOOKUP(1155,'PEDIDO 39'!$C$2:$E$230,3,0),0)</f>
        <v>0</v>
      </c>
      <c r="F3123" s="1">
        <f>IFERROR(VLOOKUP(1156,'PEDIDO 39'!$C$2:$E$230,3,0),0)</f>
        <v>0</v>
      </c>
      <c r="G3123" s="18">
        <f t="shared" si="91"/>
        <v>0</v>
      </c>
    </row>
    <row r="3124" spans="1:7" ht="15.75" x14ac:dyDescent="0.25">
      <c r="A3124" s="15">
        <f>'PEDIDO 39'!$B$2</f>
        <v>0</v>
      </c>
      <c r="B3124" s="12" t="s">
        <v>443</v>
      </c>
      <c r="C3124" s="1">
        <f>IFERROR(VLOOKUP(1157,'PEDIDO 39'!$C$2:$E$230,3,0),0)</f>
        <v>0</v>
      </c>
      <c r="D3124" s="1">
        <f>IFERROR(VLOOKUP(1158,'PEDIDO 39'!$C$2:$E$230,3,0),0)</f>
        <v>0</v>
      </c>
      <c r="E3124" s="1">
        <f>IFERROR(VLOOKUP(1159,'PEDIDO 39'!$C$2:$E$230,3,0),0)</f>
        <v>0</v>
      </c>
      <c r="F3124" s="1">
        <f>IFERROR(VLOOKUP(1160,'PEDIDO 39'!$C$2:$E$230,3,0),0)</f>
        <v>0</v>
      </c>
      <c r="G3124" s="18">
        <f t="shared" si="91"/>
        <v>0</v>
      </c>
    </row>
    <row r="3125" spans="1:7" ht="15.75" x14ac:dyDescent="0.25">
      <c r="A3125" s="15">
        <f>'PEDIDO 39'!$B$2</f>
        <v>0</v>
      </c>
      <c r="B3125" s="12" t="s">
        <v>444</v>
      </c>
      <c r="C3125" s="1">
        <f>IFERROR(VLOOKUP(1161,'PEDIDO 39'!$C$2:$E$230,3,0),0)</f>
        <v>0</v>
      </c>
      <c r="D3125" s="1">
        <f>IFERROR(VLOOKUP(1162,'PEDIDO 39'!$C$2:$E$230,3,0),0)</f>
        <v>0</v>
      </c>
      <c r="E3125" s="1">
        <f>IFERROR(VLOOKUP(1163,'PEDIDO 39'!$C$2:$E$230,3,0),0)</f>
        <v>0</v>
      </c>
      <c r="F3125" s="1">
        <f>IFERROR(VLOOKUP(1164,'PEDIDO 39'!$C$2:$E$230,3,0),0)</f>
        <v>0</v>
      </c>
      <c r="G3125" s="18">
        <f t="shared" si="91"/>
        <v>0</v>
      </c>
    </row>
    <row r="3126" spans="1:7" ht="15.75" x14ac:dyDescent="0.25">
      <c r="A3126" s="15">
        <f>'PEDIDO 39'!$B$2</f>
        <v>0</v>
      </c>
      <c r="B3126" s="12" t="s">
        <v>445</v>
      </c>
      <c r="C3126" s="1">
        <f>IFERROR(VLOOKUP(1165,'PEDIDO 39'!$C$2:$E$230,3,0),0)</f>
        <v>0</v>
      </c>
      <c r="D3126" s="1">
        <f>IFERROR(VLOOKUP(1166,'PEDIDO 39'!$C$2:$E$230,3,0),0)</f>
        <v>0</v>
      </c>
      <c r="E3126" s="1">
        <f>IFERROR(VLOOKUP(1167,'PEDIDO 39'!$C$2:$E$230,3,0),0)</f>
        <v>0</v>
      </c>
      <c r="F3126" s="1">
        <f>IFERROR(VLOOKUP(1168,'PEDIDO 39'!$C$2:$E$230,3,0),0)</f>
        <v>0</v>
      </c>
      <c r="G3126" s="18">
        <f t="shared" si="91"/>
        <v>0</v>
      </c>
    </row>
    <row r="3127" spans="1:7" ht="15.75" x14ac:dyDescent="0.25">
      <c r="A3127" s="15">
        <f>'PEDIDO 39'!$B$2</f>
        <v>0</v>
      </c>
      <c r="B3127" s="12" t="s">
        <v>446</v>
      </c>
      <c r="C3127" s="1">
        <f>IFERROR(VLOOKUP(1169,'PEDIDO 39'!$C$2:$E$230,3,0),0)</f>
        <v>0</v>
      </c>
      <c r="D3127" s="1">
        <f>IFERROR(VLOOKUP(1170,'PEDIDO 39'!$C$2:$E$230,3,0),0)</f>
        <v>0</v>
      </c>
      <c r="E3127" s="1">
        <f>IFERROR(VLOOKUP(1171,'PEDIDO 39'!$C$2:$E$230,3,0),0)</f>
        <v>0</v>
      </c>
      <c r="F3127" s="1">
        <f>IFERROR(VLOOKUP(1172,'PEDIDO 39'!$C$2:$E$230,3,0),0)</f>
        <v>0</v>
      </c>
      <c r="G3127" s="18">
        <f t="shared" si="91"/>
        <v>0</v>
      </c>
    </row>
    <row r="3128" spans="1:7" ht="15.75" x14ac:dyDescent="0.25">
      <c r="A3128" s="15">
        <f>'PEDIDO 39'!$B$2</f>
        <v>0</v>
      </c>
      <c r="B3128" s="12" t="s">
        <v>447</v>
      </c>
      <c r="C3128" s="1">
        <f>IFERROR(VLOOKUP(1173,'PEDIDO 39'!$C$2:$E$230,3,0),0)</f>
        <v>0</v>
      </c>
      <c r="D3128" s="1">
        <f>IFERROR(VLOOKUP(1174,'PEDIDO 39'!$C$2:$E$230,3,0),0)</f>
        <v>0</v>
      </c>
      <c r="E3128" s="1">
        <f>IFERROR(VLOOKUP(1175,'PEDIDO 39'!$C$2:$E$230,3,0),0)</f>
        <v>0</v>
      </c>
      <c r="F3128" s="1">
        <f>IFERROR(VLOOKUP(1176,'PEDIDO 39'!$C$2:$E$230,3,0),0)</f>
        <v>0</v>
      </c>
      <c r="G3128" s="18">
        <f t="shared" si="91"/>
        <v>0</v>
      </c>
    </row>
    <row r="3129" spans="1:7" ht="15.75" x14ac:dyDescent="0.25">
      <c r="A3129" s="15">
        <f>'PEDIDO 39'!$B$2</f>
        <v>0</v>
      </c>
      <c r="B3129" s="12" t="s">
        <v>448</v>
      </c>
      <c r="C3129" s="1">
        <f>IFERROR(VLOOKUP(1249,'PEDIDO 39'!$C$2:$E$230,3,0),0)</f>
        <v>0</v>
      </c>
      <c r="D3129" s="1">
        <f>IFERROR(VLOOKUP(1250,'PEDIDO 39'!$C$2:$E$230,3,0),0)</f>
        <v>0</v>
      </c>
      <c r="E3129" s="1">
        <f>IFERROR(VLOOKUP(1251,'PEDIDO 39'!$C$2:$E$230,3,0),0)</f>
        <v>0</v>
      </c>
      <c r="F3129" s="1">
        <f>IFERROR(VLOOKUP(1252,'PEDIDO 39'!$C$2:$E$230,3,0),0)</f>
        <v>0</v>
      </c>
      <c r="G3129" s="18">
        <f t="shared" si="91"/>
        <v>0</v>
      </c>
    </row>
    <row r="3130" spans="1:7" ht="15.75" x14ac:dyDescent="0.25">
      <c r="A3130" s="15">
        <f>'PEDIDO 39'!$B$2</f>
        <v>0</v>
      </c>
      <c r="B3130" s="12" t="s">
        <v>449</v>
      </c>
      <c r="C3130" s="1">
        <f>IFERROR(VLOOKUP(1177,'PEDIDO 39'!$C$2:$E$230,3,0),0)</f>
        <v>0</v>
      </c>
      <c r="D3130" s="1">
        <f>IFERROR(VLOOKUP(1178,'PEDIDO 39'!$C$2:$E$230,3,0),0)</f>
        <v>0</v>
      </c>
      <c r="E3130" s="1">
        <f>IFERROR(VLOOKUP(1179,'PEDIDO 39'!$C$2:$E$230,3,0),0)</f>
        <v>0</v>
      </c>
      <c r="F3130" s="1">
        <f>IFERROR(VLOOKUP(1180,'PEDIDO 39'!$C$2:$E$230,3,0),0)</f>
        <v>0</v>
      </c>
      <c r="G3130" s="18">
        <f t="shared" si="91"/>
        <v>0</v>
      </c>
    </row>
    <row r="3131" spans="1:7" ht="15.75" x14ac:dyDescent="0.25">
      <c r="A3131" s="15">
        <f>'PEDIDO 39'!$B$2</f>
        <v>0</v>
      </c>
      <c r="B3131" s="12" t="s">
        <v>450</v>
      </c>
      <c r="C3131" s="1">
        <f>IFERROR(VLOOKUP(1181,'PEDIDO 39'!$C$2:$E$230,3,0),0)</f>
        <v>0</v>
      </c>
      <c r="D3131" s="1">
        <f>IFERROR(VLOOKUP(1182,'PEDIDO 39'!$C$2:$E$230,3,0),0)</f>
        <v>0</v>
      </c>
      <c r="E3131" s="1">
        <f>IFERROR(VLOOKUP(1183,'PEDIDO 39'!$C$2:$E$230,3,0),0)</f>
        <v>0</v>
      </c>
      <c r="F3131" s="1">
        <f>IFERROR(VLOOKUP(1184,'PEDIDO 39'!$C$2:$E$230,3,0),0)</f>
        <v>0</v>
      </c>
      <c r="G3131" s="18">
        <f t="shared" si="91"/>
        <v>0</v>
      </c>
    </row>
    <row r="3132" spans="1:7" ht="15.75" x14ac:dyDescent="0.25">
      <c r="A3132" s="15">
        <f>'PEDIDO 39'!$B$2</f>
        <v>0</v>
      </c>
      <c r="B3132" s="12" t="s">
        <v>451</v>
      </c>
      <c r="C3132" s="1">
        <f>IFERROR(VLOOKUP(1185,'PEDIDO 39'!$C$2:$E$230,3,0),0)</f>
        <v>0</v>
      </c>
      <c r="D3132" s="1">
        <f>IFERROR(VLOOKUP(1186,'PEDIDO 39'!$C$2:$E$230,3,0),0)</f>
        <v>0</v>
      </c>
      <c r="E3132" s="1">
        <f>IFERROR(VLOOKUP(1187,'PEDIDO 39'!$C$2:$E$230,3,0),0)</f>
        <v>0</v>
      </c>
      <c r="F3132" s="1">
        <f>IFERROR(VLOOKUP(1188,'PEDIDO 39'!$C$2:$E$230,3,0),0)</f>
        <v>0</v>
      </c>
      <c r="G3132" s="18">
        <f t="shared" si="91"/>
        <v>0</v>
      </c>
    </row>
    <row r="3133" spans="1:7" ht="15.75" x14ac:dyDescent="0.25">
      <c r="A3133" s="15">
        <f>'PEDIDO 39'!$B$2</f>
        <v>0</v>
      </c>
      <c r="B3133" s="12" t="s">
        <v>452</v>
      </c>
      <c r="C3133" s="1">
        <f>IFERROR(VLOOKUP(1189,'PEDIDO 39'!$C$2:$E$230,3,0),0)</f>
        <v>0</v>
      </c>
      <c r="D3133" s="1">
        <f>IFERROR(VLOOKUP(1190,'PEDIDO 39'!$C$2:$E$230,3,0),0)</f>
        <v>0</v>
      </c>
      <c r="E3133" s="1">
        <f>IFERROR(VLOOKUP(1191,'PEDIDO 39'!$C$2:$E$230,3,0),0)</f>
        <v>0</v>
      </c>
      <c r="F3133" s="1">
        <f>IFERROR(VLOOKUP(1192,'PEDIDO 39'!$C$2:$E$230,3,0),0)</f>
        <v>0</v>
      </c>
      <c r="G3133" s="18">
        <f t="shared" si="91"/>
        <v>0</v>
      </c>
    </row>
    <row r="3134" spans="1:7" ht="15.75" x14ac:dyDescent="0.25">
      <c r="A3134" s="15">
        <f>'PEDIDO 39'!$B$2</f>
        <v>0</v>
      </c>
      <c r="B3134" s="12" t="s">
        <v>453</v>
      </c>
      <c r="C3134" s="1">
        <f>IFERROR(VLOOKUP(1193,'PEDIDO 39'!$C$2:$E$230,3,0),0)</f>
        <v>0</v>
      </c>
      <c r="D3134" s="1">
        <f>IFERROR(VLOOKUP(1194,'PEDIDO 39'!$C$2:$E$230,3,0),0)</f>
        <v>0</v>
      </c>
      <c r="E3134" s="1">
        <f>IFERROR(VLOOKUP(1195,'PEDIDO 39'!$C$2:$E$230,3,0),0)</f>
        <v>0</v>
      </c>
      <c r="F3134" s="1">
        <f>IFERROR(VLOOKUP(1196,'PEDIDO 39'!$C$2:$E$230,3,0),0)</f>
        <v>0</v>
      </c>
      <c r="G3134" s="18">
        <f t="shared" si="91"/>
        <v>0</v>
      </c>
    </row>
    <row r="3135" spans="1:7" ht="15.75" x14ac:dyDescent="0.25">
      <c r="A3135" s="15">
        <f>'PEDIDO 39'!$B$2</f>
        <v>0</v>
      </c>
      <c r="B3135" s="12" t="s">
        <v>454</v>
      </c>
      <c r="C3135" s="1">
        <f>IFERROR(VLOOKUP(1197,'PEDIDO 39'!$C$2:$E$230,3,0),0)</f>
        <v>0</v>
      </c>
      <c r="D3135" s="1">
        <f>IFERROR(VLOOKUP(1198,'PEDIDO 39'!$C$2:$E$230,3,0),0)</f>
        <v>0</v>
      </c>
      <c r="E3135" s="1">
        <f>IFERROR(VLOOKUP(1199,'PEDIDO 39'!$C$2:$E$230,3,0),0)</f>
        <v>0</v>
      </c>
      <c r="F3135" s="1">
        <f>IFERROR(VLOOKUP(1200,'PEDIDO 39'!$C$2:$E$230,3,0),0)</f>
        <v>0</v>
      </c>
      <c r="G3135" s="18">
        <f t="shared" si="91"/>
        <v>0</v>
      </c>
    </row>
    <row r="3136" spans="1:7" ht="15.75" x14ac:dyDescent="0.25">
      <c r="A3136" s="15">
        <f>'PEDIDO 39'!$B$2</f>
        <v>0</v>
      </c>
      <c r="B3136" s="12" t="s">
        <v>455</v>
      </c>
      <c r="C3136" s="1">
        <f>IFERROR(VLOOKUP(1201,'PEDIDO 39'!$C$2:$E$230,3,0),0)</f>
        <v>0</v>
      </c>
      <c r="D3136" s="1">
        <f>IFERROR(VLOOKUP(1202,'PEDIDO 39'!$C$2:$E$230,3,0),0)</f>
        <v>0</v>
      </c>
      <c r="E3136" s="1">
        <f>IFERROR(VLOOKUP(1203,'PEDIDO 39'!$C$2:$E$230,3,0),0)</f>
        <v>0</v>
      </c>
      <c r="F3136" s="1">
        <f>IFERROR(VLOOKUP(1204,'PEDIDO 39'!$C$2:$E$230,3,0),0)</f>
        <v>0</v>
      </c>
      <c r="G3136" s="18">
        <f t="shared" si="91"/>
        <v>0</v>
      </c>
    </row>
    <row r="3137" spans="1:7" ht="15.75" x14ac:dyDescent="0.25">
      <c r="A3137" s="15">
        <f>'PEDIDO 39'!$B$2</f>
        <v>0</v>
      </c>
      <c r="B3137" s="12" t="s">
        <v>456</v>
      </c>
      <c r="C3137" s="1">
        <f>IFERROR(VLOOKUP(1205,'PEDIDO 39'!$C$2:$E$230,3,0),0)</f>
        <v>0</v>
      </c>
      <c r="D3137" s="1">
        <f>IFERROR(VLOOKUP(1206,'PEDIDO 39'!$C$2:$E$230,3,0),0)</f>
        <v>0</v>
      </c>
      <c r="E3137" s="1">
        <f>IFERROR(VLOOKUP(1207,'PEDIDO 39'!$C$2:$E$230,3,0),0)</f>
        <v>0</v>
      </c>
      <c r="F3137" s="1">
        <f>IFERROR(VLOOKUP(1208,'PEDIDO 39'!$C$2:$E$230,3,0),0)</f>
        <v>0</v>
      </c>
      <c r="G3137" s="18">
        <f t="shared" si="91"/>
        <v>0</v>
      </c>
    </row>
    <row r="3138" spans="1:7" ht="15.75" x14ac:dyDescent="0.25">
      <c r="A3138" s="15">
        <f>'PEDIDO 39'!$B$2</f>
        <v>0</v>
      </c>
      <c r="B3138" s="12" t="s">
        <v>457</v>
      </c>
      <c r="C3138" s="1">
        <f>IFERROR(VLOOKUP(1213,'PEDIDO 39'!$C$2:$E$230,3,0),0)</f>
        <v>0</v>
      </c>
      <c r="D3138" s="1">
        <f>IFERROR(VLOOKUP(1214,'PEDIDO 39'!$C$2:$E$230,3,0),0)</f>
        <v>0</v>
      </c>
      <c r="E3138" s="1">
        <f>IFERROR(VLOOKUP(1215,'PEDIDO 39'!$C$2:$E$230,3,0),0)</f>
        <v>0</v>
      </c>
      <c r="F3138" s="10">
        <f>IFERROR(VLOOKUP(1216,'PEDIDO 39'!$C$2:$E$230,3,0),0)</f>
        <v>0</v>
      </c>
      <c r="G3138" s="18">
        <f t="shared" si="91"/>
        <v>0</v>
      </c>
    </row>
    <row r="3139" spans="1:7" ht="15.75" x14ac:dyDescent="0.25">
      <c r="A3139" s="15">
        <f>'PEDIDO 39'!$B$2</f>
        <v>0</v>
      </c>
      <c r="B3139" s="12" t="s">
        <v>458</v>
      </c>
      <c r="C3139" s="1">
        <f>IFERROR(VLOOKUP(1209,'PEDIDO 39'!$C$2:$E$230,3,0),0)</f>
        <v>0</v>
      </c>
      <c r="D3139" s="1">
        <f>IFERROR(VLOOKUP(1210,'PEDIDO 39'!$C$2:$E$230,3,0),0)</f>
        <v>0</v>
      </c>
      <c r="E3139" s="1">
        <f>IFERROR(VLOOKUP(1211,'PEDIDO 39'!$C$2:$E$230,3,0),0)</f>
        <v>0</v>
      </c>
      <c r="F3139" s="1">
        <f>IFERROR(VLOOKUP(1212,'PEDIDO 39'!$C$2:$E$230,3,0),0)</f>
        <v>0</v>
      </c>
      <c r="G3139" s="18">
        <f t="shared" si="91"/>
        <v>0</v>
      </c>
    </row>
    <row r="3140" spans="1:7" ht="15.75" x14ac:dyDescent="0.25">
      <c r="A3140" s="15">
        <f>'PEDIDO 39'!$B$2</f>
        <v>0</v>
      </c>
      <c r="B3140" s="12" t="s">
        <v>459</v>
      </c>
      <c r="C3140" s="1">
        <f>IFERROR(VLOOKUP(1217,'PEDIDO 39'!$C$2:$E$230,3,0),0)</f>
        <v>0</v>
      </c>
      <c r="D3140" s="1">
        <f>IFERROR(VLOOKUP(1218,'PEDIDO 39'!$C$2:$E$230,3,0),0)</f>
        <v>0</v>
      </c>
      <c r="E3140" s="1">
        <f>IFERROR(VLOOKUP(1219,'PEDIDO 39'!$C$2:$E$230,3,0),0)</f>
        <v>0</v>
      </c>
      <c r="F3140" s="1">
        <f>IFERROR(VLOOKUP(1220,'PEDIDO 39'!$C$2:$E$230,3,0),0)</f>
        <v>0</v>
      </c>
      <c r="G3140" s="18">
        <f t="shared" si="91"/>
        <v>0</v>
      </c>
    </row>
    <row r="3141" spans="1:7" ht="15.75" x14ac:dyDescent="0.25">
      <c r="A3141" s="15">
        <f>'PEDIDO 39'!$B$2</f>
        <v>0</v>
      </c>
      <c r="B3141" s="12" t="s">
        <v>461</v>
      </c>
      <c r="C3141" s="1">
        <f>IFERROR(VLOOKUP(1225,'PEDIDO 39'!$C$2:$E$230,3,0),0)</f>
        <v>0</v>
      </c>
      <c r="D3141" s="1">
        <f>IFERROR(VLOOKUP(1226,'PEDIDO 39'!$C$2:$E$230,3,0),0)</f>
        <v>0</v>
      </c>
      <c r="E3141" s="1">
        <f>IFERROR(VLOOKUP(1227,'PEDIDO 39'!$C$2:$E$230,3,0),0)</f>
        <v>0</v>
      </c>
      <c r="F3141" s="1">
        <f>IFERROR(VLOOKUP(1228,'PEDIDO 39'!$C$2:$E$230,3,0),0)</f>
        <v>0</v>
      </c>
      <c r="G3141" s="18">
        <f t="shared" si="91"/>
        <v>0</v>
      </c>
    </row>
    <row r="3142" spans="1:7" ht="15.75" x14ac:dyDescent="0.25">
      <c r="A3142" s="15">
        <f>'PEDIDO 39'!$B$2</f>
        <v>0</v>
      </c>
      <c r="B3142" s="12" t="s">
        <v>462</v>
      </c>
      <c r="C3142" s="1">
        <f>IFERROR(VLOOKUP(1221,'PEDIDO 39'!$C$2:$E$230,3,0),0)</f>
        <v>0</v>
      </c>
      <c r="D3142" s="1">
        <f>IFERROR(VLOOKUP(1222,'PEDIDO 39'!$C$2:$E$230,3,0),0)</f>
        <v>0</v>
      </c>
      <c r="E3142" s="1">
        <f>IFERROR(VLOOKUP(1223,'PEDIDO 39'!$C$2:$E$230,3,0),0)</f>
        <v>0</v>
      </c>
      <c r="F3142" s="1">
        <f>IFERROR(VLOOKUP(1224,'PEDIDO 39'!$C$2:$E$230,3,0),0)</f>
        <v>0</v>
      </c>
      <c r="G3142" s="18">
        <f t="shared" si="91"/>
        <v>0</v>
      </c>
    </row>
    <row r="3143" spans="1:7" ht="15.75" x14ac:dyDescent="0.25">
      <c r="A3143" s="15">
        <f>'PEDIDO 39'!$B$2</f>
        <v>0</v>
      </c>
      <c r="B3143" s="12" t="s">
        <v>460</v>
      </c>
      <c r="C3143" s="1">
        <f>IFERROR(VLOOKUP(1229,'PEDIDO 39'!$C$2:$E$230,3,0),0)</f>
        <v>0</v>
      </c>
      <c r="D3143" s="1">
        <f>IFERROR(VLOOKUP(1230,'PEDIDO 39'!$C$2:$E$230,3,0),0)</f>
        <v>0</v>
      </c>
      <c r="E3143" s="1">
        <f>IFERROR(VLOOKUP(1231,'PEDIDO 39'!$C$2:$E$230,3,0),0)</f>
        <v>0</v>
      </c>
      <c r="F3143" s="1">
        <f>IFERROR(VLOOKUP(1232,'PEDIDO 39'!$C$2:$E$230,3,0),0)</f>
        <v>0</v>
      </c>
      <c r="G3143" s="18">
        <f t="shared" si="91"/>
        <v>0</v>
      </c>
    </row>
    <row r="3144" spans="1:7" ht="15.75" x14ac:dyDescent="0.25">
      <c r="A3144" s="15">
        <f>'PEDIDO 39'!$B$2</f>
        <v>0</v>
      </c>
      <c r="B3144" s="12" t="s">
        <v>463</v>
      </c>
      <c r="C3144" s="1">
        <f>IFERROR(VLOOKUP(1233,'PEDIDO 39'!$C$2:$E$230,3,0),0)</f>
        <v>0</v>
      </c>
      <c r="D3144" s="1">
        <f>IFERROR(VLOOKUP(1234,'PEDIDO 39'!$C$2:$E$230,3,0),0)</f>
        <v>0</v>
      </c>
      <c r="E3144" s="1">
        <f>IFERROR(VLOOKUP(1235,'PEDIDO 39'!$C$2:$E$230,3,0),0)</f>
        <v>0</v>
      </c>
      <c r="F3144" s="1">
        <f>IFERROR(VLOOKUP(1236,'PEDIDO 39'!$C$2:$E$230,3,0),0)</f>
        <v>0</v>
      </c>
      <c r="G3144" s="18">
        <f t="shared" si="91"/>
        <v>0</v>
      </c>
    </row>
    <row r="3145" spans="1:7" ht="15.75" x14ac:dyDescent="0.25">
      <c r="A3145" s="15">
        <f>'PEDIDO 39'!$B$2</f>
        <v>0</v>
      </c>
      <c r="B3145" s="12" t="s">
        <v>464</v>
      </c>
      <c r="C3145" s="1">
        <f>IFERROR(VLOOKUP(1237,'PEDIDO 39'!$C$2:$E$230,3,0),0)</f>
        <v>0</v>
      </c>
      <c r="D3145" s="1">
        <f>IFERROR(VLOOKUP(1238,'PEDIDO 39'!$C$2:$E$230,3,0),0)</f>
        <v>0</v>
      </c>
      <c r="E3145" s="1">
        <f>IFERROR(VLOOKUP(1239,'PEDIDO 39'!$C$2:$E$230,3,0),0)</f>
        <v>0</v>
      </c>
      <c r="F3145" s="1">
        <f>IFERROR(VLOOKUP(1240,'PEDIDO 39'!$C$2:$E$230,3,0),0)</f>
        <v>0</v>
      </c>
      <c r="G3145" s="18">
        <f t="shared" ref="G3145:G3157" si="92">SUM(C3145+D3145+E3145+F3145)</f>
        <v>0</v>
      </c>
    </row>
    <row r="3146" spans="1:7" ht="15.75" x14ac:dyDescent="0.25">
      <c r="A3146" s="15">
        <f>'PEDIDO 39'!$B$2</f>
        <v>0</v>
      </c>
      <c r="B3146" s="12" t="s">
        <v>465</v>
      </c>
      <c r="C3146" s="1">
        <f>IFERROR(VLOOKUP(1241,'PEDIDO 39'!$C$2:$E$230,3,0),0)</f>
        <v>0</v>
      </c>
      <c r="D3146" s="1">
        <f>IFERROR(VLOOKUP(1242,'PEDIDO 39'!$C$2:$E$230,3,0),0)</f>
        <v>0</v>
      </c>
      <c r="E3146" s="1">
        <f>IFERROR(VLOOKUP(1243,'PEDIDO 39'!$C$2:$E$230,3,0),0)</f>
        <v>0</v>
      </c>
      <c r="F3146" s="1">
        <f>IFERROR(VLOOKUP(1244,'PEDIDO 39'!$C$2:$E$230,3,0),0)</f>
        <v>0</v>
      </c>
      <c r="G3146" s="18">
        <f t="shared" si="92"/>
        <v>0</v>
      </c>
    </row>
    <row r="3147" spans="1:7" ht="15.75" x14ac:dyDescent="0.25">
      <c r="A3147" s="15">
        <f>'PEDIDO 39'!$B$2</f>
        <v>0</v>
      </c>
      <c r="B3147" s="12" t="s">
        <v>466</v>
      </c>
      <c r="C3147" s="1">
        <f>IFERROR(VLOOKUP(1245,'PEDIDO 39'!$C$2:$E$230,3,0),0)</f>
        <v>0</v>
      </c>
      <c r="D3147" s="1">
        <f>IFERROR(VLOOKUP(1246,'PEDIDO 39'!$C$2:$E$230,3,0),0)</f>
        <v>0</v>
      </c>
      <c r="E3147" s="1">
        <f>IFERROR(VLOOKUP(1247,'PEDIDO 39'!$C$2:$E$230,3,0),0)</f>
        <v>0</v>
      </c>
      <c r="F3147" s="1">
        <f>IFERROR(VLOOKUP(1248,'PEDIDO 39'!$C$2:$E$230,3,0),0)</f>
        <v>0</v>
      </c>
      <c r="G3147" s="18">
        <f t="shared" si="92"/>
        <v>0</v>
      </c>
    </row>
    <row r="3148" spans="1:7" ht="15.75" x14ac:dyDescent="0.25">
      <c r="A3148" s="15">
        <f>'PEDIDO 39'!$B$2</f>
        <v>0</v>
      </c>
      <c r="B3148" s="12" t="s">
        <v>467</v>
      </c>
      <c r="C3148" s="1">
        <f>IFERROR(VLOOKUP(25714,'PEDIDO 39'!$C$2:$E$230,3,0),0)</f>
        <v>0</v>
      </c>
      <c r="D3148" s="1"/>
      <c r="E3148" s="1"/>
      <c r="F3148" s="1"/>
      <c r="G3148" s="18">
        <f t="shared" si="92"/>
        <v>0</v>
      </c>
    </row>
    <row r="3149" spans="1:7" ht="15.75" x14ac:dyDescent="0.25">
      <c r="A3149" s="15">
        <f>'PEDIDO 39'!$B$2</f>
        <v>0</v>
      </c>
      <c r="B3149" s="12" t="s">
        <v>468</v>
      </c>
      <c r="C3149" s="1">
        <f>IFERROR(VLOOKUP(25712,'PEDIDO 39'!$C$2:$E$230,3,0),0)</f>
        <v>0</v>
      </c>
      <c r="D3149" s="1"/>
      <c r="E3149" s="1"/>
      <c r="F3149" s="1"/>
      <c r="G3149" s="18">
        <f t="shared" si="92"/>
        <v>0</v>
      </c>
    </row>
    <row r="3150" spans="1:7" ht="15.75" x14ac:dyDescent="0.25">
      <c r="A3150" s="15">
        <f>'PEDIDO 39'!$B$2</f>
        <v>0</v>
      </c>
      <c r="B3150" s="12" t="s">
        <v>469</v>
      </c>
      <c r="C3150" s="1">
        <f>IFERROR(VLOOKUP(25713,'PEDIDO 39'!$C$2:$E$230,3,0),0)</f>
        <v>0</v>
      </c>
      <c r="D3150" s="1"/>
      <c r="E3150" s="1"/>
      <c r="F3150" s="1"/>
      <c r="G3150" s="18">
        <f t="shared" si="92"/>
        <v>0</v>
      </c>
    </row>
    <row r="3151" spans="1:7" ht="15.75" x14ac:dyDescent="0.25">
      <c r="A3151" s="15">
        <f>'PEDIDO 39'!$B$2</f>
        <v>0</v>
      </c>
      <c r="B3151" s="12" t="s">
        <v>470</v>
      </c>
      <c r="C3151" s="1">
        <f>IFERROR(VLOOKUP(1260,'PEDIDO 39'!$C$2:$E$230,3,0),0)</f>
        <v>0</v>
      </c>
      <c r="D3151" s="1"/>
      <c r="E3151" s="1"/>
      <c r="F3151" s="1"/>
      <c r="G3151" s="18">
        <f t="shared" si="92"/>
        <v>0</v>
      </c>
    </row>
    <row r="3152" spans="1:7" ht="15.75" x14ac:dyDescent="0.25">
      <c r="A3152" s="15">
        <f>'PEDIDO 39'!$B$2</f>
        <v>0</v>
      </c>
      <c r="B3152" s="12" t="s">
        <v>471</v>
      </c>
      <c r="C3152" s="1">
        <f>IFERROR(VLOOKUP(1261,'PEDIDO 39'!$C$2:$E$230,3,0),0)</f>
        <v>0</v>
      </c>
      <c r="D3152" s="1"/>
      <c r="E3152" s="1"/>
      <c r="F3152" s="1"/>
      <c r="G3152" s="18">
        <f t="shared" si="92"/>
        <v>0</v>
      </c>
    </row>
    <row r="3153" spans="1:7" ht="15.75" x14ac:dyDescent="0.25">
      <c r="A3153" s="15">
        <f>'PEDIDO 39'!$B$2</f>
        <v>0</v>
      </c>
      <c r="B3153" s="12" t="s">
        <v>472</v>
      </c>
      <c r="C3153" s="1">
        <f>IFERROR(VLOOKUP(1262,'PEDIDO 39'!$C$2:$E$230,3,0),0)</f>
        <v>0</v>
      </c>
      <c r="D3153" s="1"/>
      <c r="E3153" s="1"/>
      <c r="F3153" s="1"/>
      <c r="G3153" s="18">
        <f t="shared" si="92"/>
        <v>0</v>
      </c>
    </row>
    <row r="3154" spans="1:7" ht="15.75" x14ac:dyDescent="0.25">
      <c r="A3154" s="15">
        <f>'PEDIDO 39'!$B$2</f>
        <v>0</v>
      </c>
      <c r="B3154" s="12" t="s">
        <v>473</v>
      </c>
      <c r="C3154" s="1">
        <f>IFERROR(VLOOKUP(1263,'PEDIDO 39'!$C$2:$E$230,3,0),0)</f>
        <v>0</v>
      </c>
      <c r="D3154" s="1"/>
      <c r="E3154" s="1"/>
      <c r="F3154" s="1"/>
      <c r="G3154" s="18">
        <f t="shared" si="92"/>
        <v>0</v>
      </c>
    </row>
    <row r="3155" spans="1:7" ht="15.75" x14ac:dyDescent="0.25">
      <c r="A3155" s="15">
        <f>'PEDIDO 39'!$B$2</f>
        <v>0</v>
      </c>
      <c r="B3155" s="12" t="s">
        <v>474</v>
      </c>
      <c r="C3155" s="1">
        <f>IFERROR(VLOOKUP(1264,'PEDIDO 39'!$C$2:$E$230,3,0),0)</f>
        <v>0</v>
      </c>
      <c r="D3155" s="1"/>
      <c r="E3155" s="1"/>
      <c r="F3155" s="1"/>
      <c r="G3155" s="18">
        <f t="shared" si="92"/>
        <v>0</v>
      </c>
    </row>
    <row r="3156" spans="1:7" ht="15.75" x14ac:dyDescent="0.25">
      <c r="A3156" s="15">
        <f>'PEDIDO 39'!$B$2</f>
        <v>0</v>
      </c>
      <c r="B3156" s="12" t="s">
        <v>475</v>
      </c>
      <c r="C3156" s="1">
        <f>IFERROR(VLOOKUP(1265,'PEDIDO 39'!$C$2:$E$230,3,0),0)</f>
        <v>0</v>
      </c>
      <c r="D3156" s="1"/>
      <c r="E3156" s="1"/>
      <c r="F3156" s="1"/>
      <c r="G3156" s="18">
        <f t="shared" si="92"/>
        <v>0</v>
      </c>
    </row>
    <row r="3157" spans="1:7" ht="15.75" x14ac:dyDescent="0.25">
      <c r="A3157" s="15">
        <f>'PEDIDO 39'!$B$2</f>
        <v>0</v>
      </c>
      <c r="B3157" s="12" t="s">
        <v>476</v>
      </c>
      <c r="C3157" s="1">
        <f>IFERROR(VLOOKUP(1266,'PEDIDO 39'!$C$2:$E$230,3,0),0)</f>
        <v>0</v>
      </c>
      <c r="D3157" s="1"/>
      <c r="E3157" s="1"/>
      <c r="F3157" s="1"/>
      <c r="G3157" s="18">
        <f t="shared" si="92"/>
        <v>0</v>
      </c>
    </row>
    <row r="3158" spans="1:7" ht="15.75" x14ac:dyDescent="0.25">
      <c r="A3158" s="15">
        <f>'PEDIDO 39'!$B$2</f>
        <v>0</v>
      </c>
      <c r="B3158" s="12" t="s">
        <v>477</v>
      </c>
      <c r="C3158" s="1">
        <f>IFERROR(VLOOKUP(1268,'PEDIDO 39'!$C$2:$E$230,3,0),0)</f>
        <v>0</v>
      </c>
      <c r="D3158" s="1">
        <f>IFERROR(VLOOKUP(1269,'PEDIDO 39'!$C$2:$E$230,3,0),0)</f>
        <v>0</v>
      </c>
      <c r="E3158" s="1">
        <f>IFERROR(VLOOKUP(1270,'PEDIDO 39'!$C$2:$E$230,3,0),0)</f>
        <v>0</v>
      </c>
      <c r="F3158" s="1">
        <f>IFERROR(VLOOKUP(1271,'PEDIDO 39'!$C$2:$E$230,3,0),0)</f>
        <v>0</v>
      </c>
      <c r="G3158" s="18">
        <f t="shared" ref="G3158" si="93">SUM(C3158+D3158+E3158+F3158)</f>
        <v>0</v>
      </c>
    </row>
    <row r="3161" spans="1:7" ht="15.75" x14ac:dyDescent="0.25">
      <c r="A3161" s="15">
        <f>'PEDIDO 40'!$B$2</f>
        <v>0</v>
      </c>
      <c r="B3161" s="12" t="s">
        <v>399</v>
      </c>
      <c r="C3161" s="1">
        <f>IFERROR(VLOOKUP(1,'PEDIDO 40'!$C$2:$E$230,3,0),0)</f>
        <v>0</v>
      </c>
      <c r="D3161" s="1">
        <f>IFERROR(VLOOKUP(2,'PEDIDO 40'!$C$2:$E$230,3,0),0)</f>
        <v>0</v>
      </c>
      <c r="E3161" s="1">
        <f>IFERROR(VLOOKUP(3,'PEDIDO 40'!$C$2:$E$230,3,0),0)</f>
        <v>0</v>
      </c>
      <c r="F3161" s="1">
        <f>IFERROR(VLOOKUP(282,'PEDIDO 40'!$C$2:$E$230,3,0),0)</f>
        <v>0</v>
      </c>
      <c r="G3161" s="18">
        <f>SUM(C3161+D3161+E3161+F3161)</f>
        <v>0</v>
      </c>
    </row>
    <row r="3162" spans="1:7" ht="15.75" x14ac:dyDescent="0.25">
      <c r="A3162" s="15">
        <f>'PEDIDO 40'!$B$2</f>
        <v>0</v>
      </c>
      <c r="B3162" s="12" t="s">
        <v>400</v>
      </c>
      <c r="C3162" s="1">
        <f>IFERROR(VLOOKUP(5,'PEDIDO 40'!$C$2:$E$230,3,0),0)</f>
        <v>0</v>
      </c>
      <c r="D3162" s="1">
        <f>IFERROR(VLOOKUP(6,'PEDIDO 40'!$C$2:$E$230,3,0),0)</f>
        <v>0</v>
      </c>
      <c r="E3162" s="1">
        <f>IFERROR(VLOOKUP(7,'PEDIDO 40'!$C$2:$E$230,3,0),0)</f>
        <v>0</v>
      </c>
      <c r="F3162" s="1">
        <f>IFERROR(VLOOKUP(258,'PEDIDO 40'!$C$2:$E$230,3,0),0)</f>
        <v>0</v>
      </c>
      <c r="G3162" s="18">
        <f t="shared" ref="G3162:G3225" si="94">SUM(C3162+D3162+E3162+F3162)</f>
        <v>0</v>
      </c>
    </row>
    <row r="3163" spans="1:7" ht="15.75" x14ac:dyDescent="0.25">
      <c r="A3163" s="15">
        <f>'PEDIDO 40'!$B$2</f>
        <v>0</v>
      </c>
      <c r="B3163" s="12" t="s">
        <v>401</v>
      </c>
      <c r="C3163" s="1">
        <f>IFERROR(VLOOKUP(13,'PEDIDO 40'!$C$2:$E$230,3,0),0)</f>
        <v>0</v>
      </c>
      <c r="D3163" s="1">
        <f>IFERROR(VLOOKUP(14,'PEDIDO 40'!$C$2:$E$230,3,0),0)</f>
        <v>0</v>
      </c>
      <c r="E3163" s="1">
        <f>IFERROR(VLOOKUP(15,'PEDIDO 40'!$C$2:$E$230,3,0),0)</f>
        <v>0</v>
      </c>
      <c r="F3163" s="1">
        <f>IFERROR(VLOOKUP(289,'PEDIDO 40'!$C$2:$E$230,3,0),0)</f>
        <v>0</v>
      </c>
      <c r="G3163" s="18">
        <f t="shared" si="94"/>
        <v>0</v>
      </c>
    </row>
    <row r="3164" spans="1:7" ht="15.75" x14ac:dyDescent="0.25">
      <c r="A3164" s="15">
        <f>'PEDIDO 40'!$B$2</f>
        <v>0</v>
      </c>
      <c r="B3164" s="12" t="s">
        <v>402</v>
      </c>
      <c r="C3164" s="1">
        <f>IFERROR(VLOOKUP(267,'PEDIDO 40'!$C$2:$E$230,3,0),0)</f>
        <v>0</v>
      </c>
      <c r="D3164" s="1">
        <f>IFERROR(VLOOKUP(268,'PEDIDO 40'!$C$2:$E$230,3,0),0)</f>
        <v>0</v>
      </c>
      <c r="E3164" s="1">
        <f>IFERROR(VLOOKUP(270,'PEDIDO 40'!$C$2:$E$230,3,0),0)</f>
        <v>0</v>
      </c>
      <c r="F3164" s="1">
        <f>IFERROR(VLOOKUP(269,'PEDIDO 40'!$C$2:$E$230,3,0),0)</f>
        <v>0</v>
      </c>
      <c r="G3164" s="18">
        <f t="shared" si="94"/>
        <v>0</v>
      </c>
    </row>
    <row r="3165" spans="1:7" ht="15.75" x14ac:dyDescent="0.25">
      <c r="A3165" s="15">
        <f>'PEDIDO 40'!$B$2</f>
        <v>0</v>
      </c>
      <c r="B3165" s="12" t="s">
        <v>403</v>
      </c>
      <c r="C3165" s="1">
        <f>IFERROR(VLOOKUP(17,'PEDIDO 40'!$C$2:$E$230,3,0),0)</f>
        <v>0</v>
      </c>
      <c r="D3165" s="1">
        <f>IFERROR(VLOOKUP(18,'PEDIDO 40'!$C$2:$E$230,3,0),0)</f>
        <v>0</v>
      </c>
      <c r="E3165" s="1">
        <f>IFERROR(VLOOKUP(19,'PEDIDO 40'!$C$2:$E$230,3,0),0)</f>
        <v>0</v>
      </c>
      <c r="F3165" s="1">
        <f>IFERROR(VLOOKUP(290,'PEDIDO 40'!$C$2:$E$230,3,0),0)</f>
        <v>0</v>
      </c>
      <c r="G3165" s="18">
        <f t="shared" si="94"/>
        <v>0</v>
      </c>
    </row>
    <row r="3166" spans="1:7" ht="15.75" x14ac:dyDescent="0.25">
      <c r="A3166" s="15">
        <f>'PEDIDO 40'!$B$2</f>
        <v>0</v>
      </c>
      <c r="B3166" s="12" t="s">
        <v>404</v>
      </c>
      <c r="C3166" s="1">
        <f>IFERROR(VLOOKUP(23,'PEDIDO 40'!$C$2:$E$230,3,0),0)</f>
        <v>0</v>
      </c>
      <c r="D3166" s="1">
        <f>IFERROR(VLOOKUP(24,'PEDIDO 40'!$C$2:$E$230,3,0),0)</f>
        <v>0</v>
      </c>
      <c r="E3166" s="1">
        <f>IFERROR(VLOOKUP(25,'PEDIDO 40'!$C$2:$E$230,3,0),0)</f>
        <v>0</v>
      </c>
      <c r="F3166" s="1">
        <f>IFERROR(VLOOKUP(291,'PEDIDO 40'!$C$2:$E$230,3,0),0)</f>
        <v>0</v>
      </c>
      <c r="G3166" s="18">
        <f t="shared" si="94"/>
        <v>0</v>
      </c>
    </row>
    <row r="3167" spans="1:7" ht="15.75" x14ac:dyDescent="0.25">
      <c r="A3167" s="15">
        <f>'PEDIDO 40'!$B$2</f>
        <v>0</v>
      </c>
      <c r="B3167" s="12" t="s">
        <v>405</v>
      </c>
      <c r="C3167" s="1">
        <f>IFERROR(VLOOKUP(27,'PEDIDO 40'!$C$2:$E$230,3,0),0)</f>
        <v>0</v>
      </c>
      <c r="D3167" s="1">
        <f>IFERROR(VLOOKUP(28,'PEDIDO 40'!$C$2:$E$230,3,0),0)</f>
        <v>0</v>
      </c>
      <c r="E3167" s="1">
        <f>IFERROR(VLOOKUP(29,'PEDIDO 40'!$C$2:$E$230,3,0),0)</f>
        <v>0</v>
      </c>
      <c r="F3167" s="1">
        <f>IFERROR(VLOOKUP(292,'PEDIDO 40'!$C$2:$E$230,3,0),0)</f>
        <v>0</v>
      </c>
      <c r="G3167" s="18">
        <f t="shared" si="94"/>
        <v>0</v>
      </c>
    </row>
    <row r="3168" spans="1:7" ht="15.75" x14ac:dyDescent="0.25">
      <c r="A3168" s="15">
        <f>'PEDIDO 40'!$B$2</f>
        <v>0</v>
      </c>
      <c r="B3168" s="12" t="s">
        <v>406</v>
      </c>
      <c r="C3168" s="1">
        <f>IFERROR(VLOOKUP(227,'PEDIDO 40'!$C$2:$E$230,3,0),0)</f>
        <v>0</v>
      </c>
      <c r="D3168" s="1">
        <f>IFERROR(VLOOKUP(228,'PEDIDO 40'!$C$2:$E$230,3,0),0)</f>
        <v>0</v>
      </c>
      <c r="E3168" s="1">
        <f>IFERROR(VLOOKUP(229,'PEDIDO 40'!$C$2:$E$230,3,0),0)</f>
        <v>0</v>
      </c>
      <c r="F3168" s="1">
        <f>IFERROR(VLOOKUP(230,'PEDIDO 40'!$C$2:$E$230,3,0),0)</f>
        <v>0</v>
      </c>
      <c r="G3168" s="18">
        <f t="shared" si="94"/>
        <v>0</v>
      </c>
    </row>
    <row r="3169" spans="1:7" ht="15.75" x14ac:dyDescent="0.25">
      <c r="A3169" s="15">
        <f>'PEDIDO 40'!$B$2</f>
        <v>0</v>
      </c>
      <c r="B3169" s="12" t="s">
        <v>407</v>
      </c>
      <c r="C3169" s="1">
        <f>IFERROR(VLOOKUP(231,'PEDIDO 40'!$C$2:$E$230,3,0),0)</f>
        <v>0</v>
      </c>
      <c r="D3169" s="1">
        <f>IFERROR(VLOOKUP(232,'PEDIDO 40'!$C$2:$E$230,3,0),0)</f>
        <v>0</v>
      </c>
      <c r="E3169" s="1">
        <f>IFERROR(VLOOKUP(234,'PEDIDO 40'!$C$2:$E$230,3,0),0)</f>
        <v>0</v>
      </c>
      <c r="F3169" s="1">
        <f>IFERROR(VLOOKUP(233,'PEDIDO 40'!$C$2:$E$230,3,0),0)</f>
        <v>0</v>
      </c>
      <c r="G3169" s="18">
        <f t="shared" si="94"/>
        <v>0</v>
      </c>
    </row>
    <row r="3170" spans="1:7" ht="15.75" x14ac:dyDescent="0.25">
      <c r="A3170" s="15">
        <f>'PEDIDO 40'!$B$2</f>
        <v>0</v>
      </c>
      <c r="B3170" s="12" t="s">
        <v>408</v>
      </c>
      <c r="C3170" s="1">
        <f>IFERROR(VLOOKUP(237,'PEDIDO 40'!$C$2:$E$230,3,0),0)</f>
        <v>0</v>
      </c>
      <c r="D3170" s="1">
        <f>IFERROR(VLOOKUP(238,'PEDIDO 40'!$C$2:$E$230,3,0),0)</f>
        <v>0</v>
      </c>
      <c r="E3170" s="1">
        <f>IFERROR(VLOOKUP(240,'PEDIDO 40'!$C$2:$E$230,3,0),0)</f>
        <v>0</v>
      </c>
      <c r="F3170" s="1">
        <f>IFERROR(VLOOKUP(239,'PEDIDO 40'!$C$2:$E$230,3,0),0)</f>
        <v>0</v>
      </c>
      <c r="G3170" s="18">
        <f t="shared" si="94"/>
        <v>0</v>
      </c>
    </row>
    <row r="3171" spans="1:7" ht="15.75" x14ac:dyDescent="0.25">
      <c r="A3171" s="15">
        <f>'PEDIDO 40'!$B$2</f>
        <v>0</v>
      </c>
      <c r="B3171" s="12" t="s">
        <v>409</v>
      </c>
      <c r="C3171" s="1">
        <f>IFERROR(VLOOKUP(25707,'PEDIDO 40'!$C$2:$E$230,3,0),0)</f>
        <v>0</v>
      </c>
      <c r="D3171" s="1">
        <f>IFERROR(VLOOKUP(25708,'PEDIDO 40'!$C$2:$E$230,3,0),0)</f>
        <v>0</v>
      </c>
      <c r="E3171" s="1">
        <f>IFERROR(VLOOKUP(25710,'PEDIDO 40'!$C$2:$E$230,3,0),0)</f>
        <v>0</v>
      </c>
      <c r="F3171" s="1">
        <f>IFERROR(VLOOKUP(25709,'PEDIDO 40'!$C$2:$E$230,3,0),0)</f>
        <v>0</v>
      </c>
      <c r="G3171" s="18">
        <f t="shared" si="94"/>
        <v>0</v>
      </c>
    </row>
    <row r="3172" spans="1:7" ht="15.75" x14ac:dyDescent="0.25">
      <c r="A3172" s="15">
        <f>'PEDIDO 40'!$B$2</f>
        <v>0</v>
      </c>
      <c r="B3172" s="12" t="s">
        <v>410</v>
      </c>
      <c r="C3172" s="1">
        <f>IFERROR(VLOOKUP(25711,'PEDIDO 40'!$C$2:$E$230,3,0),0)</f>
        <v>0</v>
      </c>
      <c r="D3172" s="1"/>
      <c r="E3172" s="1"/>
      <c r="F3172" s="1"/>
      <c r="G3172" s="18">
        <f t="shared" si="94"/>
        <v>0</v>
      </c>
    </row>
    <row r="3173" spans="1:7" ht="15.75" x14ac:dyDescent="0.25">
      <c r="A3173" s="15">
        <f>'PEDIDO 40'!$B$2</f>
        <v>0</v>
      </c>
      <c r="B3173" s="12" t="s">
        <v>411</v>
      </c>
      <c r="C3173" s="1">
        <f>IFERROR(VLOOKUP(35,'PEDIDO 40'!$C$2:$E$230,3,0),0)</f>
        <v>0</v>
      </c>
      <c r="D3173" s="1">
        <f>IFERROR(VLOOKUP(36,'PEDIDO 40'!$C$2:$E$230,3,0),0)</f>
        <v>0</v>
      </c>
      <c r="E3173" s="1">
        <f>IFERROR(VLOOKUP(37,'PEDIDO 40'!$C$2:$E$230,3,0),0)</f>
        <v>0</v>
      </c>
      <c r="F3173" s="1">
        <f>IFERROR(VLOOKUP(294,'PEDIDO 40'!$C$2:$E$230,3,0),0)</f>
        <v>0</v>
      </c>
      <c r="G3173" s="18">
        <f t="shared" si="94"/>
        <v>0</v>
      </c>
    </row>
    <row r="3174" spans="1:7" ht="15.75" x14ac:dyDescent="0.25">
      <c r="A3174" s="15">
        <f>'PEDIDO 40'!$B$2</f>
        <v>0</v>
      </c>
      <c r="B3174" s="12" t="s">
        <v>412</v>
      </c>
      <c r="C3174" s="1">
        <f>IFERROR(VLOOKUP(39,'PEDIDO 40'!$C$2:$E$230,3,0),0)</f>
        <v>0</v>
      </c>
      <c r="D3174" s="1">
        <f>IFERROR(VLOOKUP(40,'PEDIDO 40'!$C$2:$E$230,3,0),0)</f>
        <v>0</v>
      </c>
      <c r="E3174" s="1">
        <f>IFERROR(VLOOKUP(42,'PEDIDO 40'!$C$2:$E$230,3,0),0)</f>
        <v>0</v>
      </c>
      <c r="F3174" s="1">
        <f>IFERROR(VLOOKUP(295,'PEDIDO 40'!$C$2:$E$230,3,0),0)</f>
        <v>0</v>
      </c>
      <c r="G3174" s="18">
        <f t="shared" si="94"/>
        <v>0</v>
      </c>
    </row>
    <row r="3175" spans="1:7" ht="15.75" x14ac:dyDescent="0.25">
      <c r="A3175" s="15">
        <f>'PEDIDO 40'!$B$2</f>
        <v>0</v>
      </c>
      <c r="B3175" s="12" t="s">
        <v>413</v>
      </c>
      <c r="C3175" s="1">
        <f>IFERROR(VLOOKUP(44,'PEDIDO 40'!$C$2:$E$230,3,0),0)</f>
        <v>0</v>
      </c>
      <c r="D3175" s="1">
        <f>IFERROR(VLOOKUP(45,'PEDIDO 40'!$C$2:$E$230,3,0),0)</f>
        <v>0</v>
      </c>
      <c r="E3175" s="1">
        <f>IFERROR(VLOOKUP(46,'PEDIDO 40'!$C$2:$E$230,3,0),0)</f>
        <v>0</v>
      </c>
      <c r="F3175" s="1">
        <f>IFERROR(VLOOKUP(283,'PEDIDO 40'!$C$2:$E$230,3,0),0)</f>
        <v>0</v>
      </c>
      <c r="G3175" s="18">
        <f t="shared" si="94"/>
        <v>0</v>
      </c>
    </row>
    <row r="3176" spans="1:7" ht="15.75" x14ac:dyDescent="0.25">
      <c r="A3176" s="15">
        <f>'PEDIDO 40'!$B$2</f>
        <v>0</v>
      </c>
      <c r="B3176" s="12" t="s">
        <v>414</v>
      </c>
      <c r="C3176" s="1">
        <f>IFERROR(VLOOKUP(48,'PEDIDO 40'!$C$2:$E$230,3,0),0)</f>
        <v>0</v>
      </c>
      <c r="D3176" s="1">
        <f>IFERROR(VLOOKUP(49,'PEDIDO 40'!$C$2:$E$230,3,0),0)</f>
        <v>0</v>
      </c>
      <c r="E3176" s="1">
        <f>IFERROR(VLOOKUP(50,'PEDIDO 40'!$C$2:$E$230,3,0),0)</f>
        <v>0</v>
      </c>
      <c r="F3176" s="1">
        <f>IFERROR(VLOOKUP(298,'PEDIDO 40'!$C$2:$E$230,3,0),0)</f>
        <v>0</v>
      </c>
      <c r="G3176" s="18">
        <f t="shared" si="94"/>
        <v>0</v>
      </c>
    </row>
    <row r="3177" spans="1:7" ht="15.75" x14ac:dyDescent="0.25">
      <c r="A3177" s="15">
        <f>'PEDIDO 40'!$B$2</f>
        <v>0</v>
      </c>
      <c r="B3177" s="12" t="s">
        <v>415</v>
      </c>
      <c r="C3177" s="1">
        <f>IFERROR(VLOOKUP(52,'PEDIDO 40'!$C$2:$E$230,3,0),0)</f>
        <v>0</v>
      </c>
      <c r="D3177" s="1">
        <f>IFERROR(VLOOKUP(53,'PEDIDO 40'!$C$2:$E$230,3,0),0)</f>
        <v>0</v>
      </c>
      <c r="E3177" s="1">
        <f>IFERROR(VLOOKUP(54,'PEDIDO 40'!$C$2:$E$230,3,0),0)</f>
        <v>0</v>
      </c>
      <c r="F3177" s="1">
        <f>IFERROR(VLOOKUP(299,'PEDIDO 40'!$C$2:$E$230,3,0),0)</f>
        <v>0</v>
      </c>
      <c r="G3177" s="18">
        <f t="shared" si="94"/>
        <v>0</v>
      </c>
    </row>
    <row r="3178" spans="1:7" ht="15.75" x14ac:dyDescent="0.25">
      <c r="A3178" s="15">
        <f>'PEDIDO 40'!$B$2</f>
        <v>0</v>
      </c>
      <c r="B3178" s="12" t="s">
        <v>416</v>
      </c>
      <c r="C3178" s="1">
        <f>IFERROR(VLOOKUP(56,'PEDIDO 40'!$C$2:$E$230,3,0),0)</f>
        <v>0</v>
      </c>
      <c r="D3178" s="1">
        <f>IFERROR(VLOOKUP(61,'PEDIDO 40'!$C$2:$E$230,3,0),0)</f>
        <v>0</v>
      </c>
      <c r="E3178" s="1">
        <f>IFERROR(VLOOKUP(58,'PEDIDO 40'!$C$2:$E$230,3,0),0)</f>
        <v>0</v>
      </c>
      <c r="F3178" s="1">
        <f>IFERROR(VLOOKUP(300,'PEDIDO 40'!$C$2:$E$230,3,0),0)</f>
        <v>0</v>
      </c>
      <c r="G3178" s="18">
        <f t="shared" si="94"/>
        <v>0</v>
      </c>
    </row>
    <row r="3179" spans="1:7" ht="15.75" x14ac:dyDescent="0.25">
      <c r="A3179" s="15">
        <f>'PEDIDO 40'!$B$2</f>
        <v>0</v>
      </c>
      <c r="B3179" s="12" t="s">
        <v>417</v>
      </c>
      <c r="C3179" s="1">
        <f>IFERROR(VLOOKUP(60,'PEDIDO 40'!$C$2:$E$230,3,0),0)</f>
        <v>0</v>
      </c>
      <c r="D3179" s="1">
        <f>IFERROR(VLOOKUP(120,'PEDIDO 40'!$C$2:$E$230,3,0),0)</f>
        <v>0</v>
      </c>
      <c r="E3179" s="1">
        <f>IFERROR(VLOOKUP(62,'PEDIDO 40'!$C$2:$E$230,3,0),0)</f>
        <v>0</v>
      </c>
      <c r="F3179" s="1">
        <f>IFERROR(VLOOKUP(301,'PEDIDO 40'!$C$2:$E$230,3,0),0)</f>
        <v>0</v>
      </c>
      <c r="G3179" s="18">
        <f t="shared" si="94"/>
        <v>0</v>
      </c>
    </row>
    <row r="3180" spans="1:7" ht="15.75" x14ac:dyDescent="0.25">
      <c r="A3180" s="15">
        <f>'PEDIDO 40'!$B$2</f>
        <v>0</v>
      </c>
      <c r="B3180" s="12" t="s">
        <v>426</v>
      </c>
      <c r="C3180" s="1">
        <f>IFERROR(VLOOKUP(112,'PEDIDO 40'!$C$2:$E$230,3,0),0)</f>
        <v>0</v>
      </c>
      <c r="D3180" s="1">
        <f>IFERROR(VLOOKUP(113,'PEDIDO 40'!$C$2:$E$230,3,0),0)</f>
        <v>0</v>
      </c>
      <c r="E3180" s="1">
        <f>IFERROR(VLOOKUP(114,'PEDIDO 40'!$C$2:$E$230,3,0),0)</f>
        <v>0</v>
      </c>
      <c r="F3180" s="1">
        <f>IFERROR(VLOOKUP(296,'PEDIDO 40'!$C$2:$E$230,3,0),0)</f>
        <v>0</v>
      </c>
      <c r="G3180" s="18">
        <f t="shared" si="94"/>
        <v>0</v>
      </c>
    </row>
    <row r="3181" spans="1:7" ht="15.75" x14ac:dyDescent="0.25">
      <c r="A3181" s="15">
        <f>'PEDIDO 40'!$B$2</f>
        <v>0</v>
      </c>
      <c r="B3181" s="12" t="s">
        <v>427</v>
      </c>
      <c r="C3181" s="1">
        <f>IFERROR(VLOOKUP(116,'PEDIDO 40'!$C$2:$E$230,3,0),0)</f>
        <v>0</v>
      </c>
      <c r="D3181" s="1">
        <f>IFERROR(VLOOKUP(117,'PEDIDO 40'!$C$2:$E$230,3,0),0)</f>
        <v>0</v>
      </c>
      <c r="E3181" s="1">
        <f>IFERROR(VLOOKUP(118,'PEDIDO 40'!$C$2:$E$230,3,0),0)</f>
        <v>0</v>
      </c>
      <c r="F3181" s="1">
        <f>IFERROR(VLOOKUP(293,'PEDIDO 40'!$C$2:$E$230,3,0),0)</f>
        <v>0</v>
      </c>
      <c r="G3181" s="18">
        <f t="shared" si="94"/>
        <v>0</v>
      </c>
    </row>
    <row r="3182" spans="1:7" ht="15.75" x14ac:dyDescent="0.25">
      <c r="A3182" s="15">
        <f>'PEDIDO 40'!$B$2</f>
        <v>0</v>
      </c>
      <c r="B3182" s="12" t="s">
        <v>418</v>
      </c>
      <c r="C3182" s="1">
        <f>IFERROR(VLOOKUP(963,'PEDIDO 40'!$C$2:$E$230,3,0),0)</f>
        <v>0</v>
      </c>
      <c r="D3182" s="1">
        <f>IFERROR(VLOOKUP(965,'PEDIDO 40'!$C$2:$E$230,3,0),0)</f>
        <v>0</v>
      </c>
      <c r="E3182" s="1">
        <f>IFERROR(VLOOKUP(966,'PEDIDO 40'!$C$2:$E$230,3,0),0)</f>
        <v>0</v>
      </c>
      <c r="F3182" s="1">
        <f>IFERROR(VLOOKUP(964,'PEDIDO 40'!$C$2:$E$230,3,0),0)</f>
        <v>0</v>
      </c>
      <c r="G3182" s="18">
        <f t="shared" si="94"/>
        <v>0</v>
      </c>
    </row>
    <row r="3183" spans="1:7" ht="15.75" x14ac:dyDescent="0.25">
      <c r="A3183" s="15">
        <f>'PEDIDO 40'!$B$2</f>
        <v>0</v>
      </c>
      <c r="B3183" s="12" t="s">
        <v>419</v>
      </c>
      <c r="C3183" s="1">
        <f>IFERROR(VLOOKUP(2042,'PEDIDO 40'!$C$2:$E$230,3,0),0)</f>
        <v>0</v>
      </c>
      <c r="D3183" s="1">
        <f>IFERROR(VLOOKUP(2041,'PEDIDO 40'!$C$2:$E$230,3,0),0)</f>
        <v>0</v>
      </c>
      <c r="E3183" s="1">
        <f>IFERROR(VLOOKUP(2043,'PEDIDO 40'!$C$2:$E$230,3,0),0)</f>
        <v>0</v>
      </c>
      <c r="F3183" s="1">
        <f>IFERROR(VLOOKUP(2040,'PEDIDO 40'!$C$2:$E$230,3,0),0)</f>
        <v>0</v>
      </c>
      <c r="G3183" s="18">
        <f t="shared" si="94"/>
        <v>0</v>
      </c>
    </row>
    <row r="3184" spans="1:7" ht="15.75" x14ac:dyDescent="0.25">
      <c r="A3184" s="15">
        <f>'PEDIDO 40'!$B$2</f>
        <v>0</v>
      </c>
      <c r="B3184" s="12" t="s">
        <v>420</v>
      </c>
      <c r="C3184" s="1">
        <f>IFERROR(VLOOKUP(2045,'PEDIDO 40'!$C$2:$E$230,3,0),0)</f>
        <v>0</v>
      </c>
      <c r="D3184" s="1">
        <f>IFERROR(VLOOKUP(2046,'PEDIDO 40'!$C$2:$E$230,3,0),0)</f>
        <v>0</v>
      </c>
      <c r="E3184" s="1">
        <f>IFERROR(VLOOKUP(2047,'PEDIDO 40'!$C$2:$E$230,3,0),0)</f>
        <v>0</v>
      </c>
      <c r="F3184" s="1">
        <f>IFERROR(VLOOKUP(2048,'PEDIDO 40'!$C$2:$E$230,3,0),0)</f>
        <v>0</v>
      </c>
      <c r="G3184" s="18">
        <f t="shared" si="94"/>
        <v>0</v>
      </c>
    </row>
    <row r="3185" spans="1:7" ht="15.75" x14ac:dyDescent="0.25">
      <c r="A3185" s="15">
        <f>'PEDIDO 40'!$B$2</f>
        <v>0</v>
      </c>
      <c r="B3185" s="12" t="s">
        <v>421</v>
      </c>
      <c r="C3185" s="1">
        <f>IFERROR(VLOOKUP(2050,'PEDIDO 40'!$C$2:$E$230,3,0),0)</f>
        <v>0</v>
      </c>
      <c r="D3185" s="1">
        <f>IFERROR(VLOOKUP(2051,'PEDIDO 40'!$C$2:$E$230,3,0),0)</f>
        <v>0</v>
      </c>
      <c r="E3185" s="1">
        <f>IFERROR(VLOOKUP(2052,'PEDIDO 40'!$C$2:$E$230,3,0),0)</f>
        <v>0</v>
      </c>
      <c r="F3185" s="1">
        <f>IFERROR(VLOOKUP(2053,'PEDIDO 40'!$C$2:$E$230,3,0),0)</f>
        <v>0</v>
      </c>
      <c r="G3185" s="18">
        <f t="shared" si="94"/>
        <v>0</v>
      </c>
    </row>
    <row r="3186" spans="1:7" ht="15.75" x14ac:dyDescent="0.25">
      <c r="A3186" s="15">
        <f>'PEDIDO 40'!$B$2</f>
        <v>0</v>
      </c>
      <c r="B3186" s="12" t="s">
        <v>422</v>
      </c>
      <c r="C3186" s="1">
        <f>IFERROR(VLOOKUP(216,'PEDIDO 40'!$C$2:$E$230,3,0),0)</f>
        <v>0</v>
      </c>
      <c r="D3186" s="1">
        <f>IFERROR(VLOOKUP(217,'PEDIDO 40'!$C$2:$E$230,3,0),0)</f>
        <v>0</v>
      </c>
      <c r="E3186" s="1">
        <f>IFERROR(VLOOKUP(218,'PEDIDO 40'!$C$2:$E$230,3,0),0)</f>
        <v>0</v>
      </c>
      <c r="F3186" s="1">
        <f>IFERROR(VLOOKUP(305,'PEDIDO 40'!$C$2:$E$230,3,0),0)</f>
        <v>0</v>
      </c>
      <c r="G3186" s="18">
        <f t="shared" si="94"/>
        <v>0</v>
      </c>
    </row>
    <row r="3187" spans="1:7" ht="15.75" x14ac:dyDescent="0.25">
      <c r="A3187" s="15">
        <f>'PEDIDO 40'!$B$2</f>
        <v>0</v>
      </c>
      <c r="B3187" s="12" t="s">
        <v>423</v>
      </c>
      <c r="C3187" s="1">
        <f>IFERROR(VLOOKUP(100,'PEDIDO 40'!$C$2:$E$230,3,0),0)</f>
        <v>0</v>
      </c>
      <c r="D3187" s="1">
        <f>IFERROR(VLOOKUP(101,'PEDIDO 40'!$C$2:$E$230,3,0),0)</f>
        <v>0</v>
      </c>
      <c r="E3187" s="1">
        <f>IFERROR(VLOOKUP(102,'PEDIDO 40'!$C$2:$E$230,3,0),0)</f>
        <v>0</v>
      </c>
      <c r="F3187" s="1">
        <f>IFERROR(VLOOKUP(306,'PEDIDO 40'!$C$2:$E$230,3,0),0)</f>
        <v>0</v>
      </c>
      <c r="G3187" s="18">
        <f t="shared" si="94"/>
        <v>0</v>
      </c>
    </row>
    <row r="3188" spans="1:7" ht="15.75" x14ac:dyDescent="0.25">
      <c r="A3188" s="15">
        <f>'PEDIDO 40'!$B$2</f>
        <v>0</v>
      </c>
      <c r="B3188" s="12" t="s">
        <v>424</v>
      </c>
      <c r="C3188" s="1">
        <f>IFERROR(VLOOKUP(104,'PEDIDO 40'!$C$2:$E$230,3,0),0)</f>
        <v>0</v>
      </c>
      <c r="D3188" s="1">
        <f>IFERROR(VLOOKUP(105,'PEDIDO 40'!$C$2:$E$230,3,0),0)</f>
        <v>0</v>
      </c>
      <c r="E3188" s="1">
        <f>IFERROR(VLOOKUP(106,'PEDIDO 40'!$C$2:$E$230,3,0),0)</f>
        <v>0</v>
      </c>
      <c r="F3188" s="1">
        <f>IFERROR(VLOOKUP(307,'PEDIDO 40'!$C$2:$E$230,3,0),0)</f>
        <v>0</v>
      </c>
      <c r="G3188" s="18">
        <f t="shared" si="94"/>
        <v>0</v>
      </c>
    </row>
    <row r="3189" spans="1:7" ht="15.75" x14ac:dyDescent="0.25">
      <c r="A3189" s="15">
        <f>'PEDIDO 40'!$B$2</f>
        <v>0</v>
      </c>
      <c r="B3189" s="12" t="s">
        <v>425</v>
      </c>
      <c r="C3189" s="1">
        <f>IFERROR(VLOOKUP(400,'PEDIDO 40'!$C$2:$E$230,3,0),0)</f>
        <v>0</v>
      </c>
      <c r="D3189" s="1">
        <f>IFERROR(VLOOKUP(401,'PEDIDO 40'!$C$2:$E$230,3,0),0)</f>
        <v>0</v>
      </c>
      <c r="E3189" s="1">
        <f>IFERROR(VLOOKUP(402,'PEDIDO 40'!$C$2:$E$230,3,0),0)</f>
        <v>0</v>
      </c>
      <c r="F3189" s="1">
        <f>IFERROR(VLOOKUP(403,'PEDIDO 40'!$C$2:$E$230,3,0),0)</f>
        <v>0</v>
      </c>
      <c r="G3189" s="18">
        <f t="shared" si="94"/>
        <v>0</v>
      </c>
    </row>
    <row r="3190" spans="1:7" ht="15.75" x14ac:dyDescent="0.25">
      <c r="A3190" s="15">
        <f>'PEDIDO 40'!$B$2</f>
        <v>0</v>
      </c>
      <c r="B3190" s="12" t="s">
        <v>428</v>
      </c>
      <c r="C3190" s="1">
        <f>IFERROR(VLOOKUP(22,'PEDIDO 40'!$C$2:$E$230,3,0),0)</f>
        <v>0</v>
      </c>
      <c r="D3190" s="1"/>
      <c r="E3190" s="1"/>
      <c r="F3190" s="1"/>
      <c r="G3190" s="18">
        <f t="shared" si="94"/>
        <v>0</v>
      </c>
    </row>
    <row r="3191" spans="1:7" ht="15.75" x14ac:dyDescent="0.25">
      <c r="A3191" s="15">
        <f>'PEDIDO 40'!$B$2</f>
        <v>0</v>
      </c>
      <c r="B3191" s="12" t="s">
        <v>429</v>
      </c>
      <c r="C3191" s="1">
        <f>IFERROR(VLOOKUP(21,'PEDIDO 40'!$C$2:$E$230,3,0),0)</f>
        <v>0</v>
      </c>
      <c r="D3191" s="1"/>
      <c r="E3191" s="1"/>
      <c r="F3191" s="1"/>
      <c r="G3191" s="18">
        <f t="shared" si="94"/>
        <v>0</v>
      </c>
    </row>
    <row r="3192" spans="1:7" ht="15.75" x14ac:dyDescent="0.25">
      <c r="A3192" s="15">
        <f>'PEDIDO 40'!$B$2</f>
        <v>0</v>
      </c>
      <c r="B3192" s="12" t="s">
        <v>430</v>
      </c>
      <c r="C3192" s="1">
        <f>IFERROR(VLOOKUP(1125,'PEDIDO 40'!$C$2:$E$230,3,0),0)</f>
        <v>0</v>
      </c>
      <c r="D3192" s="1">
        <f>IFERROR(VLOOKUP(1126,'PEDIDO 40'!$C$2:$E$230,3,0),0)</f>
        <v>0</v>
      </c>
      <c r="E3192" s="1">
        <f>IFERROR(VLOOKUP(1127,'PEDIDO 40'!$C$2:$E$230,3,0),0)</f>
        <v>0</v>
      </c>
      <c r="F3192" s="1">
        <f>IFERROR(VLOOKUP(1128,'PEDIDO 40'!$C$2:$E$230,3,0),0)</f>
        <v>0</v>
      </c>
      <c r="G3192" s="18">
        <f t="shared" si="94"/>
        <v>0</v>
      </c>
    </row>
    <row r="3193" spans="1:7" ht="15.75" x14ac:dyDescent="0.25">
      <c r="A3193" s="15">
        <f>'PEDIDO 40'!$B$2</f>
        <v>0</v>
      </c>
      <c r="B3193" s="12" t="s">
        <v>431</v>
      </c>
      <c r="C3193" s="1">
        <f>IFERROR(VLOOKUP(1133,'PEDIDO 40'!$C$2:$E$230,3,0),0)</f>
        <v>0</v>
      </c>
      <c r="D3193" s="1">
        <f>IFERROR(VLOOKUP(1134,'PEDIDO 40'!$C$2:$E$230,3,0),0)</f>
        <v>0</v>
      </c>
      <c r="E3193" s="1">
        <f>IFERROR(VLOOKUP(1135,'PEDIDO 40'!$C$2:$E$230,3,0),0)</f>
        <v>0</v>
      </c>
      <c r="F3193" s="1">
        <f>IFERROR(VLOOKUP(1136,'PEDIDO 40'!$C$2:$E$230,3,0),0)</f>
        <v>0</v>
      </c>
      <c r="G3193" s="18">
        <f t="shared" si="94"/>
        <v>0</v>
      </c>
    </row>
    <row r="3194" spans="1:7" ht="15.75" x14ac:dyDescent="0.25">
      <c r="A3194" s="15">
        <f>'PEDIDO 40'!$B$2</f>
        <v>0</v>
      </c>
      <c r="B3194" s="12" t="s">
        <v>432</v>
      </c>
      <c r="C3194" s="1">
        <f>IFERROR(VLOOKUP(1105,'PEDIDO 40'!$C$2:$E$230,3,0),0)</f>
        <v>0</v>
      </c>
      <c r="D3194" s="1">
        <f>IFERROR(VLOOKUP(1106,'PEDIDO 40'!$C$2:$E$230,3,0),0)</f>
        <v>0</v>
      </c>
      <c r="E3194" s="1">
        <f>IFERROR(VLOOKUP(1107,'PEDIDO 40'!$C$2:$E$230,3,0),0)</f>
        <v>0</v>
      </c>
      <c r="F3194" s="1">
        <f>IFERROR(VLOOKUP(1108,'PEDIDO 40'!$C$2:$E$230,3,0),0)</f>
        <v>0</v>
      </c>
      <c r="G3194" s="18">
        <f t="shared" si="94"/>
        <v>0</v>
      </c>
    </row>
    <row r="3195" spans="1:7" ht="15.75" x14ac:dyDescent="0.25">
      <c r="A3195" s="15">
        <f>'PEDIDO 40'!$B$2</f>
        <v>0</v>
      </c>
      <c r="B3195" s="12" t="s">
        <v>433</v>
      </c>
      <c r="C3195" s="1">
        <f>IFERROR(VLOOKUP(1109,'PEDIDO 40'!$C$2:$E$230,3,0),0)</f>
        <v>0</v>
      </c>
      <c r="D3195" s="1">
        <f>IFERROR(VLOOKUP(1110,'PEDIDO 40'!$C$2:$E$230,3,0),0)</f>
        <v>0</v>
      </c>
      <c r="E3195" s="1">
        <f>IFERROR(VLOOKUP(1111,'PEDIDO 40'!$C$2:$E$230,3,0),0)</f>
        <v>0</v>
      </c>
      <c r="F3195" s="1">
        <f>IFERROR(VLOOKUP(1112,'PEDIDO 40'!$C$2:$E$230,3,0),0)</f>
        <v>0</v>
      </c>
      <c r="G3195" s="18">
        <f t="shared" si="94"/>
        <v>0</v>
      </c>
    </row>
    <row r="3196" spans="1:7" ht="15.75" x14ac:dyDescent="0.25">
      <c r="A3196" s="15">
        <f>'PEDIDO 40'!$B$2</f>
        <v>0</v>
      </c>
      <c r="B3196" s="12" t="s">
        <v>434</v>
      </c>
      <c r="C3196" s="1">
        <f>IFERROR(VLOOKUP(1113,'PEDIDO 40'!$C$2:$E$230,3,0),0)</f>
        <v>0</v>
      </c>
      <c r="D3196" s="1">
        <f>IFERROR(VLOOKUP(1114,'PEDIDO 40'!$C$2:$E$230,3,0),0)</f>
        <v>0</v>
      </c>
      <c r="E3196" s="1">
        <f>IFERROR(VLOOKUP(1115,'PEDIDO 40'!$C$2:$E$230,3,0),0)</f>
        <v>0</v>
      </c>
      <c r="F3196" s="1">
        <f>IFERROR(VLOOKUP(1116,'PEDIDO 40'!$C$2:$E$230,3,0),0)</f>
        <v>0</v>
      </c>
      <c r="G3196" s="18">
        <f t="shared" si="94"/>
        <v>0</v>
      </c>
    </row>
    <row r="3197" spans="1:7" ht="15.75" x14ac:dyDescent="0.25">
      <c r="A3197" s="15">
        <f>'PEDIDO 40'!$B$2</f>
        <v>0</v>
      </c>
      <c r="B3197" s="12" t="s">
        <v>435</v>
      </c>
      <c r="C3197" s="1">
        <f>IFERROR(VLOOKUP(1117,'PEDIDO 40'!$C$2:$E$230,3,0),0)</f>
        <v>0</v>
      </c>
      <c r="D3197" s="1">
        <f>IFERROR(VLOOKUP(1118,'PEDIDO 40'!$C$2:$E$230,3,0),0)</f>
        <v>0</v>
      </c>
      <c r="E3197" s="1">
        <f>IFERROR(VLOOKUP(1119,'PEDIDO 40'!$C$2:$E$230,3,0),0)</f>
        <v>0</v>
      </c>
      <c r="F3197" s="1">
        <f>IFERROR(VLOOKUP(1120,'PEDIDO 40'!$C$2:$E$230,3,0),0)</f>
        <v>0</v>
      </c>
      <c r="G3197" s="18">
        <f t="shared" si="94"/>
        <v>0</v>
      </c>
    </row>
    <row r="3198" spans="1:7" ht="15.75" x14ac:dyDescent="0.25">
      <c r="A3198" s="15">
        <f>'PEDIDO 40'!$B$2</f>
        <v>0</v>
      </c>
      <c r="B3198" s="12" t="s">
        <v>436</v>
      </c>
      <c r="C3198" s="1">
        <f>IFERROR(VLOOKUP(1121,'PEDIDO 40'!$C$2:$E$230,3,0),0)</f>
        <v>0</v>
      </c>
      <c r="D3198" s="1">
        <f>IFERROR(VLOOKUP(1122,'PEDIDO 40'!$C$2:$E$230,3,0),0)</f>
        <v>0</v>
      </c>
      <c r="E3198" s="1">
        <f>IFERROR(VLOOKUP(1123,'PEDIDO 40'!$C$2:$E$230,3,0),0)</f>
        <v>0</v>
      </c>
      <c r="F3198" s="1">
        <f>IFERROR(VLOOKUP(1124,'PEDIDO 40'!$C$2:$E$230,3,0),0)</f>
        <v>0</v>
      </c>
      <c r="G3198" s="18">
        <f t="shared" si="94"/>
        <v>0</v>
      </c>
    </row>
    <row r="3199" spans="1:7" ht="15.75" x14ac:dyDescent="0.25">
      <c r="A3199" s="15">
        <f>'PEDIDO 40'!$B$2</f>
        <v>0</v>
      </c>
      <c r="B3199" s="12" t="s">
        <v>437</v>
      </c>
      <c r="C3199" s="1">
        <f>IFERROR(VLOOKUP(1129,'PEDIDO 40'!$C$2:$E$230,3,0),0)</f>
        <v>0</v>
      </c>
      <c r="D3199" s="1">
        <f>IFERROR(VLOOKUP(1130,'PEDIDO 40'!$C$2:$E$230,3,0),0)</f>
        <v>0</v>
      </c>
      <c r="E3199" s="1">
        <f>IFERROR(VLOOKUP(1131,'PEDIDO 40'!$C$2:$E$230,3,0),0)</f>
        <v>0</v>
      </c>
      <c r="F3199" s="1">
        <f>IFERROR(VLOOKUP(1132,'PEDIDO 40'!$C$2:$E$230,3,0),0)</f>
        <v>0</v>
      </c>
      <c r="G3199" s="18">
        <f t="shared" si="94"/>
        <v>0</v>
      </c>
    </row>
    <row r="3200" spans="1:7" ht="15.75" x14ac:dyDescent="0.25">
      <c r="A3200" s="15">
        <f>'PEDIDO 40'!$B$2</f>
        <v>0</v>
      </c>
      <c r="B3200" s="12" t="s">
        <v>438</v>
      </c>
      <c r="C3200" s="1">
        <f>IFERROR(VLOOKUP(1137,'PEDIDO 40'!$C$2:$E$230,3,0),0)</f>
        <v>0</v>
      </c>
      <c r="D3200" s="1">
        <f>IFERROR(VLOOKUP(1138,'PEDIDO 40'!$C$2:$E$230,3,0),0)</f>
        <v>0</v>
      </c>
      <c r="E3200" s="1">
        <f>IFERROR(VLOOKUP(1139,'PEDIDO 40'!$C$2:$E$230,3,0),0)</f>
        <v>0</v>
      </c>
      <c r="F3200" s="1">
        <f>IFERROR(VLOOKUP(1140,'PEDIDO 40'!$C$2:$E$230,3,0),0)</f>
        <v>0</v>
      </c>
      <c r="G3200" s="18">
        <f t="shared" si="94"/>
        <v>0</v>
      </c>
    </row>
    <row r="3201" spans="1:7" ht="15.75" x14ac:dyDescent="0.25">
      <c r="A3201" s="15">
        <f>'PEDIDO 40'!$B$2</f>
        <v>0</v>
      </c>
      <c r="B3201" s="12" t="s">
        <v>439</v>
      </c>
      <c r="C3201" s="1">
        <f>IFERROR(VLOOKUP(1141,'PEDIDO 40'!$C$2:$E$230,3,0),0)</f>
        <v>0</v>
      </c>
      <c r="D3201" s="1">
        <f>IFERROR(VLOOKUP(1142,'PEDIDO 40'!$C$2:$E$230,3,0),0)</f>
        <v>0</v>
      </c>
      <c r="E3201" s="1">
        <f>IFERROR(VLOOKUP(1143,'PEDIDO 40'!$C$2:$E$230,3,0),0)</f>
        <v>0</v>
      </c>
      <c r="F3201" s="1">
        <f>IFERROR(VLOOKUP(1144,'PEDIDO 40'!$C$2:$E$230,3,0),0)</f>
        <v>0</v>
      </c>
      <c r="G3201" s="18">
        <f t="shared" si="94"/>
        <v>0</v>
      </c>
    </row>
    <row r="3202" spans="1:7" ht="15.75" x14ac:dyDescent="0.25">
      <c r="A3202" s="15">
        <f>'PEDIDO 40'!$B$2</f>
        <v>0</v>
      </c>
      <c r="B3202" s="12" t="s">
        <v>440</v>
      </c>
      <c r="C3202" s="1">
        <f>IFERROR(VLOOKUP(1145,'PEDIDO 40'!$C$2:$E$230,3,0),0)</f>
        <v>0</v>
      </c>
      <c r="D3202" s="1">
        <f>IFERROR(VLOOKUP(1146,'PEDIDO 40'!$C$2:$E$230,3,0),0)</f>
        <v>0</v>
      </c>
      <c r="E3202" s="1">
        <f>IFERROR(VLOOKUP(1147,'PEDIDO 40'!$C$2:$E$230,3,0),0)</f>
        <v>0</v>
      </c>
      <c r="F3202" s="1">
        <f>IFERROR(VLOOKUP(1148,'PEDIDO 40'!$C$2:$E$230,3,0),0)</f>
        <v>0</v>
      </c>
      <c r="G3202" s="18">
        <f t="shared" si="94"/>
        <v>0</v>
      </c>
    </row>
    <row r="3203" spans="1:7" ht="15.75" x14ac:dyDescent="0.25">
      <c r="A3203" s="15">
        <f>'PEDIDO 40'!$B$2</f>
        <v>0</v>
      </c>
      <c r="B3203" s="12" t="s">
        <v>441</v>
      </c>
      <c r="C3203" s="1">
        <f>IFERROR(VLOOKUP(1149,'PEDIDO 40'!$C$2:$E$230,3,0),0)</f>
        <v>0</v>
      </c>
      <c r="D3203" s="1">
        <f>IFERROR(VLOOKUP(1150,'PEDIDO 40'!$C$2:$E$230,3,0),0)</f>
        <v>0</v>
      </c>
      <c r="E3203" s="1">
        <f>IFERROR(VLOOKUP(1151,'PEDIDO 40'!$C$2:$E$230,3,0),0)</f>
        <v>0</v>
      </c>
      <c r="F3203" s="1">
        <f>IFERROR(VLOOKUP(1152,'PEDIDO 40'!$C$2:$E$230,3,0),0)</f>
        <v>0</v>
      </c>
      <c r="G3203" s="18">
        <f t="shared" si="94"/>
        <v>0</v>
      </c>
    </row>
    <row r="3204" spans="1:7" ht="15.75" x14ac:dyDescent="0.25">
      <c r="A3204" s="15">
        <f>'PEDIDO 40'!$B$2</f>
        <v>0</v>
      </c>
      <c r="B3204" s="12" t="s">
        <v>442</v>
      </c>
      <c r="C3204" s="1">
        <f>IFERROR(VLOOKUP(1153,'PEDIDO 40'!$C$2:$E$230,3,0),0)</f>
        <v>0</v>
      </c>
      <c r="D3204" s="1">
        <f>IFERROR(VLOOKUP(1154,'PEDIDO 40'!$C$2:$E$230,3,0),0)</f>
        <v>0</v>
      </c>
      <c r="E3204" s="1">
        <f>IFERROR(VLOOKUP(1155,'PEDIDO 40'!$C$2:$E$230,3,0),0)</f>
        <v>0</v>
      </c>
      <c r="F3204" s="1">
        <f>IFERROR(VLOOKUP(1156,'PEDIDO 40'!$C$2:$E$230,3,0),0)</f>
        <v>0</v>
      </c>
      <c r="G3204" s="18">
        <f t="shared" si="94"/>
        <v>0</v>
      </c>
    </row>
    <row r="3205" spans="1:7" ht="15.75" x14ac:dyDescent="0.25">
      <c r="A3205" s="15">
        <f>'PEDIDO 40'!$B$2</f>
        <v>0</v>
      </c>
      <c r="B3205" s="12" t="s">
        <v>443</v>
      </c>
      <c r="C3205" s="1">
        <f>IFERROR(VLOOKUP(1157,'PEDIDO 40'!$C$2:$E$230,3,0),0)</f>
        <v>0</v>
      </c>
      <c r="D3205" s="1">
        <f>IFERROR(VLOOKUP(1158,'PEDIDO 40'!$C$2:$E$230,3,0),0)</f>
        <v>0</v>
      </c>
      <c r="E3205" s="1">
        <f>IFERROR(VLOOKUP(1159,'PEDIDO 40'!$C$2:$E$230,3,0),0)</f>
        <v>0</v>
      </c>
      <c r="F3205" s="1">
        <f>IFERROR(VLOOKUP(1160,'PEDIDO 40'!$C$2:$E$230,3,0),0)</f>
        <v>0</v>
      </c>
      <c r="G3205" s="18">
        <f t="shared" si="94"/>
        <v>0</v>
      </c>
    </row>
    <row r="3206" spans="1:7" ht="15.75" x14ac:dyDescent="0.25">
      <c r="A3206" s="15">
        <f>'PEDIDO 40'!$B$2</f>
        <v>0</v>
      </c>
      <c r="B3206" s="12" t="s">
        <v>444</v>
      </c>
      <c r="C3206" s="1">
        <f>IFERROR(VLOOKUP(1161,'PEDIDO 40'!$C$2:$E$230,3,0),0)</f>
        <v>0</v>
      </c>
      <c r="D3206" s="1">
        <f>IFERROR(VLOOKUP(1162,'PEDIDO 40'!$C$2:$E$230,3,0),0)</f>
        <v>0</v>
      </c>
      <c r="E3206" s="1">
        <f>IFERROR(VLOOKUP(1163,'PEDIDO 40'!$C$2:$E$230,3,0),0)</f>
        <v>0</v>
      </c>
      <c r="F3206" s="1">
        <f>IFERROR(VLOOKUP(1164,'PEDIDO 40'!$C$2:$E$230,3,0),0)</f>
        <v>0</v>
      </c>
      <c r="G3206" s="18">
        <f t="shared" si="94"/>
        <v>0</v>
      </c>
    </row>
    <row r="3207" spans="1:7" ht="15.75" x14ac:dyDescent="0.25">
      <c r="A3207" s="15">
        <f>'PEDIDO 40'!$B$2</f>
        <v>0</v>
      </c>
      <c r="B3207" s="12" t="s">
        <v>445</v>
      </c>
      <c r="C3207" s="1">
        <f>IFERROR(VLOOKUP(1165,'PEDIDO 40'!$C$2:$E$230,3,0),0)</f>
        <v>0</v>
      </c>
      <c r="D3207" s="1">
        <f>IFERROR(VLOOKUP(1166,'PEDIDO 40'!$C$2:$E$230,3,0),0)</f>
        <v>0</v>
      </c>
      <c r="E3207" s="1">
        <f>IFERROR(VLOOKUP(1167,'PEDIDO 40'!$C$2:$E$230,3,0),0)</f>
        <v>0</v>
      </c>
      <c r="F3207" s="1">
        <f>IFERROR(VLOOKUP(1168,'PEDIDO 40'!$C$2:$E$230,3,0),0)</f>
        <v>0</v>
      </c>
      <c r="G3207" s="18">
        <f t="shared" si="94"/>
        <v>0</v>
      </c>
    </row>
    <row r="3208" spans="1:7" ht="15.75" x14ac:dyDescent="0.25">
      <c r="A3208" s="15">
        <f>'PEDIDO 40'!$B$2</f>
        <v>0</v>
      </c>
      <c r="B3208" s="12" t="s">
        <v>446</v>
      </c>
      <c r="C3208" s="1">
        <f>IFERROR(VLOOKUP(1169,'PEDIDO 40'!$C$2:$E$230,3,0),0)</f>
        <v>0</v>
      </c>
      <c r="D3208" s="1">
        <f>IFERROR(VLOOKUP(1170,'PEDIDO 40'!$C$2:$E$230,3,0),0)</f>
        <v>0</v>
      </c>
      <c r="E3208" s="1">
        <f>IFERROR(VLOOKUP(1171,'PEDIDO 40'!$C$2:$E$230,3,0),0)</f>
        <v>0</v>
      </c>
      <c r="F3208" s="1">
        <f>IFERROR(VLOOKUP(1172,'PEDIDO 40'!$C$2:$E$230,3,0),0)</f>
        <v>0</v>
      </c>
      <c r="G3208" s="18">
        <f t="shared" si="94"/>
        <v>0</v>
      </c>
    </row>
    <row r="3209" spans="1:7" ht="15.75" x14ac:dyDescent="0.25">
      <c r="A3209" s="15">
        <f>'PEDIDO 40'!$B$2</f>
        <v>0</v>
      </c>
      <c r="B3209" s="12" t="s">
        <v>447</v>
      </c>
      <c r="C3209" s="1">
        <f>IFERROR(VLOOKUP(1173,'PEDIDO 40'!$C$2:$E$230,3,0),0)</f>
        <v>0</v>
      </c>
      <c r="D3209" s="1">
        <f>IFERROR(VLOOKUP(1174,'PEDIDO 40'!$C$2:$E$230,3,0),0)</f>
        <v>0</v>
      </c>
      <c r="E3209" s="1">
        <f>IFERROR(VLOOKUP(1175,'PEDIDO 40'!$C$2:$E$230,3,0),0)</f>
        <v>0</v>
      </c>
      <c r="F3209" s="1">
        <f>IFERROR(VLOOKUP(1176,'PEDIDO 40'!$C$2:$E$230,3,0),0)</f>
        <v>0</v>
      </c>
      <c r="G3209" s="18">
        <f t="shared" si="94"/>
        <v>0</v>
      </c>
    </row>
    <row r="3210" spans="1:7" ht="15.75" x14ac:dyDescent="0.25">
      <c r="A3210" s="15">
        <f>'PEDIDO 40'!$B$2</f>
        <v>0</v>
      </c>
      <c r="B3210" s="12" t="s">
        <v>448</v>
      </c>
      <c r="C3210" s="1">
        <f>IFERROR(VLOOKUP(1249,'PEDIDO 40'!$C$2:$E$230,3,0),0)</f>
        <v>0</v>
      </c>
      <c r="D3210" s="1">
        <f>IFERROR(VLOOKUP(1250,'PEDIDO 40'!$C$2:$E$230,3,0),0)</f>
        <v>0</v>
      </c>
      <c r="E3210" s="1">
        <f>IFERROR(VLOOKUP(1251,'PEDIDO 40'!$C$2:$E$230,3,0),0)</f>
        <v>0</v>
      </c>
      <c r="F3210" s="1">
        <f>IFERROR(VLOOKUP(1252,'PEDIDO 40'!$C$2:$E$230,3,0),0)</f>
        <v>0</v>
      </c>
      <c r="G3210" s="18">
        <f t="shared" si="94"/>
        <v>0</v>
      </c>
    </row>
    <row r="3211" spans="1:7" ht="15.75" x14ac:dyDescent="0.25">
      <c r="A3211" s="15">
        <f>'PEDIDO 40'!$B$2</f>
        <v>0</v>
      </c>
      <c r="B3211" s="12" t="s">
        <v>449</v>
      </c>
      <c r="C3211" s="1">
        <f>IFERROR(VLOOKUP(1177,'PEDIDO 40'!$C$2:$E$230,3,0),0)</f>
        <v>0</v>
      </c>
      <c r="D3211" s="1">
        <f>IFERROR(VLOOKUP(1178,'PEDIDO 40'!$C$2:$E$230,3,0),0)</f>
        <v>0</v>
      </c>
      <c r="E3211" s="1">
        <f>IFERROR(VLOOKUP(1179,'PEDIDO 40'!$C$2:$E$230,3,0),0)</f>
        <v>0</v>
      </c>
      <c r="F3211" s="1">
        <f>IFERROR(VLOOKUP(1180,'PEDIDO 40'!$C$2:$E$230,3,0),0)</f>
        <v>0</v>
      </c>
      <c r="G3211" s="18">
        <f t="shared" si="94"/>
        <v>0</v>
      </c>
    </row>
    <row r="3212" spans="1:7" ht="15.75" x14ac:dyDescent="0.25">
      <c r="A3212" s="15">
        <f>'PEDIDO 40'!$B$2</f>
        <v>0</v>
      </c>
      <c r="B3212" s="12" t="s">
        <v>450</v>
      </c>
      <c r="C3212" s="1">
        <f>IFERROR(VLOOKUP(1181,'PEDIDO 40'!$C$2:$E$230,3,0),0)</f>
        <v>0</v>
      </c>
      <c r="D3212" s="1">
        <f>IFERROR(VLOOKUP(1182,'PEDIDO 40'!$C$2:$E$230,3,0),0)</f>
        <v>0</v>
      </c>
      <c r="E3212" s="1">
        <f>IFERROR(VLOOKUP(1183,'PEDIDO 40'!$C$2:$E$230,3,0),0)</f>
        <v>0</v>
      </c>
      <c r="F3212" s="1">
        <f>IFERROR(VLOOKUP(1184,'PEDIDO 40'!$C$2:$E$230,3,0),0)</f>
        <v>0</v>
      </c>
      <c r="G3212" s="18">
        <f t="shared" si="94"/>
        <v>0</v>
      </c>
    </row>
    <row r="3213" spans="1:7" ht="15.75" x14ac:dyDescent="0.25">
      <c r="A3213" s="15">
        <f>'PEDIDO 40'!$B$2</f>
        <v>0</v>
      </c>
      <c r="B3213" s="12" t="s">
        <v>451</v>
      </c>
      <c r="C3213" s="1">
        <f>IFERROR(VLOOKUP(1185,'PEDIDO 40'!$C$2:$E$230,3,0),0)</f>
        <v>0</v>
      </c>
      <c r="D3213" s="1">
        <f>IFERROR(VLOOKUP(1186,'PEDIDO 40'!$C$2:$E$230,3,0),0)</f>
        <v>0</v>
      </c>
      <c r="E3213" s="1">
        <f>IFERROR(VLOOKUP(1187,'PEDIDO 40'!$C$2:$E$230,3,0),0)</f>
        <v>0</v>
      </c>
      <c r="F3213" s="1">
        <f>IFERROR(VLOOKUP(1188,'PEDIDO 40'!$C$2:$E$230,3,0),0)</f>
        <v>0</v>
      </c>
      <c r="G3213" s="18">
        <f t="shared" si="94"/>
        <v>0</v>
      </c>
    </row>
    <row r="3214" spans="1:7" ht="15.75" x14ac:dyDescent="0.25">
      <c r="A3214" s="15">
        <f>'PEDIDO 40'!$B$2</f>
        <v>0</v>
      </c>
      <c r="B3214" s="12" t="s">
        <v>452</v>
      </c>
      <c r="C3214" s="1">
        <f>IFERROR(VLOOKUP(1189,'PEDIDO 40'!$C$2:$E$230,3,0),0)</f>
        <v>0</v>
      </c>
      <c r="D3214" s="1">
        <f>IFERROR(VLOOKUP(1190,'PEDIDO 40'!$C$2:$E$230,3,0),0)</f>
        <v>0</v>
      </c>
      <c r="E3214" s="1">
        <f>IFERROR(VLOOKUP(1191,'PEDIDO 40'!$C$2:$E$230,3,0),0)</f>
        <v>0</v>
      </c>
      <c r="F3214" s="1">
        <f>IFERROR(VLOOKUP(1192,'PEDIDO 40'!$C$2:$E$230,3,0),0)</f>
        <v>0</v>
      </c>
      <c r="G3214" s="18">
        <f t="shared" si="94"/>
        <v>0</v>
      </c>
    </row>
    <row r="3215" spans="1:7" ht="15.75" x14ac:dyDescent="0.25">
      <c r="A3215" s="15">
        <f>'PEDIDO 40'!$B$2</f>
        <v>0</v>
      </c>
      <c r="B3215" s="12" t="s">
        <v>453</v>
      </c>
      <c r="C3215" s="1">
        <f>IFERROR(VLOOKUP(1193,'PEDIDO 40'!$C$2:$E$230,3,0),0)</f>
        <v>0</v>
      </c>
      <c r="D3215" s="1">
        <f>IFERROR(VLOOKUP(1194,'PEDIDO 40'!$C$2:$E$230,3,0),0)</f>
        <v>0</v>
      </c>
      <c r="E3215" s="1">
        <f>IFERROR(VLOOKUP(1195,'PEDIDO 40'!$C$2:$E$230,3,0),0)</f>
        <v>0</v>
      </c>
      <c r="F3215" s="1">
        <f>IFERROR(VLOOKUP(1196,'PEDIDO 40'!$C$2:$E$230,3,0),0)</f>
        <v>0</v>
      </c>
      <c r="G3215" s="18">
        <f t="shared" si="94"/>
        <v>0</v>
      </c>
    </row>
    <row r="3216" spans="1:7" ht="15.75" x14ac:dyDescent="0.25">
      <c r="A3216" s="15">
        <f>'PEDIDO 40'!$B$2</f>
        <v>0</v>
      </c>
      <c r="B3216" s="12" t="s">
        <v>454</v>
      </c>
      <c r="C3216" s="1">
        <f>IFERROR(VLOOKUP(1197,'PEDIDO 40'!$C$2:$E$230,3,0),0)</f>
        <v>0</v>
      </c>
      <c r="D3216" s="1">
        <f>IFERROR(VLOOKUP(1198,'PEDIDO 40'!$C$2:$E$230,3,0),0)</f>
        <v>0</v>
      </c>
      <c r="E3216" s="1">
        <f>IFERROR(VLOOKUP(1199,'PEDIDO 40'!$C$2:$E$230,3,0),0)</f>
        <v>0</v>
      </c>
      <c r="F3216" s="1">
        <f>IFERROR(VLOOKUP(1200,'PEDIDO 40'!$C$2:$E$230,3,0),0)</f>
        <v>0</v>
      </c>
      <c r="G3216" s="18">
        <f t="shared" si="94"/>
        <v>0</v>
      </c>
    </row>
    <row r="3217" spans="1:7" ht="15.75" x14ac:dyDescent="0.25">
      <c r="A3217" s="15">
        <f>'PEDIDO 40'!$B$2</f>
        <v>0</v>
      </c>
      <c r="B3217" s="12" t="s">
        <v>455</v>
      </c>
      <c r="C3217" s="1">
        <f>IFERROR(VLOOKUP(1201,'PEDIDO 40'!$C$2:$E$230,3,0),0)</f>
        <v>0</v>
      </c>
      <c r="D3217" s="1">
        <f>IFERROR(VLOOKUP(1202,'PEDIDO 40'!$C$2:$E$230,3,0),0)</f>
        <v>0</v>
      </c>
      <c r="E3217" s="1">
        <f>IFERROR(VLOOKUP(1203,'PEDIDO 40'!$C$2:$E$230,3,0),0)</f>
        <v>0</v>
      </c>
      <c r="F3217" s="1">
        <f>IFERROR(VLOOKUP(1204,'PEDIDO 40'!$C$2:$E$230,3,0),0)</f>
        <v>0</v>
      </c>
      <c r="G3217" s="18">
        <f t="shared" si="94"/>
        <v>0</v>
      </c>
    </row>
    <row r="3218" spans="1:7" ht="15.75" x14ac:dyDescent="0.25">
      <c r="A3218" s="15">
        <f>'PEDIDO 40'!$B$2</f>
        <v>0</v>
      </c>
      <c r="B3218" s="12" t="s">
        <v>456</v>
      </c>
      <c r="C3218" s="1">
        <f>IFERROR(VLOOKUP(1205,'PEDIDO 40'!$C$2:$E$230,3,0),0)</f>
        <v>0</v>
      </c>
      <c r="D3218" s="1">
        <f>IFERROR(VLOOKUP(1206,'PEDIDO 40'!$C$2:$E$230,3,0),0)</f>
        <v>0</v>
      </c>
      <c r="E3218" s="1">
        <f>IFERROR(VLOOKUP(1207,'PEDIDO 40'!$C$2:$E$230,3,0),0)</f>
        <v>0</v>
      </c>
      <c r="F3218" s="1">
        <f>IFERROR(VLOOKUP(1208,'PEDIDO 40'!$C$2:$E$230,3,0),0)</f>
        <v>0</v>
      </c>
      <c r="G3218" s="18">
        <f t="shared" si="94"/>
        <v>0</v>
      </c>
    </row>
    <row r="3219" spans="1:7" ht="15.75" x14ac:dyDescent="0.25">
      <c r="A3219" s="15">
        <f>'PEDIDO 40'!$B$2</f>
        <v>0</v>
      </c>
      <c r="B3219" s="12" t="s">
        <v>457</v>
      </c>
      <c r="C3219" s="1">
        <f>IFERROR(VLOOKUP(1213,'PEDIDO 40'!$C$2:$E$230,3,0),0)</f>
        <v>0</v>
      </c>
      <c r="D3219" s="1">
        <f>IFERROR(VLOOKUP(1214,'PEDIDO 40'!$C$2:$E$230,3,0),0)</f>
        <v>0</v>
      </c>
      <c r="E3219" s="1">
        <f>IFERROR(VLOOKUP(1215,'PEDIDO 40'!$C$2:$E$230,3,0),0)</f>
        <v>0</v>
      </c>
      <c r="F3219" s="10">
        <f>IFERROR(VLOOKUP(1216,'PEDIDO 40'!$C$2:$E$230,3,0),0)</f>
        <v>0</v>
      </c>
      <c r="G3219" s="18">
        <f t="shared" si="94"/>
        <v>0</v>
      </c>
    </row>
    <row r="3220" spans="1:7" ht="15.75" x14ac:dyDescent="0.25">
      <c r="A3220" s="15">
        <f>'PEDIDO 40'!$B$2</f>
        <v>0</v>
      </c>
      <c r="B3220" s="12" t="s">
        <v>458</v>
      </c>
      <c r="C3220" s="1">
        <f>IFERROR(VLOOKUP(1209,'PEDIDO 40'!$C$2:$E$230,3,0),0)</f>
        <v>0</v>
      </c>
      <c r="D3220" s="1">
        <f>IFERROR(VLOOKUP(1210,'PEDIDO 40'!$C$2:$E$230,3,0),0)</f>
        <v>0</v>
      </c>
      <c r="E3220" s="1">
        <f>IFERROR(VLOOKUP(1211,'PEDIDO 40'!$C$2:$E$230,3,0),0)</f>
        <v>0</v>
      </c>
      <c r="F3220" s="1">
        <f>IFERROR(VLOOKUP(1212,'PEDIDO 40'!$C$2:$E$230,3,0),0)</f>
        <v>0</v>
      </c>
      <c r="G3220" s="18">
        <f t="shared" si="94"/>
        <v>0</v>
      </c>
    </row>
    <row r="3221" spans="1:7" ht="15.75" x14ac:dyDescent="0.25">
      <c r="A3221" s="15">
        <f>'PEDIDO 40'!$B$2</f>
        <v>0</v>
      </c>
      <c r="B3221" s="12" t="s">
        <v>459</v>
      </c>
      <c r="C3221" s="1">
        <f>IFERROR(VLOOKUP(1217,'PEDIDO 40'!$C$2:$E$230,3,0),0)</f>
        <v>0</v>
      </c>
      <c r="D3221" s="1">
        <f>IFERROR(VLOOKUP(1218,'PEDIDO 40'!$C$2:$E$230,3,0),0)</f>
        <v>0</v>
      </c>
      <c r="E3221" s="1">
        <f>IFERROR(VLOOKUP(1219,'PEDIDO 40'!$C$2:$E$230,3,0),0)</f>
        <v>0</v>
      </c>
      <c r="F3221" s="1">
        <f>IFERROR(VLOOKUP(1220,'PEDIDO 40'!$C$2:$E$230,3,0),0)</f>
        <v>0</v>
      </c>
      <c r="G3221" s="18">
        <f t="shared" si="94"/>
        <v>0</v>
      </c>
    </row>
    <row r="3222" spans="1:7" ht="15.75" x14ac:dyDescent="0.25">
      <c r="A3222" s="15">
        <f>'PEDIDO 40'!$B$2</f>
        <v>0</v>
      </c>
      <c r="B3222" s="12" t="s">
        <v>461</v>
      </c>
      <c r="C3222" s="1">
        <f>IFERROR(VLOOKUP(1225,'PEDIDO 40'!$C$2:$E$230,3,0),0)</f>
        <v>0</v>
      </c>
      <c r="D3222" s="1">
        <f>IFERROR(VLOOKUP(1226,'PEDIDO 40'!$C$2:$E$230,3,0),0)</f>
        <v>0</v>
      </c>
      <c r="E3222" s="1">
        <f>IFERROR(VLOOKUP(1227,'PEDIDO 40'!$C$2:$E$230,3,0),0)</f>
        <v>0</v>
      </c>
      <c r="F3222" s="1">
        <f>IFERROR(VLOOKUP(1228,'PEDIDO 40'!$C$2:$E$230,3,0),0)</f>
        <v>0</v>
      </c>
      <c r="G3222" s="18">
        <f t="shared" si="94"/>
        <v>0</v>
      </c>
    </row>
    <row r="3223" spans="1:7" ht="15.75" x14ac:dyDescent="0.25">
      <c r="A3223" s="15">
        <f>'PEDIDO 40'!$B$2</f>
        <v>0</v>
      </c>
      <c r="B3223" s="12" t="s">
        <v>462</v>
      </c>
      <c r="C3223" s="1">
        <f>IFERROR(VLOOKUP(1221,'PEDIDO 40'!$C$2:$E$230,3,0),0)</f>
        <v>0</v>
      </c>
      <c r="D3223" s="1">
        <f>IFERROR(VLOOKUP(1222,'PEDIDO 40'!$C$2:$E$230,3,0),0)</f>
        <v>0</v>
      </c>
      <c r="E3223" s="1">
        <f>IFERROR(VLOOKUP(1223,'PEDIDO 40'!$C$2:$E$230,3,0),0)</f>
        <v>0</v>
      </c>
      <c r="F3223" s="1">
        <f>IFERROR(VLOOKUP(1224,'PEDIDO 40'!$C$2:$E$230,3,0),0)</f>
        <v>0</v>
      </c>
      <c r="G3223" s="18">
        <f t="shared" si="94"/>
        <v>0</v>
      </c>
    </row>
    <row r="3224" spans="1:7" ht="15.75" x14ac:dyDescent="0.25">
      <c r="A3224" s="15">
        <f>'PEDIDO 40'!$B$2</f>
        <v>0</v>
      </c>
      <c r="B3224" s="12" t="s">
        <v>460</v>
      </c>
      <c r="C3224" s="1">
        <f>IFERROR(VLOOKUP(1229,'PEDIDO 40'!$C$2:$E$230,3,0),0)</f>
        <v>0</v>
      </c>
      <c r="D3224" s="1">
        <f>IFERROR(VLOOKUP(1230,'PEDIDO 40'!$C$2:$E$230,3,0),0)</f>
        <v>0</v>
      </c>
      <c r="E3224" s="1">
        <f>IFERROR(VLOOKUP(1231,'PEDIDO 40'!$C$2:$E$230,3,0),0)</f>
        <v>0</v>
      </c>
      <c r="F3224" s="1">
        <f>IFERROR(VLOOKUP(1232,'PEDIDO 40'!$C$2:$E$230,3,0),0)</f>
        <v>0</v>
      </c>
      <c r="G3224" s="18">
        <f t="shared" si="94"/>
        <v>0</v>
      </c>
    </row>
    <row r="3225" spans="1:7" ht="15.75" x14ac:dyDescent="0.25">
      <c r="A3225" s="15">
        <f>'PEDIDO 40'!$B$2</f>
        <v>0</v>
      </c>
      <c r="B3225" s="12" t="s">
        <v>463</v>
      </c>
      <c r="C3225" s="1">
        <f>IFERROR(VLOOKUP(1233,'PEDIDO 40'!$C$2:$E$230,3,0),0)</f>
        <v>0</v>
      </c>
      <c r="D3225" s="1">
        <f>IFERROR(VLOOKUP(1234,'PEDIDO 40'!$C$2:$E$230,3,0),0)</f>
        <v>0</v>
      </c>
      <c r="E3225" s="1">
        <f>IFERROR(VLOOKUP(1235,'PEDIDO 40'!$C$2:$E$230,3,0),0)</f>
        <v>0</v>
      </c>
      <c r="F3225" s="1">
        <f>IFERROR(VLOOKUP(1236,'PEDIDO 40'!$C$2:$E$230,3,0),0)</f>
        <v>0</v>
      </c>
      <c r="G3225" s="18">
        <f t="shared" si="94"/>
        <v>0</v>
      </c>
    </row>
    <row r="3226" spans="1:7" ht="15.75" x14ac:dyDescent="0.25">
      <c r="A3226" s="15">
        <f>'PEDIDO 40'!$B$2</f>
        <v>0</v>
      </c>
      <c r="B3226" s="12" t="s">
        <v>464</v>
      </c>
      <c r="C3226" s="1">
        <f>IFERROR(VLOOKUP(1237,'PEDIDO 40'!$C$2:$E$230,3,0),0)</f>
        <v>0</v>
      </c>
      <c r="D3226" s="1">
        <f>IFERROR(VLOOKUP(1238,'PEDIDO 40'!$C$2:$E$230,3,0),0)</f>
        <v>0</v>
      </c>
      <c r="E3226" s="1">
        <f>IFERROR(VLOOKUP(1239,'PEDIDO 40'!$C$2:$E$230,3,0),0)</f>
        <v>0</v>
      </c>
      <c r="F3226" s="1">
        <f>IFERROR(VLOOKUP(1240,'PEDIDO 40'!$C$2:$E$230,3,0),0)</f>
        <v>0</v>
      </c>
      <c r="G3226" s="18">
        <f t="shared" ref="G3226:G3238" si="95">SUM(C3226+D3226+E3226+F3226)</f>
        <v>0</v>
      </c>
    </row>
    <row r="3227" spans="1:7" ht="15.75" x14ac:dyDescent="0.25">
      <c r="A3227" s="15">
        <f>'PEDIDO 40'!$B$2</f>
        <v>0</v>
      </c>
      <c r="B3227" s="12" t="s">
        <v>465</v>
      </c>
      <c r="C3227" s="1">
        <f>IFERROR(VLOOKUP(1241,'PEDIDO 40'!$C$2:$E$230,3,0),0)</f>
        <v>0</v>
      </c>
      <c r="D3227" s="1">
        <f>IFERROR(VLOOKUP(1242,'PEDIDO 40'!$C$2:$E$230,3,0),0)</f>
        <v>0</v>
      </c>
      <c r="E3227" s="1">
        <f>IFERROR(VLOOKUP(1243,'PEDIDO 40'!$C$2:$E$230,3,0),0)</f>
        <v>0</v>
      </c>
      <c r="F3227" s="1">
        <f>IFERROR(VLOOKUP(1244,'PEDIDO 40'!$C$2:$E$230,3,0),0)</f>
        <v>0</v>
      </c>
      <c r="G3227" s="18">
        <f t="shared" si="95"/>
        <v>0</v>
      </c>
    </row>
    <row r="3228" spans="1:7" ht="15.75" x14ac:dyDescent="0.25">
      <c r="A3228" s="15">
        <f>'PEDIDO 40'!$B$2</f>
        <v>0</v>
      </c>
      <c r="B3228" s="12" t="s">
        <v>466</v>
      </c>
      <c r="C3228" s="1">
        <f>IFERROR(VLOOKUP(1245,'PEDIDO 40'!$C$2:$E$230,3,0),0)</f>
        <v>0</v>
      </c>
      <c r="D3228" s="1">
        <f>IFERROR(VLOOKUP(1246,'PEDIDO 40'!$C$2:$E$230,3,0),0)</f>
        <v>0</v>
      </c>
      <c r="E3228" s="1">
        <f>IFERROR(VLOOKUP(1247,'PEDIDO 40'!$C$2:$E$230,3,0),0)</f>
        <v>0</v>
      </c>
      <c r="F3228" s="1">
        <f>IFERROR(VLOOKUP(1248,'PEDIDO 40'!$C$2:$E$230,3,0),0)</f>
        <v>0</v>
      </c>
      <c r="G3228" s="18">
        <f t="shared" si="95"/>
        <v>0</v>
      </c>
    </row>
    <row r="3229" spans="1:7" ht="15.75" x14ac:dyDescent="0.25">
      <c r="A3229" s="15">
        <f>'PEDIDO 40'!$B$2</f>
        <v>0</v>
      </c>
      <c r="B3229" s="12" t="s">
        <v>467</v>
      </c>
      <c r="C3229" s="1">
        <f>IFERROR(VLOOKUP(25714,'PEDIDO 40'!$C$2:$E$230,3,0),0)</f>
        <v>0</v>
      </c>
      <c r="D3229" s="1"/>
      <c r="E3229" s="1"/>
      <c r="F3229" s="1"/>
      <c r="G3229" s="18">
        <f t="shared" si="95"/>
        <v>0</v>
      </c>
    </row>
    <row r="3230" spans="1:7" ht="15.75" x14ac:dyDescent="0.25">
      <c r="A3230" s="15">
        <f>'PEDIDO 40'!$B$2</f>
        <v>0</v>
      </c>
      <c r="B3230" s="12" t="s">
        <v>468</v>
      </c>
      <c r="C3230" s="1">
        <f>IFERROR(VLOOKUP(25712,'PEDIDO 40'!$C$2:$E$230,3,0),0)</f>
        <v>0</v>
      </c>
      <c r="D3230" s="1"/>
      <c r="E3230" s="1"/>
      <c r="F3230" s="1"/>
      <c r="G3230" s="18">
        <f t="shared" si="95"/>
        <v>0</v>
      </c>
    </row>
    <row r="3231" spans="1:7" ht="15.75" x14ac:dyDescent="0.25">
      <c r="A3231" s="15">
        <f>'PEDIDO 40'!$B$2</f>
        <v>0</v>
      </c>
      <c r="B3231" s="12" t="s">
        <v>469</v>
      </c>
      <c r="C3231" s="1">
        <f>IFERROR(VLOOKUP(25713,'PEDIDO 40'!$C$2:$E$230,3,0),0)</f>
        <v>0</v>
      </c>
      <c r="D3231" s="1"/>
      <c r="E3231" s="1"/>
      <c r="F3231" s="1"/>
      <c r="G3231" s="18">
        <f t="shared" si="95"/>
        <v>0</v>
      </c>
    </row>
    <row r="3232" spans="1:7" ht="15.75" x14ac:dyDescent="0.25">
      <c r="A3232" s="15">
        <f>'PEDIDO 40'!$B$2</f>
        <v>0</v>
      </c>
      <c r="B3232" s="12" t="s">
        <v>470</v>
      </c>
      <c r="C3232" s="1">
        <f>IFERROR(VLOOKUP(1260,'PEDIDO 40'!$C$2:$E$230,3,0),0)</f>
        <v>0</v>
      </c>
      <c r="D3232" s="1"/>
      <c r="E3232" s="1"/>
      <c r="F3232" s="1"/>
      <c r="G3232" s="18">
        <f t="shared" si="95"/>
        <v>0</v>
      </c>
    </row>
    <row r="3233" spans="1:7" ht="15.75" x14ac:dyDescent="0.25">
      <c r="A3233" s="15">
        <f>'PEDIDO 40'!$B$2</f>
        <v>0</v>
      </c>
      <c r="B3233" s="12" t="s">
        <v>471</v>
      </c>
      <c r="C3233" s="1">
        <f>IFERROR(VLOOKUP(1261,'PEDIDO 40'!$C$2:$E$230,3,0),0)</f>
        <v>0</v>
      </c>
      <c r="D3233" s="1"/>
      <c r="E3233" s="1"/>
      <c r="F3233" s="1"/>
      <c r="G3233" s="18">
        <f t="shared" si="95"/>
        <v>0</v>
      </c>
    </row>
    <row r="3234" spans="1:7" ht="15.75" x14ac:dyDescent="0.25">
      <c r="A3234" s="15">
        <f>'PEDIDO 40'!$B$2</f>
        <v>0</v>
      </c>
      <c r="B3234" s="12" t="s">
        <v>472</v>
      </c>
      <c r="C3234" s="1">
        <f>IFERROR(VLOOKUP(1262,'PEDIDO 40'!$C$2:$E$230,3,0),0)</f>
        <v>0</v>
      </c>
      <c r="D3234" s="1"/>
      <c r="E3234" s="1"/>
      <c r="F3234" s="1"/>
      <c r="G3234" s="18">
        <f t="shared" si="95"/>
        <v>0</v>
      </c>
    </row>
    <row r="3235" spans="1:7" ht="15.75" x14ac:dyDescent="0.25">
      <c r="A3235" s="15">
        <f>'PEDIDO 40'!$B$2</f>
        <v>0</v>
      </c>
      <c r="B3235" s="12" t="s">
        <v>473</v>
      </c>
      <c r="C3235" s="1">
        <f>IFERROR(VLOOKUP(1263,'PEDIDO 40'!$C$2:$E$230,3,0),0)</f>
        <v>0</v>
      </c>
      <c r="D3235" s="1"/>
      <c r="E3235" s="1"/>
      <c r="F3235" s="1"/>
      <c r="G3235" s="18">
        <f t="shared" si="95"/>
        <v>0</v>
      </c>
    </row>
    <row r="3236" spans="1:7" ht="15.75" x14ac:dyDescent="0.25">
      <c r="A3236" s="15">
        <f>'PEDIDO 40'!$B$2</f>
        <v>0</v>
      </c>
      <c r="B3236" s="12" t="s">
        <v>474</v>
      </c>
      <c r="C3236" s="1">
        <f>IFERROR(VLOOKUP(1264,'PEDIDO 40'!$C$2:$E$230,3,0),0)</f>
        <v>0</v>
      </c>
      <c r="D3236" s="1"/>
      <c r="E3236" s="1"/>
      <c r="F3236" s="1"/>
      <c r="G3236" s="18">
        <f t="shared" si="95"/>
        <v>0</v>
      </c>
    </row>
    <row r="3237" spans="1:7" ht="15.75" x14ac:dyDescent="0.25">
      <c r="A3237" s="15">
        <f>'PEDIDO 40'!$B$2</f>
        <v>0</v>
      </c>
      <c r="B3237" s="12" t="s">
        <v>475</v>
      </c>
      <c r="C3237" s="1">
        <f>IFERROR(VLOOKUP(1265,'PEDIDO 40'!$C$2:$E$230,3,0),0)</f>
        <v>0</v>
      </c>
      <c r="D3237" s="1"/>
      <c r="E3237" s="1"/>
      <c r="F3237" s="1"/>
      <c r="G3237" s="18">
        <f t="shared" si="95"/>
        <v>0</v>
      </c>
    </row>
    <row r="3238" spans="1:7" ht="15.75" x14ac:dyDescent="0.25">
      <c r="A3238" s="15">
        <f>'PEDIDO 40'!$B$2</f>
        <v>0</v>
      </c>
      <c r="B3238" s="12" t="s">
        <v>476</v>
      </c>
      <c r="C3238" s="1">
        <f>IFERROR(VLOOKUP(1266,'PEDIDO 40'!$C$2:$E$230,3,0),0)</f>
        <v>0</v>
      </c>
      <c r="D3238" s="1"/>
      <c r="E3238" s="1"/>
      <c r="F3238" s="1"/>
      <c r="G3238" s="18">
        <f t="shared" si="95"/>
        <v>0</v>
      </c>
    </row>
    <row r="3239" spans="1:7" ht="15.75" x14ac:dyDescent="0.25">
      <c r="A3239" s="15">
        <f>'PEDIDO 40'!$B$2</f>
        <v>0</v>
      </c>
      <c r="B3239" s="12" t="s">
        <v>477</v>
      </c>
      <c r="C3239" s="1">
        <f>IFERROR(VLOOKUP(1268,'PEDIDO 40'!$C$2:$E$230,3,0),0)</f>
        <v>0</v>
      </c>
      <c r="D3239" s="1">
        <f>IFERROR(VLOOKUP(1269,'PEDIDO 40'!$C$2:$E$230,3,0),0)</f>
        <v>0</v>
      </c>
      <c r="E3239" s="1">
        <f>IFERROR(VLOOKUP(1270,'PEDIDO 40'!$C$2:$E$230,3,0),0)</f>
        <v>0</v>
      </c>
      <c r="F3239" s="1">
        <f>IFERROR(VLOOKUP(1271,'PEDIDO 40'!$C$2:$E$230,3,0),0)</f>
        <v>0</v>
      </c>
      <c r="G3239" s="18">
        <f t="shared" ref="G3239" si="96">SUM(C3239+D3239+E3239+F3239)</f>
        <v>0</v>
      </c>
    </row>
    <row r="3242" spans="1:7" ht="15.75" x14ac:dyDescent="0.25">
      <c r="A3242" s="15">
        <f>'PEDIDO 41'!$B$2</f>
        <v>0</v>
      </c>
      <c r="B3242" s="12" t="s">
        <v>399</v>
      </c>
      <c r="C3242" s="1">
        <f>IFERROR(VLOOKUP(1,'PEDIDO 41'!$C$2:$E$230,3,0),0)</f>
        <v>0</v>
      </c>
      <c r="D3242" s="1">
        <f>IFERROR(VLOOKUP(2,'PEDIDO 41'!$C$2:$E$230,3,0),0)</f>
        <v>0</v>
      </c>
      <c r="E3242" s="1">
        <f>IFERROR(VLOOKUP(3,'PEDIDO 41'!$C$2:$E$230,3,0),0)</f>
        <v>0</v>
      </c>
      <c r="F3242" s="1">
        <f>IFERROR(VLOOKUP(282,'PEDIDO 41'!$C$2:$E$230,3,0),0)</f>
        <v>0</v>
      </c>
      <c r="G3242" s="18">
        <f>SUM(C3242+D3242+E3242+F3242)</f>
        <v>0</v>
      </c>
    </row>
    <row r="3243" spans="1:7" ht="15.75" x14ac:dyDescent="0.25">
      <c r="A3243" s="15">
        <f>'PEDIDO 41'!$B$2</f>
        <v>0</v>
      </c>
      <c r="B3243" s="12" t="s">
        <v>400</v>
      </c>
      <c r="C3243" s="1">
        <f>IFERROR(VLOOKUP(5,'PEDIDO 41'!$C$2:$E$230,3,0),0)</f>
        <v>0</v>
      </c>
      <c r="D3243" s="1">
        <f>IFERROR(VLOOKUP(6,'PEDIDO 41'!$C$2:$E$230,3,0),0)</f>
        <v>0</v>
      </c>
      <c r="E3243" s="1">
        <f>IFERROR(VLOOKUP(7,'PEDIDO 41'!$C$2:$E$230,3,0),0)</f>
        <v>0</v>
      </c>
      <c r="F3243" s="1">
        <f>IFERROR(VLOOKUP(258,'PEDIDO 41'!$C$2:$E$230,3,0),0)</f>
        <v>0</v>
      </c>
      <c r="G3243" s="18">
        <f t="shared" ref="G3243:G3306" si="97">SUM(C3243+D3243+E3243+F3243)</f>
        <v>0</v>
      </c>
    </row>
    <row r="3244" spans="1:7" ht="15.75" x14ac:dyDescent="0.25">
      <c r="A3244" s="15">
        <f>'PEDIDO 41'!$B$2</f>
        <v>0</v>
      </c>
      <c r="B3244" s="12" t="s">
        <v>401</v>
      </c>
      <c r="C3244" s="1">
        <f>IFERROR(VLOOKUP(13,'PEDIDO 41'!$C$2:$E$230,3,0),0)</f>
        <v>0</v>
      </c>
      <c r="D3244" s="1">
        <f>IFERROR(VLOOKUP(14,'PEDIDO 41'!$C$2:$E$230,3,0),0)</f>
        <v>0</v>
      </c>
      <c r="E3244" s="1">
        <f>IFERROR(VLOOKUP(15,'PEDIDO 41'!$C$2:$E$230,3,0),0)</f>
        <v>0</v>
      </c>
      <c r="F3244" s="1">
        <f>IFERROR(VLOOKUP(289,'PEDIDO 41'!$C$2:$E$230,3,0),0)</f>
        <v>0</v>
      </c>
      <c r="G3244" s="18">
        <f t="shared" si="97"/>
        <v>0</v>
      </c>
    </row>
    <row r="3245" spans="1:7" ht="15.75" x14ac:dyDescent="0.25">
      <c r="A3245" s="15">
        <f>'PEDIDO 41'!$B$2</f>
        <v>0</v>
      </c>
      <c r="B3245" s="12" t="s">
        <v>402</v>
      </c>
      <c r="C3245" s="1">
        <f>IFERROR(VLOOKUP(267,'PEDIDO 41'!$C$2:$E$230,3,0),0)</f>
        <v>0</v>
      </c>
      <c r="D3245" s="1">
        <f>IFERROR(VLOOKUP(268,'PEDIDO 41'!$C$2:$E$230,3,0),0)</f>
        <v>0</v>
      </c>
      <c r="E3245" s="1">
        <f>IFERROR(VLOOKUP(270,'PEDIDO 41'!$C$2:$E$230,3,0),0)</f>
        <v>0</v>
      </c>
      <c r="F3245" s="1">
        <f>IFERROR(VLOOKUP(269,'PEDIDO 41'!$C$2:$E$230,3,0),0)</f>
        <v>0</v>
      </c>
      <c r="G3245" s="18">
        <f t="shared" si="97"/>
        <v>0</v>
      </c>
    </row>
    <row r="3246" spans="1:7" ht="15.75" x14ac:dyDescent="0.25">
      <c r="A3246" s="15">
        <f>'PEDIDO 41'!$B$2</f>
        <v>0</v>
      </c>
      <c r="B3246" s="12" t="s">
        <v>403</v>
      </c>
      <c r="C3246" s="1">
        <f>IFERROR(VLOOKUP(17,'PEDIDO 41'!$C$2:$E$230,3,0),0)</f>
        <v>0</v>
      </c>
      <c r="D3246" s="1">
        <f>IFERROR(VLOOKUP(18,'PEDIDO 41'!$C$2:$E$230,3,0),0)</f>
        <v>0</v>
      </c>
      <c r="E3246" s="1">
        <f>IFERROR(VLOOKUP(19,'PEDIDO 41'!$C$2:$E$230,3,0),0)</f>
        <v>0</v>
      </c>
      <c r="F3246" s="1">
        <f>IFERROR(VLOOKUP(290,'PEDIDO 41'!$C$2:$E$230,3,0),0)</f>
        <v>0</v>
      </c>
      <c r="G3246" s="18">
        <f t="shared" si="97"/>
        <v>0</v>
      </c>
    </row>
    <row r="3247" spans="1:7" ht="15.75" x14ac:dyDescent="0.25">
      <c r="A3247" s="15">
        <f>'PEDIDO 41'!$B$2</f>
        <v>0</v>
      </c>
      <c r="B3247" s="12" t="s">
        <v>404</v>
      </c>
      <c r="C3247" s="1">
        <f>IFERROR(VLOOKUP(23,'PEDIDO 41'!$C$2:$E$230,3,0),0)</f>
        <v>0</v>
      </c>
      <c r="D3247" s="1">
        <f>IFERROR(VLOOKUP(24,'PEDIDO 41'!$C$2:$E$230,3,0),0)</f>
        <v>0</v>
      </c>
      <c r="E3247" s="1">
        <f>IFERROR(VLOOKUP(25,'PEDIDO 41'!$C$2:$E$230,3,0),0)</f>
        <v>0</v>
      </c>
      <c r="F3247" s="1">
        <f>IFERROR(VLOOKUP(291,'PEDIDO 41'!$C$2:$E$230,3,0),0)</f>
        <v>0</v>
      </c>
      <c r="G3247" s="18">
        <f t="shared" si="97"/>
        <v>0</v>
      </c>
    </row>
    <row r="3248" spans="1:7" ht="15.75" x14ac:dyDescent="0.25">
      <c r="A3248" s="15">
        <f>'PEDIDO 41'!$B$2</f>
        <v>0</v>
      </c>
      <c r="B3248" s="12" t="s">
        <v>405</v>
      </c>
      <c r="C3248" s="1">
        <f>IFERROR(VLOOKUP(27,'PEDIDO 41'!$C$2:$E$230,3,0),0)</f>
        <v>0</v>
      </c>
      <c r="D3248" s="1">
        <f>IFERROR(VLOOKUP(28,'PEDIDO 41'!$C$2:$E$230,3,0),0)</f>
        <v>0</v>
      </c>
      <c r="E3248" s="1">
        <f>IFERROR(VLOOKUP(29,'PEDIDO 41'!$C$2:$E$230,3,0),0)</f>
        <v>0</v>
      </c>
      <c r="F3248" s="1">
        <f>IFERROR(VLOOKUP(292,'PEDIDO 41'!$C$2:$E$230,3,0),0)</f>
        <v>0</v>
      </c>
      <c r="G3248" s="18">
        <f t="shared" si="97"/>
        <v>0</v>
      </c>
    </row>
    <row r="3249" spans="1:7" ht="15.75" x14ac:dyDescent="0.25">
      <c r="A3249" s="15">
        <f>'PEDIDO 41'!$B$2</f>
        <v>0</v>
      </c>
      <c r="B3249" s="12" t="s">
        <v>406</v>
      </c>
      <c r="C3249" s="1">
        <f>IFERROR(VLOOKUP(227,'PEDIDO 41'!$C$2:$E$230,3,0),0)</f>
        <v>0</v>
      </c>
      <c r="D3249" s="1">
        <f>IFERROR(VLOOKUP(228,'PEDIDO 41'!$C$2:$E$230,3,0),0)</f>
        <v>0</v>
      </c>
      <c r="E3249" s="1">
        <f>IFERROR(VLOOKUP(229,'PEDIDO 41'!$C$2:$E$230,3,0),0)</f>
        <v>0</v>
      </c>
      <c r="F3249" s="1">
        <f>IFERROR(VLOOKUP(230,'PEDIDO 41'!$C$2:$E$230,3,0),0)</f>
        <v>0</v>
      </c>
      <c r="G3249" s="18">
        <f t="shared" si="97"/>
        <v>0</v>
      </c>
    </row>
    <row r="3250" spans="1:7" ht="15.75" x14ac:dyDescent="0.25">
      <c r="A3250" s="15">
        <f>'PEDIDO 41'!$B$2</f>
        <v>0</v>
      </c>
      <c r="B3250" s="12" t="s">
        <v>407</v>
      </c>
      <c r="C3250" s="1">
        <f>IFERROR(VLOOKUP(231,'PEDIDO 41'!$C$2:$E$230,3,0),0)</f>
        <v>0</v>
      </c>
      <c r="D3250" s="1">
        <f>IFERROR(VLOOKUP(232,'PEDIDO 41'!$C$2:$E$230,3,0),0)</f>
        <v>0</v>
      </c>
      <c r="E3250" s="1">
        <f>IFERROR(VLOOKUP(234,'PEDIDO 41'!$C$2:$E$230,3,0),0)</f>
        <v>0</v>
      </c>
      <c r="F3250" s="1">
        <f>IFERROR(VLOOKUP(233,'PEDIDO 41'!$C$2:$E$230,3,0),0)</f>
        <v>0</v>
      </c>
      <c r="G3250" s="18">
        <f t="shared" si="97"/>
        <v>0</v>
      </c>
    </row>
    <row r="3251" spans="1:7" ht="15.75" x14ac:dyDescent="0.25">
      <c r="A3251" s="15">
        <f>'PEDIDO 41'!$B$2</f>
        <v>0</v>
      </c>
      <c r="B3251" s="12" t="s">
        <v>408</v>
      </c>
      <c r="C3251" s="1">
        <f>IFERROR(VLOOKUP(237,'PEDIDO 41'!$C$2:$E$230,3,0),0)</f>
        <v>0</v>
      </c>
      <c r="D3251" s="1">
        <f>IFERROR(VLOOKUP(238,'PEDIDO 41'!$C$2:$E$230,3,0),0)</f>
        <v>0</v>
      </c>
      <c r="E3251" s="1">
        <f>IFERROR(VLOOKUP(240,'PEDIDO 41'!$C$2:$E$230,3,0),0)</f>
        <v>0</v>
      </c>
      <c r="F3251" s="1">
        <f>IFERROR(VLOOKUP(239,'PEDIDO 41'!$C$2:$E$230,3,0),0)</f>
        <v>0</v>
      </c>
      <c r="G3251" s="18">
        <f t="shared" si="97"/>
        <v>0</v>
      </c>
    </row>
    <row r="3252" spans="1:7" ht="15.75" x14ac:dyDescent="0.25">
      <c r="A3252" s="15">
        <f>'PEDIDO 41'!$B$2</f>
        <v>0</v>
      </c>
      <c r="B3252" s="12" t="s">
        <v>409</v>
      </c>
      <c r="C3252" s="1">
        <f>IFERROR(VLOOKUP(25707,'PEDIDO 41'!$C$2:$E$230,3,0),0)</f>
        <v>0</v>
      </c>
      <c r="D3252" s="1">
        <f>IFERROR(VLOOKUP(25708,'PEDIDO 41'!$C$2:$E$230,3,0),0)</f>
        <v>0</v>
      </c>
      <c r="E3252" s="1">
        <f>IFERROR(VLOOKUP(25710,'PEDIDO 41'!$C$2:$E$230,3,0),0)</f>
        <v>0</v>
      </c>
      <c r="F3252" s="1">
        <f>IFERROR(VLOOKUP(25709,'PEDIDO 41'!$C$2:$E$230,3,0),0)</f>
        <v>0</v>
      </c>
      <c r="G3252" s="18">
        <f t="shared" si="97"/>
        <v>0</v>
      </c>
    </row>
    <row r="3253" spans="1:7" ht="15.75" x14ac:dyDescent="0.25">
      <c r="A3253" s="15">
        <f>'PEDIDO 41'!$B$2</f>
        <v>0</v>
      </c>
      <c r="B3253" s="12" t="s">
        <v>410</v>
      </c>
      <c r="C3253" s="1">
        <f>IFERROR(VLOOKUP(25711,'PEDIDO 41'!$C$2:$E$230,3,0),0)</f>
        <v>0</v>
      </c>
      <c r="D3253" s="1"/>
      <c r="E3253" s="1"/>
      <c r="F3253" s="1"/>
      <c r="G3253" s="18">
        <f t="shared" si="97"/>
        <v>0</v>
      </c>
    </row>
    <row r="3254" spans="1:7" ht="15.75" x14ac:dyDescent="0.25">
      <c r="A3254" s="15">
        <f>'PEDIDO 41'!$B$2</f>
        <v>0</v>
      </c>
      <c r="B3254" s="12" t="s">
        <v>411</v>
      </c>
      <c r="C3254" s="1">
        <f>IFERROR(VLOOKUP(35,'PEDIDO 41'!$C$2:$E$230,3,0),0)</f>
        <v>0</v>
      </c>
      <c r="D3254" s="1">
        <f>IFERROR(VLOOKUP(36,'PEDIDO 41'!$C$2:$E$230,3,0),0)</f>
        <v>0</v>
      </c>
      <c r="E3254" s="1">
        <f>IFERROR(VLOOKUP(37,'PEDIDO 41'!$C$2:$E$230,3,0),0)</f>
        <v>0</v>
      </c>
      <c r="F3254" s="1">
        <f>IFERROR(VLOOKUP(294,'PEDIDO 41'!$C$2:$E$230,3,0),0)</f>
        <v>0</v>
      </c>
      <c r="G3254" s="18">
        <f t="shared" si="97"/>
        <v>0</v>
      </c>
    </row>
    <row r="3255" spans="1:7" ht="15.75" x14ac:dyDescent="0.25">
      <c r="A3255" s="15">
        <f>'PEDIDO 41'!$B$2</f>
        <v>0</v>
      </c>
      <c r="B3255" s="12" t="s">
        <v>412</v>
      </c>
      <c r="C3255" s="1">
        <f>IFERROR(VLOOKUP(39,'PEDIDO 41'!$C$2:$E$230,3,0),0)</f>
        <v>0</v>
      </c>
      <c r="D3255" s="1">
        <f>IFERROR(VLOOKUP(40,'PEDIDO 41'!$C$2:$E$230,3,0),0)</f>
        <v>0</v>
      </c>
      <c r="E3255" s="1">
        <f>IFERROR(VLOOKUP(42,'PEDIDO 41'!$C$2:$E$230,3,0),0)</f>
        <v>0</v>
      </c>
      <c r="F3255" s="1">
        <f>IFERROR(VLOOKUP(295,'PEDIDO 41'!$C$2:$E$230,3,0),0)</f>
        <v>0</v>
      </c>
      <c r="G3255" s="18">
        <f t="shared" si="97"/>
        <v>0</v>
      </c>
    </row>
    <row r="3256" spans="1:7" ht="15.75" x14ac:dyDescent="0.25">
      <c r="A3256" s="15">
        <f>'PEDIDO 41'!$B$2</f>
        <v>0</v>
      </c>
      <c r="B3256" s="12" t="s">
        <v>413</v>
      </c>
      <c r="C3256" s="1">
        <f>IFERROR(VLOOKUP(44,'PEDIDO 41'!$C$2:$E$230,3,0),0)</f>
        <v>0</v>
      </c>
      <c r="D3256" s="1">
        <f>IFERROR(VLOOKUP(45,'PEDIDO 41'!$C$2:$E$230,3,0),0)</f>
        <v>0</v>
      </c>
      <c r="E3256" s="1">
        <f>IFERROR(VLOOKUP(46,'PEDIDO 41'!$C$2:$E$230,3,0),0)</f>
        <v>0</v>
      </c>
      <c r="F3256" s="1">
        <f>IFERROR(VLOOKUP(283,'PEDIDO 41'!$C$2:$E$230,3,0),0)</f>
        <v>0</v>
      </c>
      <c r="G3256" s="18">
        <f t="shared" si="97"/>
        <v>0</v>
      </c>
    </row>
    <row r="3257" spans="1:7" ht="15.75" x14ac:dyDescent="0.25">
      <c r="A3257" s="15">
        <f>'PEDIDO 41'!$B$2</f>
        <v>0</v>
      </c>
      <c r="B3257" s="12" t="s">
        <v>414</v>
      </c>
      <c r="C3257" s="1">
        <f>IFERROR(VLOOKUP(48,'PEDIDO 41'!$C$2:$E$230,3,0),0)</f>
        <v>0</v>
      </c>
      <c r="D3257" s="1">
        <f>IFERROR(VLOOKUP(49,'PEDIDO 41'!$C$2:$E$230,3,0),0)</f>
        <v>0</v>
      </c>
      <c r="E3257" s="1">
        <f>IFERROR(VLOOKUP(50,'PEDIDO 41'!$C$2:$E$230,3,0),0)</f>
        <v>0</v>
      </c>
      <c r="F3257" s="1">
        <f>IFERROR(VLOOKUP(298,'PEDIDO 41'!$C$2:$E$230,3,0),0)</f>
        <v>0</v>
      </c>
      <c r="G3257" s="18">
        <f t="shared" si="97"/>
        <v>0</v>
      </c>
    </row>
    <row r="3258" spans="1:7" ht="15.75" x14ac:dyDescent="0.25">
      <c r="A3258" s="15">
        <f>'PEDIDO 41'!$B$2</f>
        <v>0</v>
      </c>
      <c r="B3258" s="12" t="s">
        <v>415</v>
      </c>
      <c r="C3258" s="1">
        <f>IFERROR(VLOOKUP(52,'PEDIDO 41'!$C$2:$E$230,3,0),0)</f>
        <v>0</v>
      </c>
      <c r="D3258" s="1">
        <f>IFERROR(VLOOKUP(53,'PEDIDO 41'!$C$2:$E$230,3,0),0)</f>
        <v>0</v>
      </c>
      <c r="E3258" s="1">
        <f>IFERROR(VLOOKUP(54,'PEDIDO 41'!$C$2:$E$230,3,0),0)</f>
        <v>0</v>
      </c>
      <c r="F3258" s="1">
        <f>IFERROR(VLOOKUP(299,'PEDIDO 41'!$C$2:$E$230,3,0),0)</f>
        <v>0</v>
      </c>
      <c r="G3258" s="18">
        <f t="shared" si="97"/>
        <v>0</v>
      </c>
    </row>
    <row r="3259" spans="1:7" ht="15.75" x14ac:dyDescent="0.25">
      <c r="A3259" s="15">
        <f>'PEDIDO 41'!$B$2</f>
        <v>0</v>
      </c>
      <c r="B3259" s="12" t="s">
        <v>416</v>
      </c>
      <c r="C3259" s="1">
        <f>IFERROR(VLOOKUP(56,'PEDIDO 41'!$C$2:$E$230,3,0),0)</f>
        <v>0</v>
      </c>
      <c r="D3259" s="1">
        <f>IFERROR(VLOOKUP(61,'PEDIDO 41'!$C$2:$E$230,3,0),0)</f>
        <v>0</v>
      </c>
      <c r="E3259" s="1">
        <f>IFERROR(VLOOKUP(58,'PEDIDO 41'!$C$2:$E$230,3,0),0)</f>
        <v>0</v>
      </c>
      <c r="F3259" s="1">
        <f>IFERROR(VLOOKUP(300,'PEDIDO 41'!$C$2:$E$230,3,0),0)</f>
        <v>0</v>
      </c>
      <c r="G3259" s="18">
        <f t="shared" si="97"/>
        <v>0</v>
      </c>
    </row>
    <row r="3260" spans="1:7" ht="15.75" x14ac:dyDescent="0.25">
      <c r="A3260" s="15">
        <f>'PEDIDO 41'!$B$2</f>
        <v>0</v>
      </c>
      <c r="B3260" s="12" t="s">
        <v>417</v>
      </c>
      <c r="C3260" s="1">
        <f>IFERROR(VLOOKUP(60,'PEDIDO 41'!$C$2:$E$230,3,0),0)</f>
        <v>0</v>
      </c>
      <c r="D3260" s="1">
        <f>IFERROR(VLOOKUP(120,'PEDIDO 41'!$C$2:$E$230,3,0),0)</f>
        <v>0</v>
      </c>
      <c r="E3260" s="1">
        <f>IFERROR(VLOOKUP(62,'PEDIDO 41'!$C$2:$E$230,3,0),0)</f>
        <v>0</v>
      </c>
      <c r="F3260" s="1">
        <f>IFERROR(VLOOKUP(301,'PEDIDO 41'!$C$2:$E$230,3,0),0)</f>
        <v>0</v>
      </c>
      <c r="G3260" s="18">
        <f t="shared" si="97"/>
        <v>0</v>
      </c>
    </row>
    <row r="3261" spans="1:7" ht="15.75" x14ac:dyDescent="0.25">
      <c r="A3261" s="15">
        <f>'PEDIDO 41'!$B$2</f>
        <v>0</v>
      </c>
      <c r="B3261" s="12" t="s">
        <v>426</v>
      </c>
      <c r="C3261" s="1">
        <f>IFERROR(VLOOKUP(112,'PEDIDO 41'!$C$2:$E$230,3,0),0)</f>
        <v>0</v>
      </c>
      <c r="D3261" s="1">
        <f>IFERROR(VLOOKUP(113,'PEDIDO 41'!$C$2:$E$230,3,0),0)</f>
        <v>0</v>
      </c>
      <c r="E3261" s="1">
        <f>IFERROR(VLOOKUP(114,'PEDIDO 41'!$C$2:$E$230,3,0),0)</f>
        <v>0</v>
      </c>
      <c r="F3261" s="1">
        <f>IFERROR(VLOOKUP(296,'PEDIDO 41'!$C$2:$E$230,3,0),0)</f>
        <v>0</v>
      </c>
      <c r="G3261" s="18">
        <f t="shared" si="97"/>
        <v>0</v>
      </c>
    </row>
    <row r="3262" spans="1:7" ht="15.75" x14ac:dyDescent="0.25">
      <c r="A3262" s="15">
        <f>'PEDIDO 41'!$B$2</f>
        <v>0</v>
      </c>
      <c r="B3262" s="12" t="s">
        <v>427</v>
      </c>
      <c r="C3262" s="1">
        <f>IFERROR(VLOOKUP(116,'PEDIDO 41'!$C$2:$E$230,3,0),0)</f>
        <v>0</v>
      </c>
      <c r="D3262" s="1">
        <f>IFERROR(VLOOKUP(117,'PEDIDO 41'!$C$2:$E$230,3,0),0)</f>
        <v>0</v>
      </c>
      <c r="E3262" s="1">
        <f>IFERROR(VLOOKUP(118,'PEDIDO 41'!$C$2:$E$230,3,0),0)</f>
        <v>0</v>
      </c>
      <c r="F3262" s="1">
        <f>IFERROR(VLOOKUP(293,'PEDIDO 41'!$C$2:$E$230,3,0),0)</f>
        <v>0</v>
      </c>
      <c r="G3262" s="18">
        <f t="shared" si="97"/>
        <v>0</v>
      </c>
    </row>
    <row r="3263" spans="1:7" ht="15.75" x14ac:dyDescent="0.25">
      <c r="A3263" s="15">
        <f>'PEDIDO 41'!$B$2</f>
        <v>0</v>
      </c>
      <c r="B3263" s="12" t="s">
        <v>418</v>
      </c>
      <c r="C3263" s="1">
        <f>IFERROR(VLOOKUP(963,'PEDIDO 41'!$C$2:$E$230,3,0),0)</f>
        <v>0</v>
      </c>
      <c r="D3263" s="1">
        <f>IFERROR(VLOOKUP(965,'PEDIDO 41'!$C$2:$E$230,3,0),0)</f>
        <v>0</v>
      </c>
      <c r="E3263" s="1">
        <f>IFERROR(VLOOKUP(966,'PEDIDO 41'!$C$2:$E$230,3,0),0)</f>
        <v>0</v>
      </c>
      <c r="F3263" s="1">
        <f>IFERROR(VLOOKUP(964,'PEDIDO 41'!$C$2:$E$230,3,0),0)</f>
        <v>0</v>
      </c>
      <c r="G3263" s="18">
        <f t="shared" si="97"/>
        <v>0</v>
      </c>
    </row>
    <row r="3264" spans="1:7" ht="15.75" x14ac:dyDescent="0.25">
      <c r="A3264" s="15">
        <f>'PEDIDO 41'!$B$2</f>
        <v>0</v>
      </c>
      <c r="B3264" s="12" t="s">
        <v>419</v>
      </c>
      <c r="C3264" s="1">
        <f>IFERROR(VLOOKUP(2042,'PEDIDO 41'!$C$2:$E$230,3,0),0)</f>
        <v>0</v>
      </c>
      <c r="D3264" s="1">
        <f>IFERROR(VLOOKUP(2041,'PEDIDO 41'!$C$2:$E$230,3,0),0)</f>
        <v>0</v>
      </c>
      <c r="E3264" s="1">
        <f>IFERROR(VLOOKUP(2043,'PEDIDO 41'!$C$2:$E$230,3,0),0)</f>
        <v>0</v>
      </c>
      <c r="F3264" s="1">
        <f>IFERROR(VLOOKUP(2040,'PEDIDO 41'!$C$2:$E$230,3,0),0)</f>
        <v>0</v>
      </c>
      <c r="G3264" s="18">
        <f t="shared" si="97"/>
        <v>0</v>
      </c>
    </row>
    <row r="3265" spans="1:7" ht="15.75" x14ac:dyDescent="0.25">
      <c r="A3265" s="15">
        <f>'PEDIDO 41'!$B$2</f>
        <v>0</v>
      </c>
      <c r="B3265" s="12" t="s">
        <v>420</v>
      </c>
      <c r="C3265" s="1">
        <f>IFERROR(VLOOKUP(2045,'PEDIDO 41'!$C$2:$E$230,3,0),0)</f>
        <v>0</v>
      </c>
      <c r="D3265" s="1">
        <f>IFERROR(VLOOKUP(2046,'PEDIDO 41'!$C$2:$E$230,3,0),0)</f>
        <v>0</v>
      </c>
      <c r="E3265" s="1">
        <f>IFERROR(VLOOKUP(2047,'PEDIDO 41'!$C$2:$E$230,3,0),0)</f>
        <v>0</v>
      </c>
      <c r="F3265" s="1">
        <f>IFERROR(VLOOKUP(2048,'PEDIDO 41'!$C$2:$E$230,3,0),0)</f>
        <v>0</v>
      </c>
      <c r="G3265" s="18">
        <f t="shared" si="97"/>
        <v>0</v>
      </c>
    </row>
    <row r="3266" spans="1:7" ht="15.75" x14ac:dyDescent="0.25">
      <c r="A3266" s="15">
        <f>'PEDIDO 41'!$B$2</f>
        <v>0</v>
      </c>
      <c r="B3266" s="12" t="s">
        <v>421</v>
      </c>
      <c r="C3266" s="1">
        <f>IFERROR(VLOOKUP(2050,'PEDIDO 41'!$C$2:$E$230,3,0),0)</f>
        <v>0</v>
      </c>
      <c r="D3266" s="1">
        <f>IFERROR(VLOOKUP(2051,'PEDIDO 41'!$C$2:$E$230,3,0),0)</f>
        <v>0</v>
      </c>
      <c r="E3266" s="1">
        <f>IFERROR(VLOOKUP(2052,'PEDIDO 41'!$C$2:$E$230,3,0),0)</f>
        <v>0</v>
      </c>
      <c r="F3266" s="1">
        <f>IFERROR(VLOOKUP(2053,'PEDIDO 41'!$C$2:$E$230,3,0),0)</f>
        <v>0</v>
      </c>
      <c r="G3266" s="18">
        <f t="shared" si="97"/>
        <v>0</v>
      </c>
    </row>
    <row r="3267" spans="1:7" ht="15.75" x14ac:dyDescent="0.25">
      <c r="A3267" s="15">
        <f>'PEDIDO 41'!$B$2</f>
        <v>0</v>
      </c>
      <c r="B3267" s="12" t="s">
        <v>422</v>
      </c>
      <c r="C3267" s="1">
        <f>IFERROR(VLOOKUP(216,'PEDIDO 41'!$C$2:$E$230,3,0),0)</f>
        <v>0</v>
      </c>
      <c r="D3267" s="1">
        <f>IFERROR(VLOOKUP(217,'PEDIDO 41'!$C$2:$E$230,3,0),0)</f>
        <v>0</v>
      </c>
      <c r="E3267" s="1">
        <f>IFERROR(VLOOKUP(218,'PEDIDO 41'!$C$2:$E$230,3,0),0)</f>
        <v>0</v>
      </c>
      <c r="F3267" s="1">
        <f>IFERROR(VLOOKUP(305,'PEDIDO 41'!$C$2:$E$230,3,0),0)</f>
        <v>0</v>
      </c>
      <c r="G3267" s="18">
        <f t="shared" si="97"/>
        <v>0</v>
      </c>
    </row>
    <row r="3268" spans="1:7" ht="15.75" x14ac:dyDescent="0.25">
      <c r="A3268" s="15">
        <f>'PEDIDO 41'!$B$2</f>
        <v>0</v>
      </c>
      <c r="B3268" s="12" t="s">
        <v>423</v>
      </c>
      <c r="C3268" s="1">
        <f>IFERROR(VLOOKUP(100,'PEDIDO 41'!$C$2:$E$230,3,0),0)</f>
        <v>0</v>
      </c>
      <c r="D3268" s="1">
        <f>IFERROR(VLOOKUP(101,'PEDIDO 41'!$C$2:$E$230,3,0),0)</f>
        <v>0</v>
      </c>
      <c r="E3268" s="1">
        <f>IFERROR(VLOOKUP(102,'PEDIDO 41'!$C$2:$E$230,3,0),0)</f>
        <v>0</v>
      </c>
      <c r="F3268" s="1">
        <f>IFERROR(VLOOKUP(306,'PEDIDO 41'!$C$2:$E$230,3,0),0)</f>
        <v>0</v>
      </c>
      <c r="G3268" s="18">
        <f t="shared" si="97"/>
        <v>0</v>
      </c>
    </row>
    <row r="3269" spans="1:7" ht="15.75" x14ac:dyDescent="0.25">
      <c r="A3269" s="15">
        <f>'PEDIDO 41'!$B$2</f>
        <v>0</v>
      </c>
      <c r="B3269" s="12" t="s">
        <v>424</v>
      </c>
      <c r="C3269" s="1">
        <f>IFERROR(VLOOKUP(104,'PEDIDO 41'!$C$2:$E$230,3,0),0)</f>
        <v>0</v>
      </c>
      <c r="D3269" s="1">
        <f>IFERROR(VLOOKUP(105,'PEDIDO 41'!$C$2:$E$230,3,0),0)</f>
        <v>0</v>
      </c>
      <c r="E3269" s="1">
        <f>IFERROR(VLOOKUP(106,'PEDIDO 41'!$C$2:$E$230,3,0),0)</f>
        <v>0</v>
      </c>
      <c r="F3269" s="1">
        <f>IFERROR(VLOOKUP(307,'PEDIDO 41'!$C$2:$E$230,3,0),0)</f>
        <v>0</v>
      </c>
      <c r="G3269" s="18">
        <f t="shared" si="97"/>
        <v>0</v>
      </c>
    </row>
    <row r="3270" spans="1:7" ht="15.75" x14ac:dyDescent="0.25">
      <c r="A3270" s="15">
        <f>'PEDIDO 41'!$B$2</f>
        <v>0</v>
      </c>
      <c r="B3270" s="12" t="s">
        <v>425</v>
      </c>
      <c r="C3270" s="1">
        <f>IFERROR(VLOOKUP(400,'PEDIDO 41'!$C$2:$E$230,3,0),0)</f>
        <v>0</v>
      </c>
      <c r="D3270" s="1">
        <f>IFERROR(VLOOKUP(401,'PEDIDO 41'!$C$2:$E$230,3,0),0)</f>
        <v>0</v>
      </c>
      <c r="E3270" s="1">
        <f>IFERROR(VLOOKUP(402,'PEDIDO 41'!$C$2:$E$230,3,0),0)</f>
        <v>0</v>
      </c>
      <c r="F3270" s="1">
        <f>IFERROR(VLOOKUP(403,'PEDIDO 41'!$C$2:$E$230,3,0),0)</f>
        <v>0</v>
      </c>
      <c r="G3270" s="18">
        <f t="shared" si="97"/>
        <v>0</v>
      </c>
    </row>
    <row r="3271" spans="1:7" ht="15.75" x14ac:dyDescent="0.25">
      <c r="A3271" s="15">
        <f>'PEDIDO 41'!$B$2</f>
        <v>0</v>
      </c>
      <c r="B3271" s="12" t="s">
        <v>428</v>
      </c>
      <c r="C3271" s="1">
        <f>IFERROR(VLOOKUP(22,'PEDIDO 41'!$C$2:$E$230,3,0),0)</f>
        <v>0</v>
      </c>
      <c r="D3271" s="1"/>
      <c r="E3271" s="1"/>
      <c r="F3271" s="1"/>
      <c r="G3271" s="18">
        <f t="shared" si="97"/>
        <v>0</v>
      </c>
    </row>
    <row r="3272" spans="1:7" ht="15.75" x14ac:dyDescent="0.25">
      <c r="A3272" s="15">
        <f>'PEDIDO 41'!$B$2</f>
        <v>0</v>
      </c>
      <c r="B3272" s="12" t="s">
        <v>429</v>
      </c>
      <c r="C3272" s="1">
        <f>IFERROR(VLOOKUP(21,'PEDIDO 41'!$C$2:$E$230,3,0),0)</f>
        <v>0</v>
      </c>
      <c r="D3272" s="1"/>
      <c r="E3272" s="1"/>
      <c r="F3272" s="1"/>
      <c r="G3272" s="18">
        <f t="shared" si="97"/>
        <v>0</v>
      </c>
    </row>
    <row r="3273" spans="1:7" ht="15.75" x14ac:dyDescent="0.25">
      <c r="A3273" s="15">
        <f>'PEDIDO 41'!$B$2</f>
        <v>0</v>
      </c>
      <c r="B3273" s="12" t="s">
        <v>430</v>
      </c>
      <c r="C3273" s="1">
        <f>IFERROR(VLOOKUP(1125,'PEDIDO 41'!$C$2:$E$230,3,0),0)</f>
        <v>0</v>
      </c>
      <c r="D3273" s="1">
        <f>IFERROR(VLOOKUP(1126,'PEDIDO 41'!$C$2:$E$230,3,0),0)</f>
        <v>0</v>
      </c>
      <c r="E3273" s="1">
        <f>IFERROR(VLOOKUP(1127,'PEDIDO 41'!$C$2:$E$230,3,0),0)</f>
        <v>0</v>
      </c>
      <c r="F3273" s="1">
        <f>IFERROR(VLOOKUP(1128,'PEDIDO 41'!$C$2:$E$230,3,0),0)</f>
        <v>0</v>
      </c>
      <c r="G3273" s="18">
        <f t="shared" si="97"/>
        <v>0</v>
      </c>
    </row>
    <row r="3274" spans="1:7" ht="15.75" x14ac:dyDescent="0.25">
      <c r="A3274" s="15">
        <f>'PEDIDO 41'!$B$2</f>
        <v>0</v>
      </c>
      <c r="B3274" s="12" t="s">
        <v>431</v>
      </c>
      <c r="C3274" s="1">
        <f>IFERROR(VLOOKUP(1133,'PEDIDO 41'!$C$2:$E$230,3,0),0)</f>
        <v>0</v>
      </c>
      <c r="D3274" s="1">
        <f>IFERROR(VLOOKUP(1134,'PEDIDO 41'!$C$2:$E$230,3,0),0)</f>
        <v>0</v>
      </c>
      <c r="E3274" s="1">
        <f>IFERROR(VLOOKUP(1135,'PEDIDO 41'!$C$2:$E$230,3,0),0)</f>
        <v>0</v>
      </c>
      <c r="F3274" s="1">
        <f>IFERROR(VLOOKUP(1136,'PEDIDO 41'!$C$2:$E$230,3,0),0)</f>
        <v>0</v>
      </c>
      <c r="G3274" s="18">
        <f t="shared" si="97"/>
        <v>0</v>
      </c>
    </row>
    <row r="3275" spans="1:7" ht="15.75" x14ac:dyDescent="0.25">
      <c r="A3275" s="15">
        <f>'PEDIDO 41'!$B$2</f>
        <v>0</v>
      </c>
      <c r="B3275" s="12" t="s">
        <v>432</v>
      </c>
      <c r="C3275" s="1">
        <f>IFERROR(VLOOKUP(1105,'PEDIDO 41'!$C$2:$E$230,3,0),0)</f>
        <v>0</v>
      </c>
      <c r="D3275" s="1">
        <f>IFERROR(VLOOKUP(1106,'PEDIDO 41'!$C$2:$E$230,3,0),0)</f>
        <v>0</v>
      </c>
      <c r="E3275" s="1">
        <f>IFERROR(VLOOKUP(1107,'PEDIDO 41'!$C$2:$E$230,3,0),0)</f>
        <v>0</v>
      </c>
      <c r="F3275" s="1">
        <f>IFERROR(VLOOKUP(1108,'PEDIDO 41'!$C$2:$E$230,3,0),0)</f>
        <v>0</v>
      </c>
      <c r="G3275" s="18">
        <f t="shared" si="97"/>
        <v>0</v>
      </c>
    </row>
    <row r="3276" spans="1:7" ht="15.75" x14ac:dyDescent="0.25">
      <c r="A3276" s="15">
        <f>'PEDIDO 41'!$B$2</f>
        <v>0</v>
      </c>
      <c r="B3276" s="12" t="s">
        <v>433</v>
      </c>
      <c r="C3276" s="1">
        <f>IFERROR(VLOOKUP(1109,'PEDIDO 41'!$C$2:$E$230,3,0),0)</f>
        <v>0</v>
      </c>
      <c r="D3276" s="1">
        <f>IFERROR(VLOOKUP(1110,'PEDIDO 41'!$C$2:$E$230,3,0),0)</f>
        <v>0</v>
      </c>
      <c r="E3276" s="1">
        <f>IFERROR(VLOOKUP(1111,'PEDIDO 41'!$C$2:$E$230,3,0),0)</f>
        <v>0</v>
      </c>
      <c r="F3276" s="1">
        <f>IFERROR(VLOOKUP(1112,'PEDIDO 41'!$C$2:$E$230,3,0),0)</f>
        <v>0</v>
      </c>
      <c r="G3276" s="18">
        <f t="shared" si="97"/>
        <v>0</v>
      </c>
    </row>
    <row r="3277" spans="1:7" ht="15.75" x14ac:dyDescent="0.25">
      <c r="A3277" s="15">
        <f>'PEDIDO 41'!$B$2</f>
        <v>0</v>
      </c>
      <c r="B3277" s="12" t="s">
        <v>434</v>
      </c>
      <c r="C3277" s="1">
        <f>IFERROR(VLOOKUP(1113,'PEDIDO 41'!$C$2:$E$230,3,0),0)</f>
        <v>0</v>
      </c>
      <c r="D3277" s="1">
        <f>IFERROR(VLOOKUP(1114,'PEDIDO 41'!$C$2:$E$230,3,0),0)</f>
        <v>0</v>
      </c>
      <c r="E3277" s="1">
        <f>IFERROR(VLOOKUP(1115,'PEDIDO 41'!$C$2:$E$230,3,0),0)</f>
        <v>0</v>
      </c>
      <c r="F3277" s="1">
        <f>IFERROR(VLOOKUP(1116,'PEDIDO 41'!$C$2:$E$230,3,0),0)</f>
        <v>0</v>
      </c>
      <c r="G3277" s="18">
        <f t="shared" si="97"/>
        <v>0</v>
      </c>
    </row>
    <row r="3278" spans="1:7" ht="15.75" x14ac:dyDescent="0.25">
      <c r="A3278" s="15">
        <f>'PEDIDO 41'!$B$2</f>
        <v>0</v>
      </c>
      <c r="B3278" s="12" t="s">
        <v>435</v>
      </c>
      <c r="C3278" s="1">
        <f>IFERROR(VLOOKUP(1117,'PEDIDO 41'!$C$2:$E$230,3,0),0)</f>
        <v>0</v>
      </c>
      <c r="D3278" s="1">
        <f>IFERROR(VLOOKUP(1118,'PEDIDO 41'!$C$2:$E$230,3,0),0)</f>
        <v>0</v>
      </c>
      <c r="E3278" s="1">
        <f>IFERROR(VLOOKUP(1119,'PEDIDO 41'!$C$2:$E$230,3,0),0)</f>
        <v>0</v>
      </c>
      <c r="F3278" s="1">
        <f>IFERROR(VLOOKUP(1120,'PEDIDO 41'!$C$2:$E$230,3,0),0)</f>
        <v>0</v>
      </c>
      <c r="G3278" s="18">
        <f t="shared" si="97"/>
        <v>0</v>
      </c>
    </row>
    <row r="3279" spans="1:7" ht="15.75" x14ac:dyDescent="0.25">
      <c r="A3279" s="15">
        <f>'PEDIDO 41'!$B$2</f>
        <v>0</v>
      </c>
      <c r="B3279" s="12" t="s">
        <v>436</v>
      </c>
      <c r="C3279" s="1">
        <f>IFERROR(VLOOKUP(1121,'PEDIDO 41'!$C$2:$E$230,3,0),0)</f>
        <v>0</v>
      </c>
      <c r="D3279" s="1">
        <f>IFERROR(VLOOKUP(1122,'PEDIDO 41'!$C$2:$E$230,3,0),0)</f>
        <v>0</v>
      </c>
      <c r="E3279" s="1">
        <f>IFERROR(VLOOKUP(1123,'PEDIDO 41'!$C$2:$E$230,3,0),0)</f>
        <v>0</v>
      </c>
      <c r="F3279" s="1">
        <f>IFERROR(VLOOKUP(1124,'PEDIDO 41'!$C$2:$E$230,3,0),0)</f>
        <v>0</v>
      </c>
      <c r="G3279" s="18">
        <f t="shared" si="97"/>
        <v>0</v>
      </c>
    </row>
    <row r="3280" spans="1:7" ht="15.75" x14ac:dyDescent="0.25">
      <c r="A3280" s="15">
        <f>'PEDIDO 41'!$B$2</f>
        <v>0</v>
      </c>
      <c r="B3280" s="12" t="s">
        <v>437</v>
      </c>
      <c r="C3280" s="1">
        <f>IFERROR(VLOOKUP(1129,'PEDIDO 41'!$C$2:$E$230,3,0),0)</f>
        <v>0</v>
      </c>
      <c r="D3280" s="1">
        <f>IFERROR(VLOOKUP(1130,'PEDIDO 41'!$C$2:$E$230,3,0),0)</f>
        <v>0</v>
      </c>
      <c r="E3280" s="1">
        <f>IFERROR(VLOOKUP(1131,'PEDIDO 41'!$C$2:$E$230,3,0),0)</f>
        <v>0</v>
      </c>
      <c r="F3280" s="1">
        <f>IFERROR(VLOOKUP(1132,'PEDIDO 41'!$C$2:$E$230,3,0),0)</f>
        <v>0</v>
      </c>
      <c r="G3280" s="18">
        <f t="shared" si="97"/>
        <v>0</v>
      </c>
    </row>
    <row r="3281" spans="1:7" ht="15.75" x14ac:dyDescent="0.25">
      <c r="A3281" s="15">
        <f>'PEDIDO 41'!$B$2</f>
        <v>0</v>
      </c>
      <c r="B3281" s="12" t="s">
        <v>438</v>
      </c>
      <c r="C3281" s="1">
        <f>IFERROR(VLOOKUP(1137,'PEDIDO 41'!$C$2:$E$230,3,0),0)</f>
        <v>0</v>
      </c>
      <c r="D3281" s="1">
        <f>IFERROR(VLOOKUP(1138,'PEDIDO 41'!$C$2:$E$230,3,0),0)</f>
        <v>0</v>
      </c>
      <c r="E3281" s="1">
        <f>IFERROR(VLOOKUP(1139,'PEDIDO 41'!$C$2:$E$230,3,0),0)</f>
        <v>0</v>
      </c>
      <c r="F3281" s="1">
        <f>IFERROR(VLOOKUP(1140,'PEDIDO 41'!$C$2:$E$230,3,0),0)</f>
        <v>0</v>
      </c>
      <c r="G3281" s="18">
        <f t="shared" si="97"/>
        <v>0</v>
      </c>
    </row>
    <row r="3282" spans="1:7" ht="15.75" x14ac:dyDescent="0.25">
      <c r="A3282" s="15">
        <f>'PEDIDO 41'!$B$2</f>
        <v>0</v>
      </c>
      <c r="B3282" s="12" t="s">
        <v>439</v>
      </c>
      <c r="C3282" s="1">
        <f>IFERROR(VLOOKUP(1141,'PEDIDO 41'!$C$2:$E$230,3,0),0)</f>
        <v>0</v>
      </c>
      <c r="D3282" s="1">
        <f>IFERROR(VLOOKUP(1142,'PEDIDO 41'!$C$2:$E$230,3,0),0)</f>
        <v>0</v>
      </c>
      <c r="E3282" s="1">
        <f>IFERROR(VLOOKUP(1143,'PEDIDO 41'!$C$2:$E$230,3,0),0)</f>
        <v>0</v>
      </c>
      <c r="F3282" s="1">
        <f>IFERROR(VLOOKUP(1144,'PEDIDO 41'!$C$2:$E$230,3,0),0)</f>
        <v>0</v>
      </c>
      <c r="G3282" s="18">
        <f t="shared" si="97"/>
        <v>0</v>
      </c>
    </row>
    <row r="3283" spans="1:7" ht="15.75" x14ac:dyDescent="0.25">
      <c r="A3283" s="15">
        <f>'PEDIDO 41'!$B$2</f>
        <v>0</v>
      </c>
      <c r="B3283" s="12" t="s">
        <v>440</v>
      </c>
      <c r="C3283" s="1">
        <f>IFERROR(VLOOKUP(1145,'PEDIDO 41'!$C$2:$E$230,3,0),0)</f>
        <v>0</v>
      </c>
      <c r="D3283" s="1">
        <f>IFERROR(VLOOKUP(1146,'PEDIDO 41'!$C$2:$E$230,3,0),0)</f>
        <v>0</v>
      </c>
      <c r="E3283" s="1">
        <f>IFERROR(VLOOKUP(1147,'PEDIDO 41'!$C$2:$E$230,3,0),0)</f>
        <v>0</v>
      </c>
      <c r="F3283" s="1">
        <f>IFERROR(VLOOKUP(1148,'PEDIDO 41'!$C$2:$E$230,3,0),0)</f>
        <v>0</v>
      </c>
      <c r="G3283" s="18">
        <f t="shared" si="97"/>
        <v>0</v>
      </c>
    </row>
    <row r="3284" spans="1:7" ht="15.75" x14ac:dyDescent="0.25">
      <c r="A3284" s="15">
        <f>'PEDIDO 41'!$B$2</f>
        <v>0</v>
      </c>
      <c r="B3284" s="12" t="s">
        <v>441</v>
      </c>
      <c r="C3284" s="1">
        <f>IFERROR(VLOOKUP(1149,'PEDIDO 41'!$C$2:$E$230,3,0),0)</f>
        <v>0</v>
      </c>
      <c r="D3284" s="1">
        <f>IFERROR(VLOOKUP(1150,'PEDIDO 41'!$C$2:$E$230,3,0),0)</f>
        <v>0</v>
      </c>
      <c r="E3284" s="1">
        <f>IFERROR(VLOOKUP(1151,'PEDIDO 41'!$C$2:$E$230,3,0),0)</f>
        <v>0</v>
      </c>
      <c r="F3284" s="1">
        <f>IFERROR(VLOOKUP(1152,'PEDIDO 41'!$C$2:$E$230,3,0),0)</f>
        <v>0</v>
      </c>
      <c r="G3284" s="18">
        <f t="shared" si="97"/>
        <v>0</v>
      </c>
    </row>
    <row r="3285" spans="1:7" ht="15.75" x14ac:dyDescent="0.25">
      <c r="A3285" s="15">
        <f>'PEDIDO 41'!$B$2</f>
        <v>0</v>
      </c>
      <c r="B3285" s="12" t="s">
        <v>442</v>
      </c>
      <c r="C3285" s="1">
        <f>IFERROR(VLOOKUP(1153,'PEDIDO 41'!$C$2:$E$230,3,0),0)</f>
        <v>0</v>
      </c>
      <c r="D3285" s="1">
        <f>IFERROR(VLOOKUP(1154,'PEDIDO 41'!$C$2:$E$230,3,0),0)</f>
        <v>0</v>
      </c>
      <c r="E3285" s="1">
        <f>IFERROR(VLOOKUP(1155,'PEDIDO 41'!$C$2:$E$230,3,0),0)</f>
        <v>0</v>
      </c>
      <c r="F3285" s="1">
        <f>IFERROR(VLOOKUP(1156,'PEDIDO 41'!$C$2:$E$230,3,0),0)</f>
        <v>0</v>
      </c>
      <c r="G3285" s="18">
        <f t="shared" si="97"/>
        <v>0</v>
      </c>
    </row>
    <row r="3286" spans="1:7" ht="15.75" x14ac:dyDescent="0.25">
      <c r="A3286" s="15">
        <f>'PEDIDO 41'!$B$2</f>
        <v>0</v>
      </c>
      <c r="B3286" s="12" t="s">
        <v>443</v>
      </c>
      <c r="C3286" s="1">
        <f>IFERROR(VLOOKUP(1157,'PEDIDO 41'!$C$2:$E$230,3,0),0)</f>
        <v>0</v>
      </c>
      <c r="D3286" s="1">
        <f>IFERROR(VLOOKUP(1158,'PEDIDO 41'!$C$2:$E$230,3,0),0)</f>
        <v>0</v>
      </c>
      <c r="E3286" s="1">
        <f>IFERROR(VLOOKUP(1159,'PEDIDO 41'!$C$2:$E$230,3,0),0)</f>
        <v>0</v>
      </c>
      <c r="F3286" s="1">
        <f>IFERROR(VLOOKUP(1160,'PEDIDO 41'!$C$2:$E$230,3,0),0)</f>
        <v>0</v>
      </c>
      <c r="G3286" s="18">
        <f t="shared" si="97"/>
        <v>0</v>
      </c>
    </row>
    <row r="3287" spans="1:7" ht="15.75" x14ac:dyDescent="0.25">
      <c r="A3287" s="15">
        <f>'PEDIDO 41'!$B$2</f>
        <v>0</v>
      </c>
      <c r="B3287" s="12" t="s">
        <v>444</v>
      </c>
      <c r="C3287" s="1">
        <f>IFERROR(VLOOKUP(1161,'PEDIDO 41'!$C$2:$E$230,3,0),0)</f>
        <v>0</v>
      </c>
      <c r="D3287" s="1">
        <f>IFERROR(VLOOKUP(1162,'PEDIDO 41'!$C$2:$E$230,3,0),0)</f>
        <v>0</v>
      </c>
      <c r="E3287" s="1">
        <f>IFERROR(VLOOKUP(1163,'PEDIDO 41'!$C$2:$E$230,3,0),0)</f>
        <v>0</v>
      </c>
      <c r="F3287" s="1">
        <f>IFERROR(VLOOKUP(1164,'PEDIDO 41'!$C$2:$E$230,3,0),0)</f>
        <v>0</v>
      </c>
      <c r="G3287" s="18">
        <f t="shared" si="97"/>
        <v>0</v>
      </c>
    </row>
    <row r="3288" spans="1:7" ht="15.75" x14ac:dyDescent="0.25">
      <c r="A3288" s="15">
        <f>'PEDIDO 41'!$B$2</f>
        <v>0</v>
      </c>
      <c r="B3288" s="12" t="s">
        <v>445</v>
      </c>
      <c r="C3288" s="1">
        <f>IFERROR(VLOOKUP(1165,'PEDIDO 41'!$C$2:$E$230,3,0),0)</f>
        <v>0</v>
      </c>
      <c r="D3288" s="1">
        <f>IFERROR(VLOOKUP(1166,'PEDIDO 41'!$C$2:$E$230,3,0),0)</f>
        <v>0</v>
      </c>
      <c r="E3288" s="1">
        <f>IFERROR(VLOOKUP(1167,'PEDIDO 41'!$C$2:$E$230,3,0),0)</f>
        <v>0</v>
      </c>
      <c r="F3288" s="1">
        <f>IFERROR(VLOOKUP(1168,'PEDIDO 41'!$C$2:$E$230,3,0),0)</f>
        <v>0</v>
      </c>
      <c r="G3288" s="18">
        <f t="shared" si="97"/>
        <v>0</v>
      </c>
    </row>
    <row r="3289" spans="1:7" ht="15.75" x14ac:dyDescent="0.25">
      <c r="A3289" s="15">
        <f>'PEDIDO 41'!$B$2</f>
        <v>0</v>
      </c>
      <c r="B3289" s="12" t="s">
        <v>446</v>
      </c>
      <c r="C3289" s="1">
        <f>IFERROR(VLOOKUP(1169,'PEDIDO 41'!$C$2:$E$230,3,0),0)</f>
        <v>0</v>
      </c>
      <c r="D3289" s="1">
        <f>IFERROR(VLOOKUP(1170,'PEDIDO 41'!$C$2:$E$230,3,0),0)</f>
        <v>0</v>
      </c>
      <c r="E3289" s="1">
        <f>IFERROR(VLOOKUP(1171,'PEDIDO 41'!$C$2:$E$230,3,0),0)</f>
        <v>0</v>
      </c>
      <c r="F3289" s="1">
        <f>IFERROR(VLOOKUP(1172,'PEDIDO 41'!$C$2:$E$230,3,0),0)</f>
        <v>0</v>
      </c>
      <c r="G3289" s="18">
        <f t="shared" si="97"/>
        <v>0</v>
      </c>
    </row>
    <row r="3290" spans="1:7" ht="15.75" x14ac:dyDescent="0.25">
      <c r="A3290" s="15">
        <f>'PEDIDO 41'!$B$2</f>
        <v>0</v>
      </c>
      <c r="B3290" s="12" t="s">
        <v>447</v>
      </c>
      <c r="C3290" s="1">
        <f>IFERROR(VLOOKUP(1173,'PEDIDO 41'!$C$2:$E$230,3,0),0)</f>
        <v>0</v>
      </c>
      <c r="D3290" s="1">
        <f>IFERROR(VLOOKUP(1174,'PEDIDO 41'!$C$2:$E$230,3,0),0)</f>
        <v>0</v>
      </c>
      <c r="E3290" s="1">
        <f>IFERROR(VLOOKUP(1175,'PEDIDO 41'!$C$2:$E$230,3,0),0)</f>
        <v>0</v>
      </c>
      <c r="F3290" s="1">
        <f>IFERROR(VLOOKUP(1176,'PEDIDO 41'!$C$2:$E$230,3,0),0)</f>
        <v>0</v>
      </c>
      <c r="G3290" s="18">
        <f t="shared" si="97"/>
        <v>0</v>
      </c>
    </row>
    <row r="3291" spans="1:7" ht="15.75" x14ac:dyDescent="0.25">
      <c r="A3291" s="15">
        <f>'PEDIDO 41'!$B$2</f>
        <v>0</v>
      </c>
      <c r="B3291" s="12" t="s">
        <v>448</v>
      </c>
      <c r="C3291" s="1">
        <f>IFERROR(VLOOKUP(1249,'PEDIDO 41'!$C$2:$E$230,3,0),0)</f>
        <v>0</v>
      </c>
      <c r="D3291" s="1">
        <f>IFERROR(VLOOKUP(1250,'PEDIDO 41'!$C$2:$E$230,3,0),0)</f>
        <v>0</v>
      </c>
      <c r="E3291" s="1">
        <f>IFERROR(VLOOKUP(1251,'PEDIDO 41'!$C$2:$E$230,3,0),0)</f>
        <v>0</v>
      </c>
      <c r="F3291" s="1">
        <f>IFERROR(VLOOKUP(1252,'PEDIDO 41'!$C$2:$E$230,3,0),0)</f>
        <v>0</v>
      </c>
      <c r="G3291" s="18">
        <f t="shared" si="97"/>
        <v>0</v>
      </c>
    </row>
    <row r="3292" spans="1:7" ht="15.75" x14ac:dyDescent="0.25">
      <c r="A3292" s="15">
        <f>'PEDIDO 41'!$B$2</f>
        <v>0</v>
      </c>
      <c r="B3292" s="12" t="s">
        <v>449</v>
      </c>
      <c r="C3292" s="1">
        <f>IFERROR(VLOOKUP(1177,'PEDIDO 41'!$C$2:$E$230,3,0),0)</f>
        <v>0</v>
      </c>
      <c r="D3292" s="1">
        <f>IFERROR(VLOOKUP(1178,'PEDIDO 41'!$C$2:$E$230,3,0),0)</f>
        <v>0</v>
      </c>
      <c r="E3292" s="1">
        <f>IFERROR(VLOOKUP(1179,'PEDIDO 41'!$C$2:$E$230,3,0),0)</f>
        <v>0</v>
      </c>
      <c r="F3292" s="1">
        <f>IFERROR(VLOOKUP(1180,'PEDIDO 41'!$C$2:$E$230,3,0),0)</f>
        <v>0</v>
      </c>
      <c r="G3292" s="18">
        <f t="shared" si="97"/>
        <v>0</v>
      </c>
    </row>
    <row r="3293" spans="1:7" ht="15.75" x14ac:dyDescent="0.25">
      <c r="A3293" s="15">
        <f>'PEDIDO 41'!$B$2</f>
        <v>0</v>
      </c>
      <c r="B3293" s="12" t="s">
        <v>450</v>
      </c>
      <c r="C3293" s="1">
        <f>IFERROR(VLOOKUP(1181,'PEDIDO 41'!$C$2:$E$230,3,0),0)</f>
        <v>0</v>
      </c>
      <c r="D3293" s="1">
        <f>IFERROR(VLOOKUP(1182,'PEDIDO 41'!$C$2:$E$230,3,0),0)</f>
        <v>0</v>
      </c>
      <c r="E3293" s="1">
        <f>IFERROR(VLOOKUP(1183,'PEDIDO 41'!$C$2:$E$230,3,0),0)</f>
        <v>0</v>
      </c>
      <c r="F3293" s="1">
        <f>IFERROR(VLOOKUP(1184,'PEDIDO 41'!$C$2:$E$230,3,0),0)</f>
        <v>0</v>
      </c>
      <c r="G3293" s="18">
        <f t="shared" si="97"/>
        <v>0</v>
      </c>
    </row>
    <row r="3294" spans="1:7" ht="15.75" x14ac:dyDescent="0.25">
      <c r="A3294" s="15">
        <f>'PEDIDO 41'!$B$2</f>
        <v>0</v>
      </c>
      <c r="B3294" s="12" t="s">
        <v>451</v>
      </c>
      <c r="C3294" s="1">
        <f>IFERROR(VLOOKUP(1185,'PEDIDO 41'!$C$2:$E$230,3,0),0)</f>
        <v>0</v>
      </c>
      <c r="D3294" s="1">
        <f>IFERROR(VLOOKUP(1186,'PEDIDO 41'!$C$2:$E$230,3,0),0)</f>
        <v>0</v>
      </c>
      <c r="E3294" s="1">
        <f>IFERROR(VLOOKUP(1187,'PEDIDO 41'!$C$2:$E$230,3,0),0)</f>
        <v>0</v>
      </c>
      <c r="F3294" s="1">
        <f>IFERROR(VLOOKUP(1188,'PEDIDO 41'!$C$2:$E$230,3,0),0)</f>
        <v>0</v>
      </c>
      <c r="G3294" s="18">
        <f t="shared" si="97"/>
        <v>0</v>
      </c>
    </row>
    <row r="3295" spans="1:7" ht="15.75" x14ac:dyDescent="0.25">
      <c r="A3295" s="15">
        <f>'PEDIDO 41'!$B$2</f>
        <v>0</v>
      </c>
      <c r="B3295" s="12" t="s">
        <v>452</v>
      </c>
      <c r="C3295" s="1">
        <f>IFERROR(VLOOKUP(1189,'PEDIDO 41'!$C$2:$E$230,3,0),0)</f>
        <v>0</v>
      </c>
      <c r="D3295" s="1">
        <f>IFERROR(VLOOKUP(1190,'PEDIDO 41'!$C$2:$E$230,3,0),0)</f>
        <v>0</v>
      </c>
      <c r="E3295" s="1">
        <f>IFERROR(VLOOKUP(1191,'PEDIDO 41'!$C$2:$E$230,3,0),0)</f>
        <v>0</v>
      </c>
      <c r="F3295" s="1">
        <f>IFERROR(VLOOKUP(1192,'PEDIDO 41'!$C$2:$E$230,3,0),0)</f>
        <v>0</v>
      </c>
      <c r="G3295" s="18">
        <f t="shared" si="97"/>
        <v>0</v>
      </c>
    </row>
    <row r="3296" spans="1:7" ht="15.75" x14ac:dyDescent="0.25">
      <c r="A3296" s="15">
        <f>'PEDIDO 41'!$B$2</f>
        <v>0</v>
      </c>
      <c r="B3296" s="12" t="s">
        <v>453</v>
      </c>
      <c r="C3296" s="1">
        <f>IFERROR(VLOOKUP(1193,'PEDIDO 41'!$C$2:$E$230,3,0),0)</f>
        <v>0</v>
      </c>
      <c r="D3296" s="1">
        <f>IFERROR(VLOOKUP(1194,'PEDIDO 41'!$C$2:$E$230,3,0),0)</f>
        <v>0</v>
      </c>
      <c r="E3296" s="1">
        <f>IFERROR(VLOOKUP(1195,'PEDIDO 41'!$C$2:$E$230,3,0),0)</f>
        <v>0</v>
      </c>
      <c r="F3296" s="1">
        <f>IFERROR(VLOOKUP(1196,'PEDIDO 41'!$C$2:$E$230,3,0),0)</f>
        <v>0</v>
      </c>
      <c r="G3296" s="18">
        <f t="shared" si="97"/>
        <v>0</v>
      </c>
    </row>
    <row r="3297" spans="1:7" ht="15.75" x14ac:dyDescent="0.25">
      <c r="A3297" s="15">
        <f>'PEDIDO 41'!$B$2</f>
        <v>0</v>
      </c>
      <c r="B3297" s="12" t="s">
        <v>454</v>
      </c>
      <c r="C3297" s="1">
        <f>IFERROR(VLOOKUP(1197,'PEDIDO 41'!$C$2:$E$230,3,0),0)</f>
        <v>0</v>
      </c>
      <c r="D3297" s="1">
        <f>IFERROR(VLOOKUP(1198,'PEDIDO 41'!$C$2:$E$230,3,0),0)</f>
        <v>0</v>
      </c>
      <c r="E3297" s="1">
        <f>IFERROR(VLOOKUP(1199,'PEDIDO 41'!$C$2:$E$230,3,0),0)</f>
        <v>0</v>
      </c>
      <c r="F3297" s="1">
        <f>IFERROR(VLOOKUP(1200,'PEDIDO 41'!$C$2:$E$230,3,0),0)</f>
        <v>0</v>
      </c>
      <c r="G3297" s="18">
        <f t="shared" si="97"/>
        <v>0</v>
      </c>
    </row>
    <row r="3298" spans="1:7" ht="15.75" x14ac:dyDescent="0.25">
      <c r="A3298" s="15">
        <f>'PEDIDO 41'!$B$2</f>
        <v>0</v>
      </c>
      <c r="B3298" s="12" t="s">
        <v>455</v>
      </c>
      <c r="C3298" s="1">
        <f>IFERROR(VLOOKUP(1201,'PEDIDO 41'!$C$2:$E$230,3,0),0)</f>
        <v>0</v>
      </c>
      <c r="D3298" s="1">
        <f>IFERROR(VLOOKUP(1202,'PEDIDO 41'!$C$2:$E$230,3,0),0)</f>
        <v>0</v>
      </c>
      <c r="E3298" s="1">
        <f>IFERROR(VLOOKUP(1203,'PEDIDO 41'!$C$2:$E$230,3,0),0)</f>
        <v>0</v>
      </c>
      <c r="F3298" s="1">
        <f>IFERROR(VLOOKUP(1204,'PEDIDO 41'!$C$2:$E$230,3,0),0)</f>
        <v>0</v>
      </c>
      <c r="G3298" s="18">
        <f t="shared" si="97"/>
        <v>0</v>
      </c>
    </row>
    <row r="3299" spans="1:7" ht="15.75" x14ac:dyDescent="0.25">
      <c r="A3299" s="15">
        <f>'PEDIDO 41'!$B$2</f>
        <v>0</v>
      </c>
      <c r="B3299" s="12" t="s">
        <v>456</v>
      </c>
      <c r="C3299" s="1">
        <f>IFERROR(VLOOKUP(1205,'PEDIDO 41'!$C$2:$E$230,3,0),0)</f>
        <v>0</v>
      </c>
      <c r="D3299" s="1">
        <f>IFERROR(VLOOKUP(1206,'PEDIDO 41'!$C$2:$E$230,3,0),0)</f>
        <v>0</v>
      </c>
      <c r="E3299" s="1">
        <f>IFERROR(VLOOKUP(1207,'PEDIDO 41'!$C$2:$E$230,3,0),0)</f>
        <v>0</v>
      </c>
      <c r="F3299" s="1">
        <f>IFERROR(VLOOKUP(1208,'PEDIDO 41'!$C$2:$E$230,3,0),0)</f>
        <v>0</v>
      </c>
      <c r="G3299" s="18">
        <f t="shared" si="97"/>
        <v>0</v>
      </c>
    </row>
    <row r="3300" spans="1:7" ht="15.75" x14ac:dyDescent="0.25">
      <c r="A3300" s="15">
        <f>'PEDIDO 41'!$B$2</f>
        <v>0</v>
      </c>
      <c r="B3300" s="12" t="s">
        <v>457</v>
      </c>
      <c r="C3300" s="1">
        <f>IFERROR(VLOOKUP(1213,'PEDIDO 41'!$C$2:$E$230,3,0),0)</f>
        <v>0</v>
      </c>
      <c r="D3300" s="1">
        <f>IFERROR(VLOOKUP(1214,'PEDIDO 41'!$C$2:$E$230,3,0),0)</f>
        <v>0</v>
      </c>
      <c r="E3300" s="1">
        <f>IFERROR(VLOOKUP(1215,'PEDIDO 41'!$C$2:$E$230,3,0),0)</f>
        <v>0</v>
      </c>
      <c r="F3300" s="10">
        <f>IFERROR(VLOOKUP(1216,'PEDIDO 41'!$C$2:$E$230,3,0),0)</f>
        <v>0</v>
      </c>
      <c r="G3300" s="18">
        <f t="shared" si="97"/>
        <v>0</v>
      </c>
    </row>
    <row r="3301" spans="1:7" ht="15.75" x14ac:dyDescent="0.25">
      <c r="A3301" s="15">
        <f>'PEDIDO 41'!$B$2</f>
        <v>0</v>
      </c>
      <c r="B3301" s="12" t="s">
        <v>458</v>
      </c>
      <c r="C3301" s="1">
        <f>IFERROR(VLOOKUP(1209,'PEDIDO 41'!$C$2:$E$230,3,0),0)</f>
        <v>0</v>
      </c>
      <c r="D3301" s="1">
        <f>IFERROR(VLOOKUP(1210,'PEDIDO 41'!$C$2:$E$230,3,0),0)</f>
        <v>0</v>
      </c>
      <c r="E3301" s="1">
        <f>IFERROR(VLOOKUP(1211,'PEDIDO 41'!$C$2:$E$230,3,0),0)</f>
        <v>0</v>
      </c>
      <c r="F3301" s="1">
        <f>IFERROR(VLOOKUP(1212,'PEDIDO 41'!$C$2:$E$230,3,0),0)</f>
        <v>0</v>
      </c>
      <c r="G3301" s="18">
        <f t="shared" si="97"/>
        <v>0</v>
      </c>
    </row>
    <row r="3302" spans="1:7" ht="15.75" x14ac:dyDescent="0.25">
      <c r="A3302" s="15">
        <f>'PEDIDO 41'!$B$2</f>
        <v>0</v>
      </c>
      <c r="B3302" s="12" t="s">
        <v>459</v>
      </c>
      <c r="C3302" s="1">
        <f>IFERROR(VLOOKUP(1217,'PEDIDO 41'!$C$2:$E$230,3,0),0)</f>
        <v>0</v>
      </c>
      <c r="D3302" s="1">
        <f>IFERROR(VLOOKUP(1218,'PEDIDO 41'!$C$2:$E$230,3,0),0)</f>
        <v>0</v>
      </c>
      <c r="E3302" s="1">
        <f>IFERROR(VLOOKUP(1219,'PEDIDO 41'!$C$2:$E$230,3,0),0)</f>
        <v>0</v>
      </c>
      <c r="F3302" s="1">
        <f>IFERROR(VLOOKUP(1220,'PEDIDO 41'!$C$2:$E$230,3,0),0)</f>
        <v>0</v>
      </c>
      <c r="G3302" s="18">
        <f t="shared" si="97"/>
        <v>0</v>
      </c>
    </row>
    <row r="3303" spans="1:7" ht="15.75" x14ac:dyDescent="0.25">
      <c r="A3303" s="15">
        <f>'PEDIDO 41'!$B$2</f>
        <v>0</v>
      </c>
      <c r="B3303" s="12" t="s">
        <v>461</v>
      </c>
      <c r="C3303" s="1">
        <f>IFERROR(VLOOKUP(1225,'PEDIDO 41'!$C$2:$E$230,3,0),0)</f>
        <v>0</v>
      </c>
      <c r="D3303" s="1">
        <f>IFERROR(VLOOKUP(1226,'PEDIDO 41'!$C$2:$E$230,3,0),0)</f>
        <v>0</v>
      </c>
      <c r="E3303" s="1">
        <f>IFERROR(VLOOKUP(1227,'PEDIDO 41'!$C$2:$E$230,3,0),0)</f>
        <v>0</v>
      </c>
      <c r="F3303" s="1">
        <f>IFERROR(VLOOKUP(1228,'PEDIDO 41'!$C$2:$E$230,3,0),0)</f>
        <v>0</v>
      </c>
      <c r="G3303" s="18">
        <f t="shared" si="97"/>
        <v>0</v>
      </c>
    </row>
    <row r="3304" spans="1:7" ht="15.75" x14ac:dyDescent="0.25">
      <c r="A3304" s="15">
        <f>'PEDIDO 41'!$B$2</f>
        <v>0</v>
      </c>
      <c r="B3304" s="12" t="s">
        <v>462</v>
      </c>
      <c r="C3304" s="1">
        <f>IFERROR(VLOOKUP(1221,'PEDIDO 41'!$C$2:$E$230,3,0),0)</f>
        <v>0</v>
      </c>
      <c r="D3304" s="1">
        <f>IFERROR(VLOOKUP(1222,'PEDIDO 41'!$C$2:$E$230,3,0),0)</f>
        <v>0</v>
      </c>
      <c r="E3304" s="1">
        <f>IFERROR(VLOOKUP(1223,'PEDIDO 41'!$C$2:$E$230,3,0),0)</f>
        <v>0</v>
      </c>
      <c r="F3304" s="1">
        <f>IFERROR(VLOOKUP(1224,'PEDIDO 41'!$C$2:$E$230,3,0),0)</f>
        <v>0</v>
      </c>
      <c r="G3304" s="18">
        <f t="shared" si="97"/>
        <v>0</v>
      </c>
    </row>
    <row r="3305" spans="1:7" ht="15.75" x14ac:dyDescent="0.25">
      <c r="A3305" s="15">
        <f>'PEDIDO 41'!$B$2</f>
        <v>0</v>
      </c>
      <c r="B3305" s="12" t="s">
        <v>460</v>
      </c>
      <c r="C3305" s="1">
        <f>IFERROR(VLOOKUP(1229,'PEDIDO 41'!$C$2:$E$230,3,0),0)</f>
        <v>0</v>
      </c>
      <c r="D3305" s="1">
        <f>IFERROR(VLOOKUP(1230,'PEDIDO 41'!$C$2:$E$230,3,0),0)</f>
        <v>0</v>
      </c>
      <c r="E3305" s="1">
        <f>IFERROR(VLOOKUP(1231,'PEDIDO 41'!$C$2:$E$230,3,0),0)</f>
        <v>0</v>
      </c>
      <c r="F3305" s="1">
        <f>IFERROR(VLOOKUP(1232,'PEDIDO 41'!$C$2:$E$230,3,0),0)</f>
        <v>0</v>
      </c>
      <c r="G3305" s="18">
        <f t="shared" si="97"/>
        <v>0</v>
      </c>
    </row>
    <row r="3306" spans="1:7" ht="15.75" x14ac:dyDescent="0.25">
      <c r="A3306" s="15">
        <f>'PEDIDO 41'!$B$2</f>
        <v>0</v>
      </c>
      <c r="B3306" s="12" t="s">
        <v>463</v>
      </c>
      <c r="C3306" s="1">
        <f>IFERROR(VLOOKUP(1233,'PEDIDO 41'!$C$2:$E$230,3,0),0)</f>
        <v>0</v>
      </c>
      <c r="D3306" s="1">
        <f>IFERROR(VLOOKUP(1234,'PEDIDO 41'!$C$2:$E$230,3,0),0)</f>
        <v>0</v>
      </c>
      <c r="E3306" s="1">
        <f>IFERROR(VLOOKUP(1235,'PEDIDO 41'!$C$2:$E$230,3,0),0)</f>
        <v>0</v>
      </c>
      <c r="F3306" s="1">
        <f>IFERROR(VLOOKUP(1236,'PEDIDO 41'!$C$2:$E$230,3,0),0)</f>
        <v>0</v>
      </c>
      <c r="G3306" s="18">
        <f t="shared" si="97"/>
        <v>0</v>
      </c>
    </row>
    <row r="3307" spans="1:7" ht="15.75" x14ac:dyDescent="0.25">
      <c r="A3307" s="15">
        <f>'PEDIDO 41'!$B$2</f>
        <v>0</v>
      </c>
      <c r="B3307" s="12" t="s">
        <v>464</v>
      </c>
      <c r="C3307" s="1">
        <f>IFERROR(VLOOKUP(1237,'PEDIDO 41'!$C$2:$E$230,3,0),0)</f>
        <v>0</v>
      </c>
      <c r="D3307" s="1">
        <f>IFERROR(VLOOKUP(1238,'PEDIDO 41'!$C$2:$E$230,3,0),0)</f>
        <v>0</v>
      </c>
      <c r="E3307" s="1">
        <f>IFERROR(VLOOKUP(1239,'PEDIDO 41'!$C$2:$E$230,3,0),0)</f>
        <v>0</v>
      </c>
      <c r="F3307" s="1">
        <f>IFERROR(VLOOKUP(1240,'PEDIDO 41'!$C$2:$E$230,3,0),0)</f>
        <v>0</v>
      </c>
      <c r="G3307" s="18">
        <f t="shared" ref="G3307:G3319" si="98">SUM(C3307+D3307+E3307+F3307)</f>
        <v>0</v>
      </c>
    </row>
    <row r="3308" spans="1:7" ht="15.75" x14ac:dyDescent="0.25">
      <c r="A3308" s="15">
        <f>'PEDIDO 41'!$B$2</f>
        <v>0</v>
      </c>
      <c r="B3308" s="12" t="s">
        <v>465</v>
      </c>
      <c r="C3308" s="1">
        <f>IFERROR(VLOOKUP(1241,'PEDIDO 41'!$C$2:$E$230,3,0),0)</f>
        <v>0</v>
      </c>
      <c r="D3308" s="1">
        <f>IFERROR(VLOOKUP(1242,'PEDIDO 41'!$C$2:$E$230,3,0),0)</f>
        <v>0</v>
      </c>
      <c r="E3308" s="1">
        <f>IFERROR(VLOOKUP(1243,'PEDIDO 41'!$C$2:$E$230,3,0),0)</f>
        <v>0</v>
      </c>
      <c r="F3308" s="1">
        <f>IFERROR(VLOOKUP(1244,'PEDIDO 41'!$C$2:$E$230,3,0),0)</f>
        <v>0</v>
      </c>
      <c r="G3308" s="18">
        <f t="shared" si="98"/>
        <v>0</v>
      </c>
    </row>
    <row r="3309" spans="1:7" ht="15.75" x14ac:dyDescent="0.25">
      <c r="A3309" s="15">
        <f>'PEDIDO 41'!$B$2</f>
        <v>0</v>
      </c>
      <c r="B3309" s="12" t="s">
        <v>466</v>
      </c>
      <c r="C3309" s="1">
        <f>IFERROR(VLOOKUP(1245,'PEDIDO 41'!$C$2:$E$230,3,0),0)</f>
        <v>0</v>
      </c>
      <c r="D3309" s="1">
        <f>IFERROR(VLOOKUP(1246,'PEDIDO 41'!$C$2:$E$230,3,0),0)</f>
        <v>0</v>
      </c>
      <c r="E3309" s="1">
        <f>IFERROR(VLOOKUP(1247,'PEDIDO 41'!$C$2:$E$230,3,0),0)</f>
        <v>0</v>
      </c>
      <c r="F3309" s="1">
        <f>IFERROR(VLOOKUP(1248,'PEDIDO 41'!$C$2:$E$230,3,0),0)</f>
        <v>0</v>
      </c>
      <c r="G3309" s="18">
        <f t="shared" si="98"/>
        <v>0</v>
      </c>
    </row>
    <row r="3310" spans="1:7" ht="15.75" x14ac:dyDescent="0.25">
      <c r="A3310" s="15">
        <f>'PEDIDO 41'!$B$2</f>
        <v>0</v>
      </c>
      <c r="B3310" s="12" t="s">
        <v>467</v>
      </c>
      <c r="C3310" s="1">
        <f>IFERROR(VLOOKUP(25714,'PEDIDO 41'!$C$2:$E$230,3,0),0)</f>
        <v>0</v>
      </c>
      <c r="D3310" s="1"/>
      <c r="E3310" s="1"/>
      <c r="F3310" s="1"/>
      <c r="G3310" s="18">
        <f t="shared" si="98"/>
        <v>0</v>
      </c>
    </row>
    <row r="3311" spans="1:7" ht="15.75" x14ac:dyDescent="0.25">
      <c r="A3311" s="15">
        <f>'PEDIDO 41'!$B$2</f>
        <v>0</v>
      </c>
      <c r="B3311" s="12" t="s">
        <v>468</v>
      </c>
      <c r="C3311" s="1">
        <f>IFERROR(VLOOKUP(25712,'PEDIDO 41'!$C$2:$E$230,3,0),0)</f>
        <v>0</v>
      </c>
      <c r="D3311" s="1"/>
      <c r="E3311" s="1"/>
      <c r="F3311" s="1"/>
      <c r="G3311" s="18">
        <f t="shared" si="98"/>
        <v>0</v>
      </c>
    </row>
    <row r="3312" spans="1:7" ht="15.75" x14ac:dyDescent="0.25">
      <c r="A3312" s="15">
        <f>'PEDIDO 41'!$B$2</f>
        <v>0</v>
      </c>
      <c r="B3312" s="12" t="s">
        <v>469</v>
      </c>
      <c r="C3312" s="1">
        <f>IFERROR(VLOOKUP(25713,'PEDIDO 41'!$C$2:$E$230,3,0),0)</f>
        <v>0</v>
      </c>
      <c r="D3312" s="1"/>
      <c r="E3312" s="1"/>
      <c r="F3312" s="1"/>
      <c r="G3312" s="18">
        <f t="shared" si="98"/>
        <v>0</v>
      </c>
    </row>
    <row r="3313" spans="1:7" ht="15.75" x14ac:dyDescent="0.25">
      <c r="A3313" s="15">
        <f>'PEDIDO 41'!$B$2</f>
        <v>0</v>
      </c>
      <c r="B3313" s="12" t="s">
        <v>470</v>
      </c>
      <c r="C3313" s="1">
        <f>IFERROR(VLOOKUP(1260,'PEDIDO 41'!$C$2:$E$230,3,0),0)</f>
        <v>0</v>
      </c>
      <c r="D3313" s="1"/>
      <c r="E3313" s="1"/>
      <c r="F3313" s="1"/>
      <c r="G3313" s="18">
        <f t="shared" si="98"/>
        <v>0</v>
      </c>
    </row>
    <row r="3314" spans="1:7" ht="15.75" x14ac:dyDescent="0.25">
      <c r="A3314" s="15">
        <f>'PEDIDO 41'!$B$2</f>
        <v>0</v>
      </c>
      <c r="B3314" s="12" t="s">
        <v>471</v>
      </c>
      <c r="C3314" s="1">
        <f>IFERROR(VLOOKUP(1261,'PEDIDO 41'!$C$2:$E$230,3,0),0)</f>
        <v>0</v>
      </c>
      <c r="D3314" s="1"/>
      <c r="E3314" s="1"/>
      <c r="F3314" s="1"/>
      <c r="G3314" s="18">
        <f t="shared" si="98"/>
        <v>0</v>
      </c>
    </row>
    <row r="3315" spans="1:7" ht="15.75" x14ac:dyDescent="0.25">
      <c r="A3315" s="15">
        <f>'PEDIDO 41'!$B$2</f>
        <v>0</v>
      </c>
      <c r="B3315" s="12" t="s">
        <v>472</v>
      </c>
      <c r="C3315" s="1">
        <f>IFERROR(VLOOKUP(1262,'PEDIDO 41'!$C$2:$E$230,3,0),0)</f>
        <v>0</v>
      </c>
      <c r="D3315" s="1"/>
      <c r="E3315" s="1"/>
      <c r="F3315" s="1"/>
      <c r="G3315" s="18">
        <f t="shared" si="98"/>
        <v>0</v>
      </c>
    </row>
    <row r="3316" spans="1:7" ht="15.75" x14ac:dyDescent="0.25">
      <c r="A3316" s="15">
        <f>'PEDIDO 41'!$B$2</f>
        <v>0</v>
      </c>
      <c r="B3316" s="12" t="s">
        <v>473</v>
      </c>
      <c r="C3316" s="1">
        <f>IFERROR(VLOOKUP(1263,'PEDIDO 41'!$C$2:$E$230,3,0),0)</f>
        <v>0</v>
      </c>
      <c r="D3316" s="1"/>
      <c r="E3316" s="1"/>
      <c r="F3316" s="1"/>
      <c r="G3316" s="18">
        <f t="shared" si="98"/>
        <v>0</v>
      </c>
    </row>
    <row r="3317" spans="1:7" ht="15.75" x14ac:dyDescent="0.25">
      <c r="A3317" s="15">
        <f>'PEDIDO 41'!$B$2</f>
        <v>0</v>
      </c>
      <c r="B3317" s="12" t="s">
        <v>474</v>
      </c>
      <c r="C3317" s="1">
        <f>IFERROR(VLOOKUP(1264,'PEDIDO 41'!$C$2:$E$230,3,0),0)</f>
        <v>0</v>
      </c>
      <c r="D3317" s="1"/>
      <c r="E3317" s="1"/>
      <c r="F3317" s="1"/>
      <c r="G3317" s="18">
        <f t="shared" si="98"/>
        <v>0</v>
      </c>
    </row>
    <row r="3318" spans="1:7" ht="15.75" x14ac:dyDescent="0.25">
      <c r="A3318" s="15">
        <f>'PEDIDO 41'!$B$2</f>
        <v>0</v>
      </c>
      <c r="B3318" s="12" t="s">
        <v>475</v>
      </c>
      <c r="C3318" s="1">
        <f>IFERROR(VLOOKUP(1265,'PEDIDO 41'!$C$2:$E$230,3,0),0)</f>
        <v>0</v>
      </c>
      <c r="D3318" s="1"/>
      <c r="E3318" s="1"/>
      <c r="F3318" s="1"/>
      <c r="G3318" s="18">
        <f t="shared" si="98"/>
        <v>0</v>
      </c>
    </row>
    <row r="3319" spans="1:7" ht="15.75" x14ac:dyDescent="0.25">
      <c r="A3319" s="15">
        <f>'PEDIDO 41'!$B$2</f>
        <v>0</v>
      </c>
      <c r="B3319" s="12" t="s">
        <v>476</v>
      </c>
      <c r="C3319" s="1">
        <f>IFERROR(VLOOKUP(1266,'PEDIDO 41'!$C$2:$E$230,3,0),0)</f>
        <v>0</v>
      </c>
      <c r="D3319" s="1"/>
      <c r="E3319" s="1"/>
      <c r="F3319" s="1"/>
      <c r="G3319" s="18">
        <f t="shared" si="98"/>
        <v>0</v>
      </c>
    </row>
    <row r="3320" spans="1:7" ht="15.75" x14ac:dyDescent="0.25">
      <c r="A3320" s="15">
        <f>'PEDIDO 41'!$B$2</f>
        <v>0</v>
      </c>
      <c r="B3320" s="12" t="s">
        <v>477</v>
      </c>
      <c r="C3320" s="1">
        <f>IFERROR(VLOOKUP(1268,'PEDIDO 41'!$C$2:$E$230,3,0),0)</f>
        <v>0</v>
      </c>
      <c r="D3320" s="1">
        <f>IFERROR(VLOOKUP(1269,'PEDIDO 41'!$C$2:$E$230,3,0),0)</f>
        <v>0</v>
      </c>
      <c r="E3320" s="1">
        <f>IFERROR(VLOOKUP(1270,'PEDIDO 41'!$C$2:$E$230,3,0),0)</f>
        <v>0</v>
      </c>
      <c r="F3320" s="1">
        <f>IFERROR(VLOOKUP(1271,'PEDIDO 41'!$C$2:$E$230,3,0),0)</f>
        <v>0</v>
      </c>
      <c r="G3320" s="18">
        <f t="shared" ref="G3320" si="99">SUM(C3320+D3320+E3320+F3320)</f>
        <v>0</v>
      </c>
    </row>
    <row r="3323" spans="1:7" ht="15.75" x14ac:dyDescent="0.25">
      <c r="A3323" s="15">
        <f>'PEDIDO 42'!$B$2</f>
        <v>0</v>
      </c>
      <c r="B3323" s="12" t="s">
        <v>399</v>
      </c>
      <c r="C3323" s="1">
        <f>IFERROR(VLOOKUP(1,'PEDIDO 42'!$C$2:$E$230,3,0),0)</f>
        <v>0</v>
      </c>
      <c r="D3323" s="1">
        <f>IFERROR(VLOOKUP(2,'PEDIDO 42'!$C$2:$E$230,3,0),0)</f>
        <v>0</v>
      </c>
      <c r="E3323" s="1">
        <f>IFERROR(VLOOKUP(3,'PEDIDO 42'!$C$2:$E$230,3,0),0)</f>
        <v>0</v>
      </c>
      <c r="F3323" s="1">
        <f>IFERROR(VLOOKUP(282,'PEDIDO 42'!$C$2:$E$230,3,0),0)</f>
        <v>0</v>
      </c>
      <c r="G3323" s="18">
        <f>SUM(C3323+D3323+E3323+F3323)</f>
        <v>0</v>
      </c>
    </row>
    <row r="3324" spans="1:7" ht="15.75" x14ac:dyDescent="0.25">
      <c r="A3324" s="15">
        <f>'PEDIDO 42'!$B$2</f>
        <v>0</v>
      </c>
      <c r="B3324" s="12" t="s">
        <v>400</v>
      </c>
      <c r="C3324" s="1">
        <f>IFERROR(VLOOKUP(5,'PEDIDO 42'!$C$2:$E$230,3,0),0)</f>
        <v>0</v>
      </c>
      <c r="D3324" s="1">
        <f>IFERROR(VLOOKUP(6,'PEDIDO 42'!$C$2:$E$230,3,0),0)</f>
        <v>0</v>
      </c>
      <c r="E3324" s="1">
        <f>IFERROR(VLOOKUP(7,'PEDIDO 42'!$C$2:$E$230,3,0),0)</f>
        <v>0</v>
      </c>
      <c r="F3324" s="1">
        <f>IFERROR(VLOOKUP(258,'PEDIDO 42'!$C$2:$E$230,3,0),0)</f>
        <v>0</v>
      </c>
      <c r="G3324" s="18">
        <f t="shared" ref="G3324:G3387" si="100">SUM(C3324+D3324+E3324+F3324)</f>
        <v>0</v>
      </c>
    </row>
    <row r="3325" spans="1:7" ht="15.75" x14ac:dyDescent="0.25">
      <c r="A3325" s="15">
        <f>'PEDIDO 42'!$B$2</f>
        <v>0</v>
      </c>
      <c r="B3325" s="12" t="s">
        <v>401</v>
      </c>
      <c r="C3325" s="1">
        <f>IFERROR(VLOOKUP(13,'PEDIDO 42'!$C$2:$E$230,3,0),0)</f>
        <v>0</v>
      </c>
      <c r="D3325" s="1">
        <f>IFERROR(VLOOKUP(14,'PEDIDO 42'!$C$2:$E$230,3,0),0)</f>
        <v>0</v>
      </c>
      <c r="E3325" s="1">
        <f>IFERROR(VLOOKUP(15,'PEDIDO 42'!$C$2:$E$230,3,0),0)</f>
        <v>0</v>
      </c>
      <c r="F3325" s="1">
        <f>IFERROR(VLOOKUP(289,'PEDIDO 42'!$C$2:$E$230,3,0),0)</f>
        <v>0</v>
      </c>
      <c r="G3325" s="18">
        <f t="shared" si="100"/>
        <v>0</v>
      </c>
    </row>
    <row r="3326" spans="1:7" ht="15.75" x14ac:dyDescent="0.25">
      <c r="A3326" s="15">
        <f>'PEDIDO 42'!$B$2</f>
        <v>0</v>
      </c>
      <c r="B3326" s="12" t="s">
        <v>402</v>
      </c>
      <c r="C3326" s="1">
        <f>IFERROR(VLOOKUP(267,'PEDIDO 42'!$C$2:$E$230,3,0),0)</f>
        <v>0</v>
      </c>
      <c r="D3326" s="1">
        <f>IFERROR(VLOOKUP(268,'PEDIDO 42'!$C$2:$E$230,3,0),0)</f>
        <v>0</v>
      </c>
      <c r="E3326" s="1">
        <f>IFERROR(VLOOKUP(270,'PEDIDO 42'!$C$2:$E$230,3,0),0)</f>
        <v>0</v>
      </c>
      <c r="F3326" s="1">
        <f>IFERROR(VLOOKUP(269,'PEDIDO 42'!$C$2:$E$230,3,0),0)</f>
        <v>0</v>
      </c>
      <c r="G3326" s="18">
        <f t="shared" si="100"/>
        <v>0</v>
      </c>
    </row>
    <row r="3327" spans="1:7" ht="15.75" x14ac:dyDescent="0.25">
      <c r="A3327" s="15">
        <f>'PEDIDO 42'!$B$2</f>
        <v>0</v>
      </c>
      <c r="B3327" s="12" t="s">
        <v>403</v>
      </c>
      <c r="C3327" s="1">
        <f>IFERROR(VLOOKUP(17,'PEDIDO 42'!$C$2:$E$230,3,0),0)</f>
        <v>0</v>
      </c>
      <c r="D3327" s="1">
        <f>IFERROR(VLOOKUP(18,'PEDIDO 42'!$C$2:$E$230,3,0),0)</f>
        <v>0</v>
      </c>
      <c r="E3327" s="1">
        <f>IFERROR(VLOOKUP(19,'PEDIDO 42'!$C$2:$E$230,3,0),0)</f>
        <v>0</v>
      </c>
      <c r="F3327" s="1">
        <f>IFERROR(VLOOKUP(290,'PEDIDO 42'!$C$2:$E$230,3,0),0)</f>
        <v>0</v>
      </c>
      <c r="G3327" s="18">
        <f t="shared" si="100"/>
        <v>0</v>
      </c>
    </row>
    <row r="3328" spans="1:7" ht="15.75" x14ac:dyDescent="0.25">
      <c r="A3328" s="15">
        <f>'PEDIDO 42'!$B$2</f>
        <v>0</v>
      </c>
      <c r="B3328" s="12" t="s">
        <v>404</v>
      </c>
      <c r="C3328" s="1">
        <f>IFERROR(VLOOKUP(23,'PEDIDO 42'!$C$2:$E$230,3,0),0)</f>
        <v>0</v>
      </c>
      <c r="D3328" s="1">
        <f>IFERROR(VLOOKUP(24,'PEDIDO 42'!$C$2:$E$230,3,0),0)</f>
        <v>0</v>
      </c>
      <c r="E3328" s="1">
        <f>IFERROR(VLOOKUP(25,'PEDIDO 42'!$C$2:$E$230,3,0),0)</f>
        <v>0</v>
      </c>
      <c r="F3328" s="1">
        <f>IFERROR(VLOOKUP(291,'PEDIDO 42'!$C$2:$E$230,3,0),0)</f>
        <v>0</v>
      </c>
      <c r="G3328" s="18">
        <f t="shared" si="100"/>
        <v>0</v>
      </c>
    </row>
    <row r="3329" spans="1:7" ht="15.75" x14ac:dyDescent="0.25">
      <c r="A3329" s="15">
        <f>'PEDIDO 42'!$B$2</f>
        <v>0</v>
      </c>
      <c r="B3329" s="12" t="s">
        <v>405</v>
      </c>
      <c r="C3329" s="1">
        <f>IFERROR(VLOOKUP(27,'PEDIDO 42'!$C$2:$E$230,3,0),0)</f>
        <v>0</v>
      </c>
      <c r="D3329" s="1">
        <f>IFERROR(VLOOKUP(28,'PEDIDO 42'!$C$2:$E$230,3,0),0)</f>
        <v>0</v>
      </c>
      <c r="E3329" s="1">
        <f>IFERROR(VLOOKUP(29,'PEDIDO 42'!$C$2:$E$230,3,0),0)</f>
        <v>0</v>
      </c>
      <c r="F3329" s="1">
        <f>IFERROR(VLOOKUP(292,'PEDIDO 42'!$C$2:$E$230,3,0),0)</f>
        <v>0</v>
      </c>
      <c r="G3329" s="18">
        <f t="shared" si="100"/>
        <v>0</v>
      </c>
    </row>
    <row r="3330" spans="1:7" ht="15.75" x14ac:dyDescent="0.25">
      <c r="A3330" s="15">
        <f>'PEDIDO 42'!$B$2</f>
        <v>0</v>
      </c>
      <c r="B3330" s="12" t="s">
        <v>406</v>
      </c>
      <c r="C3330" s="1">
        <f>IFERROR(VLOOKUP(227,'PEDIDO 42'!$C$2:$E$230,3,0),0)</f>
        <v>0</v>
      </c>
      <c r="D3330" s="1">
        <f>IFERROR(VLOOKUP(228,'PEDIDO 42'!$C$2:$E$230,3,0),0)</f>
        <v>0</v>
      </c>
      <c r="E3330" s="1">
        <f>IFERROR(VLOOKUP(229,'PEDIDO 42'!$C$2:$E$230,3,0),0)</f>
        <v>0</v>
      </c>
      <c r="F3330" s="1">
        <f>IFERROR(VLOOKUP(230,'PEDIDO 42'!$C$2:$E$230,3,0),0)</f>
        <v>0</v>
      </c>
      <c r="G3330" s="18">
        <f t="shared" si="100"/>
        <v>0</v>
      </c>
    </row>
    <row r="3331" spans="1:7" ht="15.75" x14ac:dyDescent="0.25">
      <c r="A3331" s="15">
        <f>'PEDIDO 42'!$B$2</f>
        <v>0</v>
      </c>
      <c r="B3331" s="12" t="s">
        <v>407</v>
      </c>
      <c r="C3331" s="1">
        <f>IFERROR(VLOOKUP(231,'PEDIDO 42'!$C$2:$E$230,3,0),0)</f>
        <v>0</v>
      </c>
      <c r="D3331" s="1">
        <f>IFERROR(VLOOKUP(232,'PEDIDO 42'!$C$2:$E$230,3,0),0)</f>
        <v>0</v>
      </c>
      <c r="E3331" s="1">
        <f>IFERROR(VLOOKUP(234,'PEDIDO 42'!$C$2:$E$230,3,0),0)</f>
        <v>0</v>
      </c>
      <c r="F3331" s="1">
        <f>IFERROR(VLOOKUP(233,'PEDIDO 42'!$C$2:$E$230,3,0),0)</f>
        <v>0</v>
      </c>
      <c r="G3331" s="18">
        <f t="shared" si="100"/>
        <v>0</v>
      </c>
    </row>
    <row r="3332" spans="1:7" ht="15.75" x14ac:dyDescent="0.25">
      <c r="A3332" s="15">
        <f>'PEDIDO 42'!$B$2</f>
        <v>0</v>
      </c>
      <c r="B3332" s="12" t="s">
        <v>408</v>
      </c>
      <c r="C3332" s="1">
        <f>IFERROR(VLOOKUP(237,'PEDIDO 42'!$C$2:$E$230,3,0),0)</f>
        <v>0</v>
      </c>
      <c r="D3332" s="1">
        <f>IFERROR(VLOOKUP(238,'PEDIDO 42'!$C$2:$E$230,3,0),0)</f>
        <v>0</v>
      </c>
      <c r="E3332" s="1">
        <f>IFERROR(VLOOKUP(240,'PEDIDO 42'!$C$2:$E$230,3,0),0)</f>
        <v>0</v>
      </c>
      <c r="F3332" s="1">
        <f>IFERROR(VLOOKUP(239,'PEDIDO 42'!$C$2:$E$230,3,0),0)</f>
        <v>0</v>
      </c>
      <c r="G3332" s="18">
        <f t="shared" si="100"/>
        <v>0</v>
      </c>
    </row>
    <row r="3333" spans="1:7" ht="15.75" x14ac:dyDescent="0.25">
      <c r="A3333" s="15">
        <f>'PEDIDO 42'!$B$2</f>
        <v>0</v>
      </c>
      <c r="B3333" s="12" t="s">
        <v>409</v>
      </c>
      <c r="C3333" s="1">
        <f>IFERROR(VLOOKUP(25707,'PEDIDO 42'!$C$2:$E$230,3,0),0)</f>
        <v>0</v>
      </c>
      <c r="D3333" s="1">
        <f>IFERROR(VLOOKUP(25708,'PEDIDO 42'!$C$2:$E$230,3,0),0)</f>
        <v>0</v>
      </c>
      <c r="E3333" s="1">
        <f>IFERROR(VLOOKUP(25710,'PEDIDO 42'!$C$2:$E$230,3,0),0)</f>
        <v>0</v>
      </c>
      <c r="F3333" s="1">
        <f>IFERROR(VLOOKUP(25709,'PEDIDO 42'!$C$2:$E$230,3,0),0)</f>
        <v>0</v>
      </c>
      <c r="G3333" s="18">
        <f t="shared" si="100"/>
        <v>0</v>
      </c>
    </row>
    <row r="3334" spans="1:7" ht="15.75" x14ac:dyDescent="0.25">
      <c r="A3334" s="15">
        <f>'PEDIDO 42'!$B$2</f>
        <v>0</v>
      </c>
      <c r="B3334" s="12" t="s">
        <v>410</v>
      </c>
      <c r="C3334" s="1">
        <f>IFERROR(VLOOKUP(25711,'PEDIDO 42'!$C$2:$E$230,3,0),0)</f>
        <v>0</v>
      </c>
      <c r="D3334" s="1"/>
      <c r="E3334" s="1"/>
      <c r="F3334" s="1"/>
      <c r="G3334" s="18">
        <f t="shared" si="100"/>
        <v>0</v>
      </c>
    </row>
    <row r="3335" spans="1:7" ht="15.75" x14ac:dyDescent="0.25">
      <c r="A3335" s="15">
        <f>'PEDIDO 42'!$B$2</f>
        <v>0</v>
      </c>
      <c r="B3335" s="12" t="s">
        <v>411</v>
      </c>
      <c r="C3335" s="1">
        <f>IFERROR(VLOOKUP(35,'PEDIDO 42'!$C$2:$E$230,3,0),0)</f>
        <v>0</v>
      </c>
      <c r="D3335" s="1">
        <f>IFERROR(VLOOKUP(36,'PEDIDO 42'!$C$2:$E$230,3,0),0)</f>
        <v>0</v>
      </c>
      <c r="E3335" s="1">
        <f>IFERROR(VLOOKUP(37,'PEDIDO 42'!$C$2:$E$230,3,0),0)</f>
        <v>0</v>
      </c>
      <c r="F3335" s="1">
        <f>IFERROR(VLOOKUP(294,'PEDIDO 42'!$C$2:$E$230,3,0),0)</f>
        <v>0</v>
      </c>
      <c r="G3335" s="18">
        <f t="shared" si="100"/>
        <v>0</v>
      </c>
    </row>
    <row r="3336" spans="1:7" ht="15.75" x14ac:dyDescent="0.25">
      <c r="A3336" s="15">
        <f>'PEDIDO 42'!$B$2</f>
        <v>0</v>
      </c>
      <c r="B3336" s="12" t="s">
        <v>412</v>
      </c>
      <c r="C3336" s="1">
        <f>IFERROR(VLOOKUP(39,'PEDIDO 42'!$C$2:$E$230,3,0),0)</f>
        <v>0</v>
      </c>
      <c r="D3336" s="1">
        <f>IFERROR(VLOOKUP(40,'PEDIDO 42'!$C$2:$E$230,3,0),0)</f>
        <v>0</v>
      </c>
      <c r="E3336" s="1">
        <f>IFERROR(VLOOKUP(42,'PEDIDO 42'!$C$2:$E$230,3,0),0)</f>
        <v>0</v>
      </c>
      <c r="F3336" s="1">
        <f>IFERROR(VLOOKUP(295,'PEDIDO 42'!$C$2:$E$230,3,0),0)</f>
        <v>0</v>
      </c>
      <c r="G3336" s="18">
        <f t="shared" si="100"/>
        <v>0</v>
      </c>
    </row>
    <row r="3337" spans="1:7" ht="15.75" x14ac:dyDescent="0.25">
      <c r="A3337" s="15">
        <f>'PEDIDO 42'!$B$2</f>
        <v>0</v>
      </c>
      <c r="B3337" s="12" t="s">
        <v>413</v>
      </c>
      <c r="C3337" s="1">
        <f>IFERROR(VLOOKUP(44,'PEDIDO 42'!$C$2:$E$230,3,0),0)</f>
        <v>0</v>
      </c>
      <c r="D3337" s="1">
        <f>IFERROR(VLOOKUP(45,'PEDIDO 42'!$C$2:$E$230,3,0),0)</f>
        <v>0</v>
      </c>
      <c r="E3337" s="1">
        <f>IFERROR(VLOOKUP(46,'PEDIDO 42'!$C$2:$E$230,3,0),0)</f>
        <v>0</v>
      </c>
      <c r="F3337" s="1">
        <f>IFERROR(VLOOKUP(283,'PEDIDO 42'!$C$2:$E$230,3,0),0)</f>
        <v>0</v>
      </c>
      <c r="G3337" s="18">
        <f t="shared" si="100"/>
        <v>0</v>
      </c>
    </row>
    <row r="3338" spans="1:7" ht="15.75" x14ac:dyDescent="0.25">
      <c r="A3338" s="15">
        <f>'PEDIDO 42'!$B$2</f>
        <v>0</v>
      </c>
      <c r="B3338" s="12" t="s">
        <v>414</v>
      </c>
      <c r="C3338" s="1">
        <f>IFERROR(VLOOKUP(48,'PEDIDO 42'!$C$2:$E$230,3,0),0)</f>
        <v>0</v>
      </c>
      <c r="D3338" s="1">
        <f>IFERROR(VLOOKUP(49,'PEDIDO 42'!$C$2:$E$230,3,0),0)</f>
        <v>0</v>
      </c>
      <c r="E3338" s="1">
        <f>IFERROR(VLOOKUP(50,'PEDIDO 42'!$C$2:$E$230,3,0),0)</f>
        <v>0</v>
      </c>
      <c r="F3338" s="1">
        <f>IFERROR(VLOOKUP(298,'PEDIDO 42'!$C$2:$E$230,3,0),0)</f>
        <v>0</v>
      </c>
      <c r="G3338" s="18">
        <f t="shared" si="100"/>
        <v>0</v>
      </c>
    </row>
    <row r="3339" spans="1:7" ht="15.75" x14ac:dyDescent="0.25">
      <c r="A3339" s="15">
        <f>'PEDIDO 42'!$B$2</f>
        <v>0</v>
      </c>
      <c r="B3339" s="12" t="s">
        <v>415</v>
      </c>
      <c r="C3339" s="1">
        <f>IFERROR(VLOOKUP(52,'PEDIDO 42'!$C$2:$E$230,3,0),0)</f>
        <v>0</v>
      </c>
      <c r="D3339" s="1">
        <f>IFERROR(VLOOKUP(53,'PEDIDO 42'!$C$2:$E$230,3,0),0)</f>
        <v>0</v>
      </c>
      <c r="E3339" s="1">
        <f>IFERROR(VLOOKUP(54,'PEDIDO 42'!$C$2:$E$230,3,0),0)</f>
        <v>0</v>
      </c>
      <c r="F3339" s="1">
        <f>IFERROR(VLOOKUP(299,'PEDIDO 42'!$C$2:$E$230,3,0),0)</f>
        <v>0</v>
      </c>
      <c r="G3339" s="18">
        <f t="shared" si="100"/>
        <v>0</v>
      </c>
    </row>
    <row r="3340" spans="1:7" ht="15.75" x14ac:dyDescent="0.25">
      <c r="A3340" s="15">
        <f>'PEDIDO 42'!$B$2</f>
        <v>0</v>
      </c>
      <c r="B3340" s="12" t="s">
        <v>416</v>
      </c>
      <c r="C3340" s="1">
        <f>IFERROR(VLOOKUP(56,'PEDIDO 42'!$C$2:$E$230,3,0),0)</f>
        <v>0</v>
      </c>
      <c r="D3340" s="1">
        <f>IFERROR(VLOOKUP(61,'PEDIDO 42'!$C$2:$E$230,3,0),0)</f>
        <v>0</v>
      </c>
      <c r="E3340" s="1">
        <f>IFERROR(VLOOKUP(58,'PEDIDO 42'!$C$2:$E$230,3,0),0)</f>
        <v>0</v>
      </c>
      <c r="F3340" s="1">
        <f>IFERROR(VLOOKUP(300,'PEDIDO 42'!$C$2:$E$230,3,0),0)</f>
        <v>0</v>
      </c>
      <c r="G3340" s="18">
        <f t="shared" si="100"/>
        <v>0</v>
      </c>
    </row>
    <row r="3341" spans="1:7" ht="15.75" x14ac:dyDescent="0.25">
      <c r="A3341" s="15">
        <f>'PEDIDO 42'!$B$2</f>
        <v>0</v>
      </c>
      <c r="B3341" s="12" t="s">
        <v>417</v>
      </c>
      <c r="C3341" s="1">
        <f>IFERROR(VLOOKUP(60,'PEDIDO 42'!$C$2:$E$230,3,0),0)</f>
        <v>0</v>
      </c>
      <c r="D3341" s="1">
        <f>IFERROR(VLOOKUP(120,'PEDIDO 42'!$C$2:$E$230,3,0),0)</f>
        <v>0</v>
      </c>
      <c r="E3341" s="1">
        <f>IFERROR(VLOOKUP(62,'PEDIDO 42'!$C$2:$E$230,3,0),0)</f>
        <v>0</v>
      </c>
      <c r="F3341" s="1">
        <f>IFERROR(VLOOKUP(301,'PEDIDO 42'!$C$2:$E$230,3,0),0)</f>
        <v>0</v>
      </c>
      <c r="G3341" s="18">
        <f t="shared" si="100"/>
        <v>0</v>
      </c>
    </row>
    <row r="3342" spans="1:7" ht="15.75" x14ac:dyDescent="0.25">
      <c r="A3342" s="15">
        <f>'PEDIDO 42'!$B$2</f>
        <v>0</v>
      </c>
      <c r="B3342" s="12" t="s">
        <v>426</v>
      </c>
      <c r="C3342" s="1">
        <f>IFERROR(VLOOKUP(112,'PEDIDO 42'!$C$2:$E$230,3,0),0)</f>
        <v>0</v>
      </c>
      <c r="D3342" s="1">
        <f>IFERROR(VLOOKUP(113,'PEDIDO 42'!$C$2:$E$230,3,0),0)</f>
        <v>0</v>
      </c>
      <c r="E3342" s="1">
        <f>IFERROR(VLOOKUP(114,'PEDIDO 42'!$C$2:$E$230,3,0),0)</f>
        <v>0</v>
      </c>
      <c r="F3342" s="1">
        <f>IFERROR(VLOOKUP(296,'PEDIDO 42'!$C$2:$E$230,3,0),0)</f>
        <v>0</v>
      </c>
      <c r="G3342" s="18">
        <f t="shared" si="100"/>
        <v>0</v>
      </c>
    </row>
    <row r="3343" spans="1:7" ht="15.75" x14ac:dyDescent="0.25">
      <c r="A3343" s="15">
        <f>'PEDIDO 42'!$B$2</f>
        <v>0</v>
      </c>
      <c r="B3343" s="12" t="s">
        <v>427</v>
      </c>
      <c r="C3343" s="1">
        <f>IFERROR(VLOOKUP(116,'PEDIDO 42'!$C$2:$E$230,3,0),0)</f>
        <v>0</v>
      </c>
      <c r="D3343" s="1">
        <f>IFERROR(VLOOKUP(117,'PEDIDO 42'!$C$2:$E$230,3,0),0)</f>
        <v>0</v>
      </c>
      <c r="E3343" s="1">
        <f>IFERROR(VLOOKUP(118,'PEDIDO 42'!$C$2:$E$230,3,0),0)</f>
        <v>0</v>
      </c>
      <c r="F3343" s="1">
        <f>IFERROR(VLOOKUP(293,'PEDIDO 42'!$C$2:$E$230,3,0),0)</f>
        <v>0</v>
      </c>
      <c r="G3343" s="18">
        <f t="shared" si="100"/>
        <v>0</v>
      </c>
    </row>
    <row r="3344" spans="1:7" ht="15.75" x14ac:dyDescent="0.25">
      <c r="A3344" s="15">
        <f>'PEDIDO 42'!$B$2</f>
        <v>0</v>
      </c>
      <c r="B3344" s="12" t="s">
        <v>418</v>
      </c>
      <c r="C3344" s="1">
        <f>IFERROR(VLOOKUP(963,'PEDIDO 42'!$C$2:$E$230,3,0),0)</f>
        <v>0</v>
      </c>
      <c r="D3344" s="1">
        <f>IFERROR(VLOOKUP(965,'PEDIDO 42'!$C$2:$E$230,3,0),0)</f>
        <v>0</v>
      </c>
      <c r="E3344" s="1">
        <f>IFERROR(VLOOKUP(966,'PEDIDO 42'!$C$2:$E$230,3,0),0)</f>
        <v>0</v>
      </c>
      <c r="F3344" s="1">
        <f>IFERROR(VLOOKUP(964,'PEDIDO 42'!$C$2:$E$230,3,0),0)</f>
        <v>0</v>
      </c>
      <c r="G3344" s="18">
        <f t="shared" si="100"/>
        <v>0</v>
      </c>
    </row>
    <row r="3345" spans="1:7" ht="15.75" x14ac:dyDescent="0.25">
      <c r="A3345" s="15">
        <f>'PEDIDO 42'!$B$2</f>
        <v>0</v>
      </c>
      <c r="B3345" s="12" t="s">
        <v>419</v>
      </c>
      <c r="C3345" s="1">
        <f>IFERROR(VLOOKUP(2042,'PEDIDO 42'!$C$2:$E$230,3,0),0)</f>
        <v>0</v>
      </c>
      <c r="D3345" s="1">
        <f>IFERROR(VLOOKUP(2041,'PEDIDO 42'!$C$2:$E$230,3,0),0)</f>
        <v>0</v>
      </c>
      <c r="E3345" s="1">
        <f>IFERROR(VLOOKUP(2043,'PEDIDO 42'!$C$2:$E$230,3,0),0)</f>
        <v>0</v>
      </c>
      <c r="F3345" s="1">
        <f>IFERROR(VLOOKUP(2040,'PEDIDO 42'!$C$2:$E$230,3,0),0)</f>
        <v>0</v>
      </c>
      <c r="G3345" s="18">
        <f t="shared" si="100"/>
        <v>0</v>
      </c>
    </row>
    <row r="3346" spans="1:7" ht="15.75" x14ac:dyDescent="0.25">
      <c r="A3346" s="15">
        <f>'PEDIDO 42'!$B$2</f>
        <v>0</v>
      </c>
      <c r="B3346" s="12" t="s">
        <v>420</v>
      </c>
      <c r="C3346" s="1">
        <f>IFERROR(VLOOKUP(2045,'PEDIDO 42'!$C$2:$E$230,3,0),0)</f>
        <v>0</v>
      </c>
      <c r="D3346" s="1">
        <f>IFERROR(VLOOKUP(2046,'PEDIDO 42'!$C$2:$E$230,3,0),0)</f>
        <v>0</v>
      </c>
      <c r="E3346" s="1">
        <f>IFERROR(VLOOKUP(2047,'PEDIDO 42'!$C$2:$E$230,3,0),0)</f>
        <v>0</v>
      </c>
      <c r="F3346" s="1">
        <f>IFERROR(VLOOKUP(2048,'PEDIDO 42'!$C$2:$E$230,3,0),0)</f>
        <v>0</v>
      </c>
      <c r="G3346" s="18">
        <f t="shared" si="100"/>
        <v>0</v>
      </c>
    </row>
    <row r="3347" spans="1:7" ht="15.75" x14ac:dyDescent="0.25">
      <c r="A3347" s="15">
        <f>'PEDIDO 42'!$B$2</f>
        <v>0</v>
      </c>
      <c r="B3347" s="12" t="s">
        <v>421</v>
      </c>
      <c r="C3347" s="1">
        <f>IFERROR(VLOOKUP(2050,'PEDIDO 42'!$C$2:$E$230,3,0),0)</f>
        <v>0</v>
      </c>
      <c r="D3347" s="1">
        <f>IFERROR(VLOOKUP(2051,'PEDIDO 42'!$C$2:$E$230,3,0),0)</f>
        <v>0</v>
      </c>
      <c r="E3347" s="1">
        <f>IFERROR(VLOOKUP(2052,'PEDIDO 42'!$C$2:$E$230,3,0),0)</f>
        <v>0</v>
      </c>
      <c r="F3347" s="1">
        <f>IFERROR(VLOOKUP(2053,'PEDIDO 42'!$C$2:$E$230,3,0),0)</f>
        <v>0</v>
      </c>
      <c r="G3347" s="18">
        <f t="shared" si="100"/>
        <v>0</v>
      </c>
    </row>
    <row r="3348" spans="1:7" ht="15.75" x14ac:dyDescent="0.25">
      <c r="A3348" s="15">
        <f>'PEDIDO 42'!$B$2</f>
        <v>0</v>
      </c>
      <c r="B3348" s="12" t="s">
        <v>422</v>
      </c>
      <c r="C3348" s="1">
        <f>IFERROR(VLOOKUP(216,'PEDIDO 42'!$C$2:$E$230,3,0),0)</f>
        <v>0</v>
      </c>
      <c r="D3348" s="1">
        <f>IFERROR(VLOOKUP(217,'PEDIDO 42'!$C$2:$E$230,3,0),0)</f>
        <v>0</v>
      </c>
      <c r="E3348" s="1">
        <f>IFERROR(VLOOKUP(218,'PEDIDO 42'!$C$2:$E$230,3,0),0)</f>
        <v>0</v>
      </c>
      <c r="F3348" s="1">
        <f>IFERROR(VLOOKUP(305,'PEDIDO 42'!$C$2:$E$230,3,0),0)</f>
        <v>0</v>
      </c>
      <c r="G3348" s="18">
        <f t="shared" si="100"/>
        <v>0</v>
      </c>
    </row>
    <row r="3349" spans="1:7" ht="15.75" x14ac:dyDescent="0.25">
      <c r="A3349" s="15">
        <f>'PEDIDO 42'!$B$2</f>
        <v>0</v>
      </c>
      <c r="B3349" s="12" t="s">
        <v>423</v>
      </c>
      <c r="C3349" s="1">
        <f>IFERROR(VLOOKUP(100,'PEDIDO 42'!$C$2:$E$230,3,0),0)</f>
        <v>0</v>
      </c>
      <c r="D3349" s="1">
        <f>IFERROR(VLOOKUP(101,'PEDIDO 42'!$C$2:$E$230,3,0),0)</f>
        <v>0</v>
      </c>
      <c r="E3349" s="1">
        <f>IFERROR(VLOOKUP(102,'PEDIDO 42'!$C$2:$E$230,3,0),0)</f>
        <v>0</v>
      </c>
      <c r="F3349" s="1">
        <f>IFERROR(VLOOKUP(306,'PEDIDO 42'!$C$2:$E$230,3,0),0)</f>
        <v>0</v>
      </c>
      <c r="G3349" s="18">
        <f t="shared" si="100"/>
        <v>0</v>
      </c>
    </row>
    <row r="3350" spans="1:7" ht="15.75" x14ac:dyDescent="0.25">
      <c r="A3350" s="15">
        <f>'PEDIDO 42'!$B$2</f>
        <v>0</v>
      </c>
      <c r="B3350" s="12" t="s">
        <v>424</v>
      </c>
      <c r="C3350" s="1">
        <f>IFERROR(VLOOKUP(104,'PEDIDO 42'!$C$2:$E$230,3,0),0)</f>
        <v>0</v>
      </c>
      <c r="D3350" s="1">
        <f>IFERROR(VLOOKUP(105,'PEDIDO 42'!$C$2:$E$230,3,0),0)</f>
        <v>0</v>
      </c>
      <c r="E3350" s="1">
        <f>IFERROR(VLOOKUP(106,'PEDIDO 42'!$C$2:$E$230,3,0),0)</f>
        <v>0</v>
      </c>
      <c r="F3350" s="1">
        <f>IFERROR(VLOOKUP(307,'PEDIDO 42'!$C$2:$E$230,3,0),0)</f>
        <v>0</v>
      </c>
      <c r="G3350" s="18">
        <f t="shared" si="100"/>
        <v>0</v>
      </c>
    </row>
    <row r="3351" spans="1:7" ht="15.75" x14ac:dyDescent="0.25">
      <c r="A3351" s="15">
        <f>'PEDIDO 42'!$B$2</f>
        <v>0</v>
      </c>
      <c r="B3351" s="12" t="s">
        <v>425</v>
      </c>
      <c r="C3351" s="1">
        <f>IFERROR(VLOOKUP(400,'PEDIDO 42'!$C$2:$E$230,3,0),0)</f>
        <v>0</v>
      </c>
      <c r="D3351" s="1">
        <f>IFERROR(VLOOKUP(401,'PEDIDO 42'!$C$2:$E$230,3,0),0)</f>
        <v>0</v>
      </c>
      <c r="E3351" s="1">
        <f>IFERROR(VLOOKUP(402,'PEDIDO 42'!$C$2:$E$230,3,0),0)</f>
        <v>0</v>
      </c>
      <c r="F3351" s="1">
        <f>IFERROR(VLOOKUP(403,'PEDIDO 42'!$C$2:$E$230,3,0),0)</f>
        <v>0</v>
      </c>
      <c r="G3351" s="18">
        <f t="shared" si="100"/>
        <v>0</v>
      </c>
    </row>
    <row r="3352" spans="1:7" ht="15.75" x14ac:dyDescent="0.25">
      <c r="A3352" s="15">
        <f>'PEDIDO 42'!$B$2</f>
        <v>0</v>
      </c>
      <c r="B3352" s="12" t="s">
        <v>428</v>
      </c>
      <c r="C3352" s="1">
        <f>IFERROR(VLOOKUP(22,'PEDIDO 42'!$C$2:$E$230,3,0),0)</f>
        <v>0</v>
      </c>
      <c r="D3352" s="1"/>
      <c r="E3352" s="1"/>
      <c r="F3352" s="1"/>
      <c r="G3352" s="18">
        <f t="shared" si="100"/>
        <v>0</v>
      </c>
    </row>
    <row r="3353" spans="1:7" ht="15.75" x14ac:dyDescent="0.25">
      <c r="A3353" s="15">
        <f>'PEDIDO 42'!$B$2</f>
        <v>0</v>
      </c>
      <c r="B3353" s="12" t="s">
        <v>429</v>
      </c>
      <c r="C3353" s="1">
        <f>IFERROR(VLOOKUP(21,'PEDIDO 42'!$C$2:$E$230,3,0),0)</f>
        <v>0</v>
      </c>
      <c r="D3353" s="1"/>
      <c r="E3353" s="1"/>
      <c r="F3353" s="1"/>
      <c r="G3353" s="18">
        <f t="shared" si="100"/>
        <v>0</v>
      </c>
    </row>
    <row r="3354" spans="1:7" ht="15.75" x14ac:dyDescent="0.25">
      <c r="A3354" s="15">
        <f>'PEDIDO 42'!$B$2</f>
        <v>0</v>
      </c>
      <c r="B3354" s="12" t="s">
        <v>430</v>
      </c>
      <c r="C3354" s="1">
        <f>IFERROR(VLOOKUP(1125,'PEDIDO 42'!$C$2:$E$230,3,0),0)</f>
        <v>0</v>
      </c>
      <c r="D3354" s="1">
        <f>IFERROR(VLOOKUP(1126,'PEDIDO 42'!$C$2:$E$230,3,0),0)</f>
        <v>0</v>
      </c>
      <c r="E3354" s="1">
        <f>IFERROR(VLOOKUP(1127,'PEDIDO 42'!$C$2:$E$230,3,0),0)</f>
        <v>0</v>
      </c>
      <c r="F3354" s="1">
        <f>IFERROR(VLOOKUP(1128,'PEDIDO 42'!$C$2:$E$230,3,0),0)</f>
        <v>0</v>
      </c>
      <c r="G3354" s="18">
        <f t="shared" si="100"/>
        <v>0</v>
      </c>
    </row>
    <row r="3355" spans="1:7" ht="15.75" x14ac:dyDescent="0.25">
      <c r="A3355" s="15">
        <f>'PEDIDO 42'!$B$2</f>
        <v>0</v>
      </c>
      <c r="B3355" s="12" t="s">
        <v>431</v>
      </c>
      <c r="C3355" s="1">
        <f>IFERROR(VLOOKUP(1133,'PEDIDO 42'!$C$2:$E$230,3,0),0)</f>
        <v>0</v>
      </c>
      <c r="D3355" s="1">
        <f>IFERROR(VLOOKUP(1134,'PEDIDO 42'!$C$2:$E$230,3,0),0)</f>
        <v>0</v>
      </c>
      <c r="E3355" s="1">
        <f>IFERROR(VLOOKUP(1135,'PEDIDO 42'!$C$2:$E$230,3,0),0)</f>
        <v>0</v>
      </c>
      <c r="F3355" s="1">
        <f>IFERROR(VLOOKUP(1136,'PEDIDO 42'!$C$2:$E$230,3,0),0)</f>
        <v>0</v>
      </c>
      <c r="G3355" s="18">
        <f t="shared" si="100"/>
        <v>0</v>
      </c>
    </row>
    <row r="3356" spans="1:7" ht="15.75" x14ac:dyDescent="0.25">
      <c r="A3356" s="15">
        <f>'PEDIDO 42'!$B$2</f>
        <v>0</v>
      </c>
      <c r="B3356" s="12" t="s">
        <v>432</v>
      </c>
      <c r="C3356" s="1">
        <f>IFERROR(VLOOKUP(1105,'PEDIDO 42'!$C$2:$E$230,3,0),0)</f>
        <v>0</v>
      </c>
      <c r="D3356" s="1">
        <f>IFERROR(VLOOKUP(1106,'PEDIDO 42'!$C$2:$E$230,3,0),0)</f>
        <v>0</v>
      </c>
      <c r="E3356" s="1">
        <f>IFERROR(VLOOKUP(1107,'PEDIDO 42'!$C$2:$E$230,3,0),0)</f>
        <v>0</v>
      </c>
      <c r="F3356" s="1">
        <f>IFERROR(VLOOKUP(1108,'PEDIDO 42'!$C$2:$E$230,3,0),0)</f>
        <v>0</v>
      </c>
      <c r="G3356" s="18">
        <f t="shared" si="100"/>
        <v>0</v>
      </c>
    </row>
    <row r="3357" spans="1:7" ht="15.75" x14ac:dyDescent="0.25">
      <c r="A3357" s="15">
        <f>'PEDIDO 42'!$B$2</f>
        <v>0</v>
      </c>
      <c r="B3357" s="12" t="s">
        <v>433</v>
      </c>
      <c r="C3357" s="1">
        <f>IFERROR(VLOOKUP(1109,'PEDIDO 42'!$C$2:$E$230,3,0),0)</f>
        <v>0</v>
      </c>
      <c r="D3357" s="1">
        <f>IFERROR(VLOOKUP(1110,'PEDIDO 42'!$C$2:$E$230,3,0),0)</f>
        <v>0</v>
      </c>
      <c r="E3357" s="1">
        <f>IFERROR(VLOOKUP(1111,'PEDIDO 42'!$C$2:$E$230,3,0),0)</f>
        <v>0</v>
      </c>
      <c r="F3357" s="1">
        <f>IFERROR(VLOOKUP(1112,'PEDIDO 42'!$C$2:$E$230,3,0),0)</f>
        <v>0</v>
      </c>
      <c r="G3357" s="18">
        <f t="shared" si="100"/>
        <v>0</v>
      </c>
    </row>
    <row r="3358" spans="1:7" ht="15.75" x14ac:dyDescent="0.25">
      <c r="A3358" s="15">
        <f>'PEDIDO 42'!$B$2</f>
        <v>0</v>
      </c>
      <c r="B3358" s="12" t="s">
        <v>434</v>
      </c>
      <c r="C3358" s="1">
        <f>IFERROR(VLOOKUP(1113,'PEDIDO 42'!$C$2:$E$230,3,0),0)</f>
        <v>0</v>
      </c>
      <c r="D3358" s="1">
        <f>IFERROR(VLOOKUP(1114,'PEDIDO 42'!$C$2:$E$230,3,0),0)</f>
        <v>0</v>
      </c>
      <c r="E3358" s="1">
        <f>IFERROR(VLOOKUP(1115,'PEDIDO 42'!$C$2:$E$230,3,0),0)</f>
        <v>0</v>
      </c>
      <c r="F3358" s="1">
        <f>IFERROR(VLOOKUP(1116,'PEDIDO 42'!$C$2:$E$230,3,0),0)</f>
        <v>0</v>
      </c>
      <c r="G3358" s="18">
        <f t="shared" si="100"/>
        <v>0</v>
      </c>
    </row>
    <row r="3359" spans="1:7" ht="15.75" x14ac:dyDescent="0.25">
      <c r="A3359" s="15">
        <f>'PEDIDO 42'!$B$2</f>
        <v>0</v>
      </c>
      <c r="B3359" s="12" t="s">
        <v>435</v>
      </c>
      <c r="C3359" s="1">
        <f>IFERROR(VLOOKUP(1117,'PEDIDO 42'!$C$2:$E$230,3,0),0)</f>
        <v>0</v>
      </c>
      <c r="D3359" s="1">
        <f>IFERROR(VLOOKUP(1118,'PEDIDO 42'!$C$2:$E$230,3,0),0)</f>
        <v>0</v>
      </c>
      <c r="E3359" s="1">
        <f>IFERROR(VLOOKUP(1119,'PEDIDO 42'!$C$2:$E$230,3,0),0)</f>
        <v>0</v>
      </c>
      <c r="F3359" s="1">
        <f>IFERROR(VLOOKUP(1120,'PEDIDO 42'!$C$2:$E$230,3,0),0)</f>
        <v>0</v>
      </c>
      <c r="G3359" s="18">
        <f t="shared" si="100"/>
        <v>0</v>
      </c>
    </row>
    <row r="3360" spans="1:7" ht="15.75" x14ac:dyDescent="0.25">
      <c r="A3360" s="15">
        <f>'PEDIDO 42'!$B$2</f>
        <v>0</v>
      </c>
      <c r="B3360" s="12" t="s">
        <v>436</v>
      </c>
      <c r="C3360" s="1">
        <f>IFERROR(VLOOKUP(1121,'PEDIDO 42'!$C$2:$E$230,3,0),0)</f>
        <v>0</v>
      </c>
      <c r="D3360" s="1">
        <f>IFERROR(VLOOKUP(1122,'PEDIDO 42'!$C$2:$E$230,3,0),0)</f>
        <v>0</v>
      </c>
      <c r="E3360" s="1">
        <f>IFERROR(VLOOKUP(1123,'PEDIDO 42'!$C$2:$E$230,3,0),0)</f>
        <v>0</v>
      </c>
      <c r="F3360" s="1">
        <f>IFERROR(VLOOKUP(1124,'PEDIDO 42'!$C$2:$E$230,3,0),0)</f>
        <v>0</v>
      </c>
      <c r="G3360" s="18">
        <f t="shared" si="100"/>
        <v>0</v>
      </c>
    </row>
    <row r="3361" spans="1:7" ht="15.75" x14ac:dyDescent="0.25">
      <c r="A3361" s="15">
        <f>'PEDIDO 42'!$B$2</f>
        <v>0</v>
      </c>
      <c r="B3361" s="12" t="s">
        <v>437</v>
      </c>
      <c r="C3361" s="1">
        <f>IFERROR(VLOOKUP(1129,'PEDIDO 42'!$C$2:$E$230,3,0),0)</f>
        <v>0</v>
      </c>
      <c r="D3361" s="1">
        <f>IFERROR(VLOOKUP(1130,'PEDIDO 42'!$C$2:$E$230,3,0),0)</f>
        <v>0</v>
      </c>
      <c r="E3361" s="1">
        <f>IFERROR(VLOOKUP(1131,'PEDIDO 42'!$C$2:$E$230,3,0),0)</f>
        <v>0</v>
      </c>
      <c r="F3361" s="1">
        <f>IFERROR(VLOOKUP(1132,'PEDIDO 42'!$C$2:$E$230,3,0),0)</f>
        <v>0</v>
      </c>
      <c r="G3361" s="18">
        <f t="shared" si="100"/>
        <v>0</v>
      </c>
    </row>
    <row r="3362" spans="1:7" ht="15.75" x14ac:dyDescent="0.25">
      <c r="A3362" s="15">
        <f>'PEDIDO 42'!$B$2</f>
        <v>0</v>
      </c>
      <c r="B3362" s="12" t="s">
        <v>438</v>
      </c>
      <c r="C3362" s="1">
        <f>IFERROR(VLOOKUP(1137,'PEDIDO 42'!$C$2:$E$230,3,0),0)</f>
        <v>0</v>
      </c>
      <c r="D3362" s="1">
        <f>IFERROR(VLOOKUP(1138,'PEDIDO 42'!$C$2:$E$230,3,0),0)</f>
        <v>0</v>
      </c>
      <c r="E3362" s="1">
        <f>IFERROR(VLOOKUP(1139,'PEDIDO 42'!$C$2:$E$230,3,0),0)</f>
        <v>0</v>
      </c>
      <c r="F3362" s="1">
        <f>IFERROR(VLOOKUP(1140,'PEDIDO 42'!$C$2:$E$230,3,0),0)</f>
        <v>0</v>
      </c>
      <c r="G3362" s="18">
        <f t="shared" si="100"/>
        <v>0</v>
      </c>
    </row>
    <row r="3363" spans="1:7" ht="15.75" x14ac:dyDescent="0.25">
      <c r="A3363" s="15">
        <f>'PEDIDO 42'!$B$2</f>
        <v>0</v>
      </c>
      <c r="B3363" s="12" t="s">
        <v>439</v>
      </c>
      <c r="C3363" s="1">
        <f>IFERROR(VLOOKUP(1141,'PEDIDO 42'!$C$2:$E$230,3,0),0)</f>
        <v>0</v>
      </c>
      <c r="D3363" s="1">
        <f>IFERROR(VLOOKUP(1142,'PEDIDO 42'!$C$2:$E$230,3,0),0)</f>
        <v>0</v>
      </c>
      <c r="E3363" s="1">
        <f>IFERROR(VLOOKUP(1143,'PEDIDO 42'!$C$2:$E$230,3,0),0)</f>
        <v>0</v>
      </c>
      <c r="F3363" s="1">
        <f>IFERROR(VLOOKUP(1144,'PEDIDO 42'!$C$2:$E$230,3,0),0)</f>
        <v>0</v>
      </c>
      <c r="G3363" s="18">
        <f t="shared" si="100"/>
        <v>0</v>
      </c>
    </row>
    <row r="3364" spans="1:7" ht="15.75" x14ac:dyDescent="0.25">
      <c r="A3364" s="15">
        <f>'PEDIDO 42'!$B$2</f>
        <v>0</v>
      </c>
      <c r="B3364" s="12" t="s">
        <v>440</v>
      </c>
      <c r="C3364" s="1">
        <f>IFERROR(VLOOKUP(1145,'PEDIDO 42'!$C$2:$E$230,3,0),0)</f>
        <v>0</v>
      </c>
      <c r="D3364" s="1">
        <f>IFERROR(VLOOKUP(1146,'PEDIDO 42'!$C$2:$E$230,3,0),0)</f>
        <v>0</v>
      </c>
      <c r="E3364" s="1">
        <f>IFERROR(VLOOKUP(1147,'PEDIDO 42'!$C$2:$E$230,3,0),0)</f>
        <v>0</v>
      </c>
      <c r="F3364" s="1">
        <f>IFERROR(VLOOKUP(1148,'PEDIDO 42'!$C$2:$E$230,3,0),0)</f>
        <v>0</v>
      </c>
      <c r="G3364" s="18">
        <f t="shared" si="100"/>
        <v>0</v>
      </c>
    </row>
    <row r="3365" spans="1:7" ht="15.75" x14ac:dyDescent="0.25">
      <c r="A3365" s="15">
        <f>'PEDIDO 42'!$B$2</f>
        <v>0</v>
      </c>
      <c r="B3365" s="12" t="s">
        <v>441</v>
      </c>
      <c r="C3365" s="1">
        <f>IFERROR(VLOOKUP(1149,'PEDIDO 42'!$C$2:$E$230,3,0),0)</f>
        <v>0</v>
      </c>
      <c r="D3365" s="1">
        <f>IFERROR(VLOOKUP(1150,'PEDIDO 42'!$C$2:$E$230,3,0),0)</f>
        <v>0</v>
      </c>
      <c r="E3365" s="1">
        <f>IFERROR(VLOOKUP(1151,'PEDIDO 42'!$C$2:$E$230,3,0),0)</f>
        <v>0</v>
      </c>
      <c r="F3365" s="1">
        <f>IFERROR(VLOOKUP(1152,'PEDIDO 42'!$C$2:$E$230,3,0),0)</f>
        <v>0</v>
      </c>
      <c r="G3365" s="18">
        <f t="shared" si="100"/>
        <v>0</v>
      </c>
    </row>
    <row r="3366" spans="1:7" ht="15.75" x14ac:dyDescent="0.25">
      <c r="A3366" s="15">
        <f>'PEDIDO 42'!$B$2</f>
        <v>0</v>
      </c>
      <c r="B3366" s="12" t="s">
        <v>442</v>
      </c>
      <c r="C3366" s="1">
        <f>IFERROR(VLOOKUP(1153,'PEDIDO 42'!$C$2:$E$230,3,0),0)</f>
        <v>0</v>
      </c>
      <c r="D3366" s="1">
        <f>IFERROR(VLOOKUP(1154,'PEDIDO 42'!$C$2:$E$230,3,0),0)</f>
        <v>0</v>
      </c>
      <c r="E3366" s="1">
        <f>IFERROR(VLOOKUP(1155,'PEDIDO 42'!$C$2:$E$230,3,0),0)</f>
        <v>0</v>
      </c>
      <c r="F3366" s="1">
        <f>IFERROR(VLOOKUP(1156,'PEDIDO 42'!$C$2:$E$230,3,0),0)</f>
        <v>0</v>
      </c>
      <c r="G3366" s="18">
        <f t="shared" si="100"/>
        <v>0</v>
      </c>
    </row>
    <row r="3367" spans="1:7" ht="15.75" x14ac:dyDescent="0.25">
      <c r="A3367" s="15">
        <f>'PEDIDO 42'!$B$2</f>
        <v>0</v>
      </c>
      <c r="B3367" s="12" t="s">
        <v>443</v>
      </c>
      <c r="C3367" s="1">
        <f>IFERROR(VLOOKUP(1157,'PEDIDO 42'!$C$2:$E$230,3,0),0)</f>
        <v>0</v>
      </c>
      <c r="D3367" s="1">
        <f>IFERROR(VLOOKUP(1158,'PEDIDO 42'!$C$2:$E$230,3,0),0)</f>
        <v>0</v>
      </c>
      <c r="E3367" s="1">
        <f>IFERROR(VLOOKUP(1159,'PEDIDO 42'!$C$2:$E$230,3,0),0)</f>
        <v>0</v>
      </c>
      <c r="F3367" s="1">
        <f>IFERROR(VLOOKUP(1160,'PEDIDO 42'!$C$2:$E$230,3,0),0)</f>
        <v>0</v>
      </c>
      <c r="G3367" s="18">
        <f t="shared" si="100"/>
        <v>0</v>
      </c>
    </row>
    <row r="3368" spans="1:7" ht="15.75" x14ac:dyDescent="0.25">
      <c r="A3368" s="15">
        <f>'PEDIDO 42'!$B$2</f>
        <v>0</v>
      </c>
      <c r="B3368" s="12" t="s">
        <v>444</v>
      </c>
      <c r="C3368" s="1">
        <f>IFERROR(VLOOKUP(1161,'PEDIDO 42'!$C$2:$E$230,3,0),0)</f>
        <v>0</v>
      </c>
      <c r="D3368" s="1">
        <f>IFERROR(VLOOKUP(1162,'PEDIDO 42'!$C$2:$E$230,3,0),0)</f>
        <v>0</v>
      </c>
      <c r="E3368" s="1">
        <f>IFERROR(VLOOKUP(1163,'PEDIDO 42'!$C$2:$E$230,3,0),0)</f>
        <v>0</v>
      </c>
      <c r="F3368" s="1">
        <f>IFERROR(VLOOKUP(1164,'PEDIDO 42'!$C$2:$E$230,3,0),0)</f>
        <v>0</v>
      </c>
      <c r="G3368" s="18">
        <f t="shared" si="100"/>
        <v>0</v>
      </c>
    </row>
    <row r="3369" spans="1:7" ht="15.75" x14ac:dyDescent="0.25">
      <c r="A3369" s="15">
        <f>'PEDIDO 42'!$B$2</f>
        <v>0</v>
      </c>
      <c r="B3369" s="12" t="s">
        <v>445</v>
      </c>
      <c r="C3369" s="1">
        <f>IFERROR(VLOOKUP(1165,'PEDIDO 42'!$C$2:$E$230,3,0),0)</f>
        <v>0</v>
      </c>
      <c r="D3369" s="1">
        <f>IFERROR(VLOOKUP(1166,'PEDIDO 42'!$C$2:$E$230,3,0),0)</f>
        <v>0</v>
      </c>
      <c r="E3369" s="1">
        <f>IFERROR(VLOOKUP(1167,'PEDIDO 42'!$C$2:$E$230,3,0),0)</f>
        <v>0</v>
      </c>
      <c r="F3369" s="1">
        <f>IFERROR(VLOOKUP(1168,'PEDIDO 42'!$C$2:$E$230,3,0),0)</f>
        <v>0</v>
      </c>
      <c r="G3369" s="18">
        <f t="shared" si="100"/>
        <v>0</v>
      </c>
    </row>
    <row r="3370" spans="1:7" ht="15.75" x14ac:dyDescent="0.25">
      <c r="A3370" s="15">
        <f>'PEDIDO 42'!$B$2</f>
        <v>0</v>
      </c>
      <c r="B3370" s="12" t="s">
        <v>446</v>
      </c>
      <c r="C3370" s="1">
        <f>IFERROR(VLOOKUP(1169,'PEDIDO 42'!$C$2:$E$230,3,0),0)</f>
        <v>0</v>
      </c>
      <c r="D3370" s="1">
        <f>IFERROR(VLOOKUP(1170,'PEDIDO 42'!$C$2:$E$230,3,0),0)</f>
        <v>0</v>
      </c>
      <c r="E3370" s="1">
        <f>IFERROR(VLOOKUP(1171,'PEDIDO 42'!$C$2:$E$230,3,0),0)</f>
        <v>0</v>
      </c>
      <c r="F3370" s="1">
        <f>IFERROR(VLOOKUP(1172,'PEDIDO 42'!$C$2:$E$230,3,0),0)</f>
        <v>0</v>
      </c>
      <c r="G3370" s="18">
        <f t="shared" si="100"/>
        <v>0</v>
      </c>
    </row>
    <row r="3371" spans="1:7" ht="15.75" x14ac:dyDescent="0.25">
      <c r="A3371" s="15">
        <f>'PEDIDO 42'!$B$2</f>
        <v>0</v>
      </c>
      <c r="B3371" s="12" t="s">
        <v>447</v>
      </c>
      <c r="C3371" s="1">
        <f>IFERROR(VLOOKUP(1173,'PEDIDO 42'!$C$2:$E$230,3,0),0)</f>
        <v>0</v>
      </c>
      <c r="D3371" s="1">
        <f>IFERROR(VLOOKUP(1174,'PEDIDO 42'!$C$2:$E$230,3,0),0)</f>
        <v>0</v>
      </c>
      <c r="E3371" s="1">
        <f>IFERROR(VLOOKUP(1175,'PEDIDO 42'!$C$2:$E$230,3,0),0)</f>
        <v>0</v>
      </c>
      <c r="F3371" s="1">
        <f>IFERROR(VLOOKUP(1176,'PEDIDO 42'!$C$2:$E$230,3,0),0)</f>
        <v>0</v>
      </c>
      <c r="G3371" s="18">
        <f t="shared" si="100"/>
        <v>0</v>
      </c>
    </row>
    <row r="3372" spans="1:7" ht="15.75" x14ac:dyDescent="0.25">
      <c r="A3372" s="15">
        <f>'PEDIDO 42'!$B$2</f>
        <v>0</v>
      </c>
      <c r="B3372" s="12" t="s">
        <v>448</v>
      </c>
      <c r="C3372" s="1">
        <f>IFERROR(VLOOKUP(1249,'PEDIDO 42'!$C$2:$E$230,3,0),0)</f>
        <v>0</v>
      </c>
      <c r="D3372" s="1">
        <f>IFERROR(VLOOKUP(1250,'PEDIDO 42'!$C$2:$E$230,3,0),0)</f>
        <v>0</v>
      </c>
      <c r="E3372" s="1">
        <f>IFERROR(VLOOKUP(1251,'PEDIDO 42'!$C$2:$E$230,3,0),0)</f>
        <v>0</v>
      </c>
      <c r="F3372" s="1">
        <f>IFERROR(VLOOKUP(1252,'PEDIDO 42'!$C$2:$E$230,3,0),0)</f>
        <v>0</v>
      </c>
      <c r="G3372" s="18">
        <f t="shared" si="100"/>
        <v>0</v>
      </c>
    </row>
    <row r="3373" spans="1:7" ht="15.75" x14ac:dyDescent="0.25">
      <c r="A3373" s="15">
        <f>'PEDIDO 42'!$B$2</f>
        <v>0</v>
      </c>
      <c r="B3373" s="12" t="s">
        <v>449</v>
      </c>
      <c r="C3373" s="1">
        <f>IFERROR(VLOOKUP(1177,'PEDIDO 42'!$C$2:$E$230,3,0),0)</f>
        <v>0</v>
      </c>
      <c r="D3373" s="1">
        <f>IFERROR(VLOOKUP(1178,'PEDIDO 42'!$C$2:$E$230,3,0),0)</f>
        <v>0</v>
      </c>
      <c r="E3373" s="1">
        <f>IFERROR(VLOOKUP(1179,'PEDIDO 42'!$C$2:$E$230,3,0),0)</f>
        <v>0</v>
      </c>
      <c r="F3373" s="1">
        <f>IFERROR(VLOOKUP(1180,'PEDIDO 42'!$C$2:$E$230,3,0),0)</f>
        <v>0</v>
      </c>
      <c r="G3373" s="18">
        <f t="shared" si="100"/>
        <v>0</v>
      </c>
    </row>
    <row r="3374" spans="1:7" ht="15.75" x14ac:dyDescent="0.25">
      <c r="A3374" s="15">
        <f>'PEDIDO 42'!$B$2</f>
        <v>0</v>
      </c>
      <c r="B3374" s="12" t="s">
        <v>450</v>
      </c>
      <c r="C3374" s="1">
        <f>IFERROR(VLOOKUP(1181,'PEDIDO 42'!$C$2:$E$230,3,0),0)</f>
        <v>0</v>
      </c>
      <c r="D3374" s="1">
        <f>IFERROR(VLOOKUP(1182,'PEDIDO 42'!$C$2:$E$230,3,0),0)</f>
        <v>0</v>
      </c>
      <c r="E3374" s="1">
        <f>IFERROR(VLOOKUP(1183,'PEDIDO 42'!$C$2:$E$230,3,0),0)</f>
        <v>0</v>
      </c>
      <c r="F3374" s="1">
        <f>IFERROR(VLOOKUP(1184,'PEDIDO 42'!$C$2:$E$230,3,0),0)</f>
        <v>0</v>
      </c>
      <c r="G3374" s="18">
        <f t="shared" si="100"/>
        <v>0</v>
      </c>
    </row>
    <row r="3375" spans="1:7" ht="15.75" x14ac:dyDescent="0.25">
      <c r="A3375" s="15">
        <f>'PEDIDO 42'!$B$2</f>
        <v>0</v>
      </c>
      <c r="B3375" s="12" t="s">
        <v>451</v>
      </c>
      <c r="C3375" s="1">
        <f>IFERROR(VLOOKUP(1185,'PEDIDO 42'!$C$2:$E$230,3,0),0)</f>
        <v>0</v>
      </c>
      <c r="D3375" s="1">
        <f>IFERROR(VLOOKUP(1186,'PEDIDO 42'!$C$2:$E$230,3,0),0)</f>
        <v>0</v>
      </c>
      <c r="E3375" s="1">
        <f>IFERROR(VLOOKUP(1187,'PEDIDO 42'!$C$2:$E$230,3,0),0)</f>
        <v>0</v>
      </c>
      <c r="F3375" s="1">
        <f>IFERROR(VLOOKUP(1188,'PEDIDO 42'!$C$2:$E$230,3,0),0)</f>
        <v>0</v>
      </c>
      <c r="G3375" s="18">
        <f t="shared" si="100"/>
        <v>0</v>
      </c>
    </row>
    <row r="3376" spans="1:7" ht="15.75" x14ac:dyDescent="0.25">
      <c r="A3376" s="15">
        <f>'PEDIDO 42'!$B$2</f>
        <v>0</v>
      </c>
      <c r="B3376" s="12" t="s">
        <v>452</v>
      </c>
      <c r="C3376" s="1">
        <f>IFERROR(VLOOKUP(1189,'PEDIDO 42'!$C$2:$E$230,3,0),0)</f>
        <v>0</v>
      </c>
      <c r="D3376" s="1">
        <f>IFERROR(VLOOKUP(1190,'PEDIDO 42'!$C$2:$E$230,3,0),0)</f>
        <v>0</v>
      </c>
      <c r="E3376" s="1">
        <f>IFERROR(VLOOKUP(1191,'PEDIDO 42'!$C$2:$E$230,3,0),0)</f>
        <v>0</v>
      </c>
      <c r="F3376" s="1">
        <f>IFERROR(VLOOKUP(1192,'PEDIDO 42'!$C$2:$E$230,3,0),0)</f>
        <v>0</v>
      </c>
      <c r="G3376" s="18">
        <f t="shared" si="100"/>
        <v>0</v>
      </c>
    </row>
    <row r="3377" spans="1:7" ht="15.75" x14ac:dyDescent="0.25">
      <c r="A3377" s="15">
        <f>'PEDIDO 42'!$B$2</f>
        <v>0</v>
      </c>
      <c r="B3377" s="12" t="s">
        <v>453</v>
      </c>
      <c r="C3377" s="1">
        <f>IFERROR(VLOOKUP(1193,'PEDIDO 42'!$C$2:$E$230,3,0),0)</f>
        <v>0</v>
      </c>
      <c r="D3377" s="1">
        <f>IFERROR(VLOOKUP(1194,'PEDIDO 42'!$C$2:$E$230,3,0),0)</f>
        <v>0</v>
      </c>
      <c r="E3377" s="1">
        <f>IFERROR(VLOOKUP(1195,'PEDIDO 42'!$C$2:$E$230,3,0),0)</f>
        <v>0</v>
      </c>
      <c r="F3377" s="1">
        <f>IFERROR(VLOOKUP(1196,'PEDIDO 42'!$C$2:$E$230,3,0),0)</f>
        <v>0</v>
      </c>
      <c r="G3377" s="18">
        <f t="shared" si="100"/>
        <v>0</v>
      </c>
    </row>
    <row r="3378" spans="1:7" ht="15.75" x14ac:dyDescent="0.25">
      <c r="A3378" s="15">
        <f>'PEDIDO 42'!$B$2</f>
        <v>0</v>
      </c>
      <c r="B3378" s="12" t="s">
        <v>454</v>
      </c>
      <c r="C3378" s="1">
        <f>IFERROR(VLOOKUP(1197,'PEDIDO 42'!$C$2:$E$230,3,0),0)</f>
        <v>0</v>
      </c>
      <c r="D3378" s="1">
        <f>IFERROR(VLOOKUP(1198,'PEDIDO 42'!$C$2:$E$230,3,0),0)</f>
        <v>0</v>
      </c>
      <c r="E3378" s="1">
        <f>IFERROR(VLOOKUP(1199,'PEDIDO 42'!$C$2:$E$230,3,0),0)</f>
        <v>0</v>
      </c>
      <c r="F3378" s="1">
        <f>IFERROR(VLOOKUP(1200,'PEDIDO 42'!$C$2:$E$230,3,0),0)</f>
        <v>0</v>
      </c>
      <c r="G3378" s="18">
        <f t="shared" si="100"/>
        <v>0</v>
      </c>
    </row>
    <row r="3379" spans="1:7" ht="15.75" x14ac:dyDescent="0.25">
      <c r="A3379" s="15">
        <f>'PEDIDO 42'!$B$2</f>
        <v>0</v>
      </c>
      <c r="B3379" s="12" t="s">
        <v>455</v>
      </c>
      <c r="C3379" s="1">
        <f>IFERROR(VLOOKUP(1201,'PEDIDO 42'!$C$2:$E$230,3,0),0)</f>
        <v>0</v>
      </c>
      <c r="D3379" s="1">
        <f>IFERROR(VLOOKUP(1202,'PEDIDO 42'!$C$2:$E$230,3,0),0)</f>
        <v>0</v>
      </c>
      <c r="E3379" s="1">
        <f>IFERROR(VLOOKUP(1203,'PEDIDO 42'!$C$2:$E$230,3,0),0)</f>
        <v>0</v>
      </c>
      <c r="F3379" s="1">
        <f>IFERROR(VLOOKUP(1204,'PEDIDO 42'!$C$2:$E$230,3,0),0)</f>
        <v>0</v>
      </c>
      <c r="G3379" s="18">
        <f t="shared" si="100"/>
        <v>0</v>
      </c>
    </row>
    <row r="3380" spans="1:7" ht="15.75" x14ac:dyDescent="0.25">
      <c r="A3380" s="15">
        <f>'PEDIDO 42'!$B$2</f>
        <v>0</v>
      </c>
      <c r="B3380" s="12" t="s">
        <v>456</v>
      </c>
      <c r="C3380" s="1">
        <f>IFERROR(VLOOKUP(1205,'PEDIDO 42'!$C$2:$E$230,3,0),0)</f>
        <v>0</v>
      </c>
      <c r="D3380" s="1">
        <f>IFERROR(VLOOKUP(1206,'PEDIDO 42'!$C$2:$E$230,3,0),0)</f>
        <v>0</v>
      </c>
      <c r="E3380" s="1">
        <f>IFERROR(VLOOKUP(1207,'PEDIDO 42'!$C$2:$E$230,3,0),0)</f>
        <v>0</v>
      </c>
      <c r="F3380" s="1">
        <f>IFERROR(VLOOKUP(1208,'PEDIDO 42'!$C$2:$E$230,3,0),0)</f>
        <v>0</v>
      </c>
      <c r="G3380" s="18">
        <f t="shared" si="100"/>
        <v>0</v>
      </c>
    </row>
    <row r="3381" spans="1:7" ht="15.75" x14ac:dyDescent="0.25">
      <c r="A3381" s="15">
        <f>'PEDIDO 42'!$B$2</f>
        <v>0</v>
      </c>
      <c r="B3381" s="12" t="s">
        <v>457</v>
      </c>
      <c r="C3381" s="1">
        <f>IFERROR(VLOOKUP(1213,'PEDIDO 42'!$C$2:$E$230,3,0),0)</f>
        <v>0</v>
      </c>
      <c r="D3381" s="1">
        <f>IFERROR(VLOOKUP(1214,'PEDIDO 42'!$C$2:$E$230,3,0),0)</f>
        <v>0</v>
      </c>
      <c r="E3381" s="1">
        <f>IFERROR(VLOOKUP(1215,'PEDIDO 42'!$C$2:$E$230,3,0),0)</f>
        <v>0</v>
      </c>
      <c r="F3381" s="10">
        <f>IFERROR(VLOOKUP(1216,'PEDIDO 42'!$C$2:$E$230,3,0),0)</f>
        <v>0</v>
      </c>
      <c r="G3381" s="18">
        <f t="shared" si="100"/>
        <v>0</v>
      </c>
    </row>
    <row r="3382" spans="1:7" ht="15.75" x14ac:dyDescent="0.25">
      <c r="A3382" s="15">
        <f>'PEDIDO 42'!$B$2</f>
        <v>0</v>
      </c>
      <c r="B3382" s="12" t="s">
        <v>458</v>
      </c>
      <c r="C3382" s="1">
        <f>IFERROR(VLOOKUP(1209,'PEDIDO 42'!$C$2:$E$230,3,0),0)</f>
        <v>0</v>
      </c>
      <c r="D3382" s="1">
        <f>IFERROR(VLOOKUP(1210,'PEDIDO 42'!$C$2:$E$230,3,0),0)</f>
        <v>0</v>
      </c>
      <c r="E3382" s="1">
        <f>IFERROR(VLOOKUP(1211,'PEDIDO 42'!$C$2:$E$230,3,0),0)</f>
        <v>0</v>
      </c>
      <c r="F3382" s="1">
        <f>IFERROR(VLOOKUP(1212,'PEDIDO 42'!$C$2:$E$230,3,0),0)</f>
        <v>0</v>
      </c>
      <c r="G3382" s="18">
        <f t="shared" si="100"/>
        <v>0</v>
      </c>
    </row>
    <row r="3383" spans="1:7" ht="15.75" x14ac:dyDescent="0.25">
      <c r="A3383" s="15">
        <f>'PEDIDO 42'!$B$2</f>
        <v>0</v>
      </c>
      <c r="B3383" s="12" t="s">
        <v>459</v>
      </c>
      <c r="C3383" s="1">
        <f>IFERROR(VLOOKUP(1217,'PEDIDO 42'!$C$2:$E$230,3,0),0)</f>
        <v>0</v>
      </c>
      <c r="D3383" s="1">
        <f>IFERROR(VLOOKUP(1218,'PEDIDO 42'!$C$2:$E$230,3,0),0)</f>
        <v>0</v>
      </c>
      <c r="E3383" s="1">
        <f>IFERROR(VLOOKUP(1219,'PEDIDO 42'!$C$2:$E$230,3,0),0)</f>
        <v>0</v>
      </c>
      <c r="F3383" s="1">
        <f>IFERROR(VLOOKUP(1220,'PEDIDO 42'!$C$2:$E$230,3,0),0)</f>
        <v>0</v>
      </c>
      <c r="G3383" s="18">
        <f t="shared" si="100"/>
        <v>0</v>
      </c>
    </row>
    <row r="3384" spans="1:7" ht="15.75" x14ac:dyDescent="0.25">
      <c r="A3384" s="15">
        <f>'PEDIDO 42'!$B$2</f>
        <v>0</v>
      </c>
      <c r="B3384" s="12" t="s">
        <v>461</v>
      </c>
      <c r="C3384" s="1">
        <f>IFERROR(VLOOKUP(1225,'PEDIDO 42'!$C$2:$E$230,3,0),0)</f>
        <v>0</v>
      </c>
      <c r="D3384" s="1">
        <f>IFERROR(VLOOKUP(1226,'PEDIDO 42'!$C$2:$E$230,3,0),0)</f>
        <v>0</v>
      </c>
      <c r="E3384" s="1">
        <f>IFERROR(VLOOKUP(1227,'PEDIDO 42'!$C$2:$E$230,3,0),0)</f>
        <v>0</v>
      </c>
      <c r="F3384" s="1">
        <f>IFERROR(VLOOKUP(1228,'PEDIDO 42'!$C$2:$E$230,3,0),0)</f>
        <v>0</v>
      </c>
      <c r="G3384" s="18">
        <f t="shared" si="100"/>
        <v>0</v>
      </c>
    </row>
    <row r="3385" spans="1:7" ht="15.75" x14ac:dyDescent="0.25">
      <c r="A3385" s="15">
        <f>'PEDIDO 42'!$B$2</f>
        <v>0</v>
      </c>
      <c r="B3385" s="12" t="s">
        <v>462</v>
      </c>
      <c r="C3385" s="1">
        <f>IFERROR(VLOOKUP(1221,'PEDIDO 42'!$C$2:$E$230,3,0),0)</f>
        <v>0</v>
      </c>
      <c r="D3385" s="1">
        <f>IFERROR(VLOOKUP(1222,'PEDIDO 42'!$C$2:$E$230,3,0),0)</f>
        <v>0</v>
      </c>
      <c r="E3385" s="1">
        <f>IFERROR(VLOOKUP(1223,'PEDIDO 42'!$C$2:$E$230,3,0),0)</f>
        <v>0</v>
      </c>
      <c r="F3385" s="1">
        <f>IFERROR(VLOOKUP(1224,'PEDIDO 42'!$C$2:$E$230,3,0),0)</f>
        <v>0</v>
      </c>
      <c r="G3385" s="18">
        <f t="shared" si="100"/>
        <v>0</v>
      </c>
    </row>
    <row r="3386" spans="1:7" ht="15.75" x14ac:dyDescent="0.25">
      <c r="A3386" s="15">
        <f>'PEDIDO 42'!$B$2</f>
        <v>0</v>
      </c>
      <c r="B3386" s="12" t="s">
        <v>460</v>
      </c>
      <c r="C3386" s="1">
        <f>IFERROR(VLOOKUP(1229,'PEDIDO 42'!$C$2:$E$230,3,0),0)</f>
        <v>0</v>
      </c>
      <c r="D3386" s="1">
        <f>IFERROR(VLOOKUP(1230,'PEDIDO 42'!$C$2:$E$230,3,0),0)</f>
        <v>0</v>
      </c>
      <c r="E3386" s="1">
        <f>IFERROR(VLOOKUP(1231,'PEDIDO 42'!$C$2:$E$230,3,0),0)</f>
        <v>0</v>
      </c>
      <c r="F3386" s="1">
        <f>IFERROR(VLOOKUP(1232,'PEDIDO 42'!$C$2:$E$230,3,0),0)</f>
        <v>0</v>
      </c>
      <c r="G3386" s="18">
        <f t="shared" si="100"/>
        <v>0</v>
      </c>
    </row>
    <row r="3387" spans="1:7" ht="15.75" x14ac:dyDescent="0.25">
      <c r="A3387" s="15">
        <f>'PEDIDO 42'!$B$2</f>
        <v>0</v>
      </c>
      <c r="B3387" s="12" t="s">
        <v>463</v>
      </c>
      <c r="C3387" s="1">
        <f>IFERROR(VLOOKUP(1233,'PEDIDO 42'!$C$2:$E$230,3,0),0)</f>
        <v>0</v>
      </c>
      <c r="D3387" s="1">
        <f>IFERROR(VLOOKUP(1234,'PEDIDO 42'!$C$2:$E$230,3,0),0)</f>
        <v>0</v>
      </c>
      <c r="E3387" s="1">
        <f>IFERROR(VLOOKUP(1235,'PEDIDO 42'!$C$2:$E$230,3,0),0)</f>
        <v>0</v>
      </c>
      <c r="F3387" s="1">
        <f>IFERROR(VLOOKUP(1236,'PEDIDO 42'!$C$2:$E$230,3,0),0)</f>
        <v>0</v>
      </c>
      <c r="G3387" s="18">
        <f t="shared" si="100"/>
        <v>0</v>
      </c>
    </row>
    <row r="3388" spans="1:7" ht="15.75" x14ac:dyDescent="0.25">
      <c r="A3388" s="15">
        <f>'PEDIDO 42'!$B$2</f>
        <v>0</v>
      </c>
      <c r="B3388" s="12" t="s">
        <v>464</v>
      </c>
      <c r="C3388" s="1">
        <f>IFERROR(VLOOKUP(1237,'PEDIDO 42'!$C$2:$E$230,3,0),0)</f>
        <v>0</v>
      </c>
      <c r="D3388" s="1">
        <f>IFERROR(VLOOKUP(1238,'PEDIDO 42'!$C$2:$E$230,3,0),0)</f>
        <v>0</v>
      </c>
      <c r="E3388" s="1">
        <f>IFERROR(VLOOKUP(1239,'PEDIDO 42'!$C$2:$E$230,3,0),0)</f>
        <v>0</v>
      </c>
      <c r="F3388" s="1">
        <f>IFERROR(VLOOKUP(1240,'PEDIDO 42'!$C$2:$E$230,3,0),0)</f>
        <v>0</v>
      </c>
      <c r="G3388" s="18">
        <f t="shared" ref="G3388:G3400" si="101">SUM(C3388+D3388+E3388+F3388)</f>
        <v>0</v>
      </c>
    </row>
    <row r="3389" spans="1:7" ht="15.75" x14ac:dyDescent="0.25">
      <c r="A3389" s="15">
        <f>'PEDIDO 42'!$B$2</f>
        <v>0</v>
      </c>
      <c r="B3389" s="12" t="s">
        <v>465</v>
      </c>
      <c r="C3389" s="1">
        <f>IFERROR(VLOOKUP(1241,'PEDIDO 42'!$C$2:$E$230,3,0),0)</f>
        <v>0</v>
      </c>
      <c r="D3389" s="1">
        <f>IFERROR(VLOOKUP(1242,'PEDIDO 42'!$C$2:$E$230,3,0),0)</f>
        <v>0</v>
      </c>
      <c r="E3389" s="1">
        <f>IFERROR(VLOOKUP(1243,'PEDIDO 42'!$C$2:$E$230,3,0),0)</f>
        <v>0</v>
      </c>
      <c r="F3389" s="1">
        <f>IFERROR(VLOOKUP(1244,'PEDIDO 42'!$C$2:$E$230,3,0),0)</f>
        <v>0</v>
      </c>
      <c r="G3389" s="18">
        <f t="shared" si="101"/>
        <v>0</v>
      </c>
    </row>
    <row r="3390" spans="1:7" ht="15.75" x14ac:dyDescent="0.25">
      <c r="A3390" s="15">
        <f>'PEDIDO 42'!$B$2</f>
        <v>0</v>
      </c>
      <c r="B3390" s="12" t="s">
        <v>466</v>
      </c>
      <c r="C3390" s="1">
        <f>IFERROR(VLOOKUP(1245,'PEDIDO 42'!$C$2:$E$230,3,0),0)</f>
        <v>0</v>
      </c>
      <c r="D3390" s="1">
        <f>IFERROR(VLOOKUP(1246,'PEDIDO 42'!$C$2:$E$230,3,0),0)</f>
        <v>0</v>
      </c>
      <c r="E3390" s="1">
        <f>IFERROR(VLOOKUP(1247,'PEDIDO 42'!$C$2:$E$230,3,0),0)</f>
        <v>0</v>
      </c>
      <c r="F3390" s="1">
        <f>IFERROR(VLOOKUP(1248,'PEDIDO 42'!$C$2:$E$230,3,0),0)</f>
        <v>0</v>
      </c>
      <c r="G3390" s="18">
        <f t="shared" si="101"/>
        <v>0</v>
      </c>
    </row>
    <row r="3391" spans="1:7" ht="15.75" x14ac:dyDescent="0.25">
      <c r="A3391" s="15">
        <f>'PEDIDO 42'!$B$2</f>
        <v>0</v>
      </c>
      <c r="B3391" s="12" t="s">
        <v>467</v>
      </c>
      <c r="C3391" s="1">
        <f>IFERROR(VLOOKUP(25714,'PEDIDO 42'!$C$2:$E$230,3,0),0)</f>
        <v>0</v>
      </c>
      <c r="D3391" s="1"/>
      <c r="E3391" s="1"/>
      <c r="F3391" s="1"/>
      <c r="G3391" s="18">
        <f t="shared" si="101"/>
        <v>0</v>
      </c>
    </row>
    <row r="3392" spans="1:7" ht="15.75" x14ac:dyDescent="0.25">
      <c r="A3392" s="15">
        <f>'PEDIDO 42'!$B$2</f>
        <v>0</v>
      </c>
      <c r="B3392" s="12" t="s">
        <v>468</v>
      </c>
      <c r="C3392" s="1">
        <f>IFERROR(VLOOKUP(25712,'PEDIDO 42'!$C$2:$E$230,3,0),0)</f>
        <v>0</v>
      </c>
      <c r="D3392" s="1"/>
      <c r="E3392" s="1"/>
      <c r="F3392" s="1"/>
      <c r="G3392" s="18">
        <f t="shared" si="101"/>
        <v>0</v>
      </c>
    </row>
    <row r="3393" spans="1:7" ht="15.75" x14ac:dyDescent="0.25">
      <c r="A3393" s="15">
        <f>'PEDIDO 42'!$B$2</f>
        <v>0</v>
      </c>
      <c r="B3393" s="12" t="s">
        <v>469</v>
      </c>
      <c r="C3393" s="1">
        <f>IFERROR(VLOOKUP(25713,'PEDIDO 42'!$C$2:$E$230,3,0),0)</f>
        <v>0</v>
      </c>
      <c r="D3393" s="1"/>
      <c r="E3393" s="1"/>
      <c r="F3393" s="1"/>
      <c r="G3393" s="18">
        <f t="shared" si="101"/>
        <v>0</v>
      </c>
    </row>
    <row r="3394" spans="1:7" ht="15.75" x14ac:dyDescent="0.25">
      <c r="A3394" s="15">
        <f>'PEDIDO 42'!$B$2</f>
        <v>0</v>
      </c>
      <c r="B3394" s="12" t="s">
        <v>470</v>
      </c>
      <c r="C3394" s="1">
        <f>IFERROR(VLOOKUP(1260,'PEDIDO 42'!$C$2:$E$230,3,0),0)</f>
        <v>0</v>
      </c>
      <c r="D3394" s="1"/>
      <c r="E3394" s="1"/>
      <c r="F3394" s="1"/>
      <c r="G3394" s="18">
        <f t="shared" si="101"/>
        <v>0</v>
      </c>
    </row>
    <row r="3395" spans="1:7" ht="15.75" x14ac:dyDescent="0.25">
      <c r="A3395" s="15">
        <f>'PEDIDO 42'!$B$2</f>
        <v>0</v>
      </c>
      <c r="B3395" s="12" t="s">
        <v>471</v>
      </c>
      <c r="C3395" s="1">
        <f>IFERROR(VLOOKUP(1261,'PEDIDO 42'!$C$2:$E$230,3,0),0)</f>
        <v>0</v>
      </c>
      <c r="D3395" s="1"/>
      <c r="E3395" s="1"/>
      <c r="F3395" s="1"/>
      <c r="G3395" s="18">
        <f t="shared" si="101"/>
        <v>0</v>
      </c>
    </row>
    <row r="3396" spans="1:7" ht="15.75" x14ac:dyDescent="0.25">
      <c r="A3396" s="15">
        <f>'PEDIDO 42'!$B$2</f>
        <v>0</v>
      </c>
      <c r="B3396" s="12" t="s">
        <v>472</v>
      </c>
      <c r="C3396" s="1">
        <f>IFERROR(VLOOKUP(1262,'PEDIDO 42'!$C$2:$E$230,3,0),0)</f>
        <v>0</v>
      </c>
      <c r="D3396" s="1"/>
      <c r="E3396" s="1"/>
      <c r="F3396" s="1"/>
      <c r="G3396" s="18">
        <f t="shared" si="101"/>
        <v>0</v>
      </c>
    </row>
    <row r="3397" spans="1:7" ht="15.75" x14ac:dyDescent="0.25">
      <c r="A3397" s="15">
        <f>'PEDIDO 42'!$B$2</f>
        <v>0</v>
      </c>
      <c r="B3397" s="12" t="s">
        <v>473</v>
      </c>
      <c r="C3397" s="1">
        <f>IFERROR(VLOOKUP(1263,'PEDIDO 42'!$C$2:$E$230,3,0),0)</f>
        <v>0</v>
      </c>
      <c r="D3397" s="1"/>
      <c r="E3397" s="1"/>
      <c r="F3397" s="1"/>
      <c r="G3397" s="18">
        <f t="shared" si="101"/>
        <v>0</v>
      </c>
    </row>
    <row r="3398" spans="1:7" ht="15.75" x14ac:dyDescent="0.25">
      <c r="A3398" s="15">
        <f>'PEDIDO 42'!$B$2</f>
        <v>0</v>
      </c>
      <c r="B3398" s="12" t="s">
        <v>474</v>
      </c>
      <c r="C3398" s="1">
        <f>IFERROR(VLOOKUP(1264,'PEDIDO 42'!$C$2:$E$230,3,0),0)</f>
        <v>0</v>
      </c>
      <c r="D3398" s="1"/>
      <c r="E3398" s="1"/>
      <c r="F3398" s="1"/>
      <c r="G3398" s="18">
        <f t="shared" si="101"/>
        <v>0</v>
      </c>
    </row>
    <row r="3399" spans="1:7" ht="15.75" x14ac:dyDescent="0.25">
      <c r="A3399" s="15">
        <f>'PEDIDO 42'!$B$2</f>
        <v>0</v>
      </c>
      <c r="B3399" s="12" t="s">
        <v>475</v>
      </c>
      <c r="C3399" s="1">
        <f>IFERROR(VLOOKUP(1265,'PEDIDO 42'!$C$2:$E$230,3,0),0)</f>
        <v>0</v>
      </c>
      <c r="D3399" s="1"/>
      <c r="E3399" s="1"/>
      <c r="F3399" s="1"/>
      <c r="G3399" s="18">
        <f t="shared" si="101"/>
        <v>0</v>
      </c>
    </row>
    <row r="3400" spans="1:7" ht="15.75" x14ac:dyDescent="0.25">
      <c r="A3400" s="15">
        <f>'PEDIDO 42'!$B$2</f>
        <v>0</v>
      </c>
      <c r="B3400" s="12" t="s">
        <v>476</v>
      </c>
      <c r="C3400" s="1">
        <f>IFERROR(VLOOKUP(1266,'PEDIDO 42'!$C$2:$E$230,3,0),0)</f>
        <v>0</v>
      </c>
      <c r="D3400" s="1"/>
      <c r="E3400" s="1"/>
      <c r="F3400" s="1"/>
      <c r="G3400" s="18">
        <f t="shared" si="101"/>
        <v>0</v>
      </c>
    </row>
    <row r="3401" spans="1:7" ht="15.75" x14ac:dyDescent="0.25">
      <c r="A3401" s="15">
        <f>'PEDIDO 42'!$B$2</f>
        <v>0</v>
      </c>
      <c r="B3401" s="12" t="s">
        <v>477</v>
      </c>
      <c r="C3401" s="1">
        <f>IFERROR(VLOOKUP(1268,'PEDIDO 42'!$C$2:$E$230,3,0),0)</f>
        <v>0</v>
      </c>
      <c r="D3401" s="1">
        <f>IFERROR(VLOOKUP(1269,'PEDIDO 42'!$C$2:$E$230,3,0),0)</f>
        <v>0</v>
      </c>
      <c r="E3401" s="1">
        <f>IFERROR(VLOOKUP(1270,'PEDIDO 42'!$C$2:$E$230,3,0),0)</f>
        <v>0</v>
      </c>
      <c r="F3401" s="1">
        <f>IFERROR(VLOOKUP(1271,'PEDIDO 42'!$C$2:$E$230,3,0),0)</f>
        <v>0</v>
      </c>
      <c r="G3401" s="18">
        <f t="shared" ref="G3401" si="102">SUM(C3401+D3401+E3401+F3401)</f>
        <v>0</v>
      </c>
    </row>
    <row r="3404" spans="1:7" ht="15.75" x14ac:dyDescent="0.25">
      <c r="A3404" s="15">
        <f>'PEDIDO 43'!$B$2</f>
        <v>0</v>
      </c>
      <c r="B3404" s="12" t="s">
        <v>399</v>
      </c>
      <c r="C3404" s="1">
        <f>IFERROR(VLOOKUP(1,'PEDIDO 43'!$C$2:$E$230,3,0),0)</f>
        <v>0</v>
      </c>
      <c r="D3404" s="1">
        <f>IFERROR(VLOOKUP(2,'PEDIDO 43'!$C$2:$E$230,3,0),0)</f>
        <v>0</v>
      </c>
      <c r="E3404" s="1">
        <f>IFERROR(VLOOKUP(3,'PEDIDO 43'!$C$2:$E$230,3,0),0)</f>
        <v>0</v>
      </c>
      <c r="F3404" s="1">
        <f>IFERROR(VLOOKUP(282,'PEDIDO 43'!$C$2:$E$230,3,0),0)</f>
        <v>0</v>
      </c>
      <c r="G3404" s="18">
        <f>SUM(C3404+D3404+E3404+F3404)</f>
        <v>0</v>
      </c>
    </row>
    <row r="3405" spans="1:7" ht="15.75" x14ac:dyDescent="0.25">
      <c r="A3405" s="15">
        <f>'PEDIDO 43'!$B$2</f>
        <v>0</v>
      </c>
      <c r="B3405" s="12" t="s">
        <v>400</v>
      </c>
      <c r="C3405" s="1">
        <f>IFERROR(VLOOKUP(5,'PEDIDO 43'!$C$2:$E$230,3,0),0)</f>
        <v>0</v>
      </c>
      <c r="D3405" s="1">
        <f>IFERROR(VLOOKUP(6,'PEDIDO 43'!$C$2:$E$230,3,0),0)</f>
        <v>0</v>
      </c>
      <c r="E3405" s="1">
        <f>IFERROR(VLOOKUP(7,'PEDIDO 43'!$C$2:$E$230,3,0),0)</f>
        <v>0</v>
      </c>
      <c r="F3405" s="1">
        <f>IFERROR(VLOOKUP(258,'PEDIDO 43'!$C$2:$E$230,3,0),0)</f>
        <v>0</v>
      </c>
      <c r="G3405" s="18">
        <f t="shared" ref="G3405:G3468" si="103">SUM(C3405+D3405+E3405+F3405)</f>
        <v>0</v>
      </c>
    </row>
    <row r="3406" spans="1:7" ht="15.75" x14ac:dyDescent="0.25">
      <c r="A3406" s="15">
        <f>'PEDIDO 43'!$B$2</f>
        <v>0</v>
      </c>
      <c r="B3406" s="12" t="s">
        <v>401</v>
      </c>
      <c r="C3406" s="1">
        <f>IFERROR(VLOOKUP(13,'PEDIDO 43'!$C$2:$E$230,3,0),0)</f>
        <v>0</v>
      </c>
      <c r="D3406" s="1">
        <f>IFERROR(VLOOKUP(14,'PEDIDO 43'!$C$2:$E$230,3,0),0)</f>
        <v>0</v>
      </c>
      <c r="E3406" s="1">
        <f>IFERROR(VLOOKUP(15,'PEDIDO 43'!$C$2:$E$230,3,0),0)</f>
        <v>0</v>
      </c>
      <c r="F3406" s="1">
        <f>IFERROR(VLOOKUP(289,'PEDIDO 43'!$C$2:$E$230,3,0),0)</f>
        <v>0</v>
      </c>
      <c r="G3406" s="18">
        <f t="shared" si="103"/>
        <v>0</v>
      </c>
    </row>
    <row r="3407" spans="1:7" ht="15.75" x14ac:dyDescent="0.25">
      <c r="A3407" s="15">
        <f>'PEDIDO 43'!$B$2</f>
        <v>0</v>
      </c>
      <c r="B3407" s="12" t="s">
        <v>402</v>
      </c>
      <c r="C3407" s="1">
        <f>IFERROR(VLOOKUP(267,'PEDIDO 43'!$C$2:$E$230,3,0),0)</f>
        <v>0</v>
      </c>
      <c r="D3407" s="1">
        <f>IFERROR(VLOOKUP(268,'PEDIDO 43'!$C$2:$E$230,3,0),0)</f>
        <v>0</v>
      </c>
      <c r="E3407" s="1">
        <f>IFERROR(VLOOKUP(270,'PEDIDO 43'!$C$2:$E$230,3,0),0)</f>
        <v>0</v>
      </c>
      <c r="F3407" s="1">
        <f>IFERROR(VLOOKUP(269,'PEDIDO 43'!$C$2:$E$230,3,0),0)</f>
        <v>0</v>
      </c>
      <c r="G3407" s="18">
        <f t="shared" si="103"/>
        <v>0</v>
      </c>
    </row>
    <row r="3408" spans="1:7" ht="15.75" x14ac:dyDescent="0.25">
      <c r="A3408" s="15">
        <f>'PEDIDO 43'!$B$2</f>
        <v>0</v>
      </c>
      <c r="B3408" s="12" t="s">
        <v>403</v>
      </c>
      <c r="C3408" s="1">
        <f>IFERROR(VLOOKUP(17,'PEDIDO 43'!$C$2:$E$230,3,0),0)</f>
        <v>0</v>
      </c>
      <c r="D3408" s="1">
        <f>IFERROR(VLOOKUP(18,'PEDIDO 43'!$C$2:$E$230,3,0),0)</f>
        <v>0</v>
      </c>
      <c r="E3408" s="1">
        <f>IFERROR(VLOOKUP(19,'PEDIDO 43'!$C$2:$E$230,3,0),0)</f>
        <v>0</v>
      </c>
      <c r="F3408" s="1">
        <f>IFERROR(VLOOKUP(290,'PEDIDO 43'!$C$2:$E$230,3,0),0)</f>
        <v>0</v>
      </c>
      <c r="G3408" s="18">
        <f t="shared" si="103"/>
        <v>0</v>
      </c>
    </row>
    <row r="3409" spans="1:7" ht="15.75" x14ac:dyDescent="0.25">
      <c r="A3409" s="15">
        <f>'PEDIDO 43'!$B$2</f>
        <v>0</v>
      </c>
      <c r="B3409" s="12" t="s">
        <v>404</v>
      </c>
      <c r="C3409" s="1">
        <f>IFERROR(VLOOKUP(23,'PEDIDO 43'!$C$2:$E$230,3,0),0)</f>
        <v>0</v>
      </c>
      <c r="D3409" s="1">
        <f>IFERROR(VLOOKUP(24,'PEDIDO 43'!$C$2:$E$230,3,0),0)</f>
        <v>0</v>
      </c>
      <c r="E3409" s="1">
        <f>IFERROR(VLOOKUP(25,'PEDIDO 43'!$C$2:$E$230,3,0),0)</f>
        <v>0</v>
      </c>
      <c r="F3409" s="1">
        <f>IFERROR(VLOOKUP(291,'PEDIDO 43'!$C$2:$E$230,3,0),0)</f>
        <v>0</v>
      </c>
      <c r="G3409" s="18">
        <f t="shared" si="103"/>
        <v>0</v>
      </c>
    </row>
    <row r="3410" spans="1:7" ht="15.75" x14ac:dyDescent="0.25">
      <c r="A3410" s="15">
        <f>'PEDIDO 43'!$B$2</f>
        <v>0</v>
      </c>
      <c r="B3410" s="12" t="s">
        <v>405</v>
      </c>
      <c r="C3410" s="1">
        <f>IFERROR(VLOOKUP(27,'PEDIDO 43'!$C$2:$E$230,3,0),0)</f>
        <v>0</v>
      </c>
      <c r="D3410" s="1">
        <f>IFERROR(VLOOKUP(28,'PEDIDO 43'!$C$2:$E$230,3,0),0)</f>
        <v>0</v>
      </c>
      <c r="E3410" s="1">
        <f>IFERROR(VLOOKUP(29,'PEDIDO 43'!$C$2:$E$230,3,0),0)</f>
        <v>0</v>
      </c>
      <c r="F3410" s="1">
        <f>IFERROR(VLOOKUP(292,'PEDIDO 43'!$C$2:$E$230,3,0),0)</f>
        <v>0</v>
      </c>
      <c r="G3410" s="18">
        <f t="shared" si="103"/>
        <v>0</v>
      </c>
    </row>
    <row r="3411" spans="1:7" ht="15.75" x14ac:dyDescent="0.25">
      <c r="A3411" s="15">
        <f>'PEDIDO 43'!$B$2</f>
        <v>0</v>
      </c>
      <c r="B3411" s="12" t="s">
        <v>406</v>
      </c>
      <c r="C3411" s="1">
        <f>IFERROR(VLOOKUP(227,'PEDIDO 43'!$C$2:$E$230,3,0),0)</f>
        <v>0</v>
      </c>
      <c r="D3411" s="1">
        <f>IFERROR(VLOOKUP(228,'PEDIDO 43'!$C$2:$E$230,3,0),0)</f>
        <v>0</v>
      </c>
      <c r="E3411" s="1">
        <f>IFERROR(VLOOKUP(229,'PEDIDO 43'!$C$2:$E$230,3,0),0)</f>
        <v>0</v>
      </c>
      <c r="F3411" s="1">
        <f>IFERROR(VLOOKUP(230,'PEDIDO 43'!$C$2:$E$230,3,0),0)</f>
        <v>0</v>
      </c>
      <c r="G3411" s="18">
        <f t="shared" si="103"/>
        <v>0</v>
      </c>
    </row>
    <row r="3412" spans="1:7" ht="15.75" x14ac:dyDescent="0.25">
      <c r="A3412" s="15">
        <f>'PEDIDO 43'!$B$2</f>
        <v>0</v>
      </c>
      <c r="B3412" s="12" t="s">
        <v>407</v>
      </c>
      <c r="C3412" s="1">
        <f>IFERROR(VLOOKUP(231,'PEDIDO 43'!$C$2:$E$230,3,0),0)</f>
        <v>0</v>
      </c>
      <c r="D3412" s="1">
        <f>IFERROR(VLOOKUP(232,'PEDIDO 43'!$C$2:$E$230,3,0),0)</f>
        <v>0</v>
      </c>
      <c r="E3412" s="1">
        <f>IFERROR(VLOOKUP(234,'PEDIDO 43'!$C$2:$E$230,3,0),0)</f>
        <v>0</v>
      </c>
      <c r="F3412" s="1">
        <f>IFERROR(VLOOKUP(233,'PEDIDO 43'!$C$2:$E$230,3,0),0)</f>
        <v>0</v>
      </c>
      <c r="G3412" s="18">
        <f t="shared" si="103"/>
        <v>0</v>
      </c>
    </row>
    <row r="3413" spans="1:7" ht="15.75" x14ac:dyDescent="0.25">
      <c r="A3413" s="15">
        <f>'PEDIDO 43'!$B$2</f>
        <v>0</v>
      </c>
      <c r="B3413" s="12" t="s">
        <v>408</v>
      </c>
      <c r="C3413" s="1">
        <f>IFERROR(VLOOKUP(237,'PEDIDO 43'!$C$2:$E$230,3,0),0)</f>
        <v>0</v>
      </c>
      <c r="D3413" s="1">
        <f>IFERROR(VLOOKUP(238,'PEDIDO 43'!$C$2:$E$230,3,0),0)</f>
        <v>0</v>
      </c>
      <c r="E3413" s="1">
        <f>IFERROR(VLOOKUP(240,'PEDIDO 43'!$C$2:$E$230,3,0),0)</f>
        <v>0</v>
      </c>
      <c r="F3413" s="1">
        <f>IFERROR(VLOOKUP(239,'PEDIDO 43'!$C$2:$E$230,3,0),0)</f>
        <v>0</v>
      </c>
      <c r="G3413" s="18">
        <f t="shared" si="103"/>
        <v>0</v>
      </c>
    </row>
    <row r="3414" spans="1:7" ht="15.75" x14ac:dyDescent="0.25">
      <c r="A3414" s="15">
        <f>'PEDIDO 43'!$B$2</f>
        <v>0</v>
      </c>
      <c r="B3414" s="12" t="s">
        <v>409</v>
      </c>
      <c r="C3414" s="1">
        <f>IFERROR(VLOOKUP(25707,'PEDIDO 43'!$C$2:$E$230,3,0),0)</f>
        <v>0</v>
      </c>
      <c r="D3414" s="1">
        <f>IFERROR(VLOOKUP(25708,'PEDIDO 43'!$C$2:$E$230,3,0),0)</f>
        <v>0</v>
      </c>
      <c r="E3414" s="1">
        <f>IFERROR(VLOOKUP(25710,'PEDIDO 43'!$C$2:$E$230,3,0),0)</f>
        <v>0</v>
      </c>
      <c r="F3414" s="1">
        <f>IFERROR(VLOOKUP(25709,'PEDIDO 43'!$C$2:$E$230,3,0),0)</f>
        <v>0</v>
      </c>
      <c r="G3414" s="18">
        <f t="shared" si="103"/>
        <v>0</v>
      </c>
    </row>
    <row r="3415" spans="1:7" ht="15.75" x14ac:dyDescent="0.25">
      <c r="A3415" s="15">
        <f>'PEDIDO 43'!$B$2</f>
        <v>0</v>
      </c>
      <c r="B3415" s="12" t="s">
        <v>410</v>
      </c>
      <c r="C3415" s="1">
        <f>IFERROR(VLOOKUP(25711,'PEDIDO 43'!$C$2:$E$230,3,0),0)</f>
        <v>0</v>
      </c>
      <c r="D3415" s="1"/>
      <c r="E3415" s="1"/>
      <c r="F3415" s="1"/>
      <c r="G3415" s="18">
        <f t="shared" si="103"/>
        <v>0</v>
      </c>
    </row>
    <row r="3416" spans="1:7" ht="15.75" x14ac:dyDescent="0.25">
      <c r="A3416" s="15">
        <f>'PEDIDO 43'!$B$2</f>
        <v>0</v>
      </c>
      <c r="B3416" s="12" t="s">
        <v>411</v>
      </c>
      <c r="C3416" s="1">
        <f>IFERROR(VLOOKUP(35,'PEDIDO 43'!$C$2:$E$230,3,0),0)</f>
        <v>0</v>
      </c>
      <c r="D3416" s="1">
        <f>IFERROR(VLOOKUP(36,'PEDIDO 43'!$C$2:$E$230,3,0),0)</f>
        <v>0</v>
      </c>
      <c r="E3416" s="1">
        <f>IFERROR(VLOOKUP(37,'PEDIDO 43'!$C$2:$E$230,3,0),0)</f>
        <v>0</v>
      </c>
      <c r="F3416" s="1">
        <f>IFERROR(VLOOKUP(294,'PEDIDO 43'!$C$2:$E$230,3,0),0)</f>
        <v>0</v>
      </c>
      <c r="G3416" s="18">
        <f t="shared" si="103"/>
        <v>0</v>
      </c>
    </row>
    <row r="3417" spans="1:7" ht="15.75" x14ac:dyDescent="0.25">
      <c r="A3417" s="15">
        <f>'PEDIDO 43'!$B$2</f>
        <v>0</v>
      </c>
      <c r="B3417" s="12" t="s">
        <v>412</v>
      </c>
      <c r="C3417" s="1">
        <f>IFERROR(VLOOKUP(39,'PEDIDO 43'!$C$2:$E$230,3,0),0)</f>
        <v>0</v>
      </c>
      <c r="D3417" s="1">
        <f>IFERROR(VLOOKUP(40,'PEDIDO 43'!$C$2:$E$230,3,0),0)</f>
        <v>0</v>
      </c>
      <c r="E3417" s="1">
        <f>IFERROR(VLOOKUP(42,'PEDIDO 43'!$C$2:$E$230,3,0),0)</f>
        <v>0</v>
      </c>
      <c r="F3417" s="1">
        <f>IFERROR(VLOOKUP(295,'PEDIDO 43'!$C$2:$E$230,3,0),0)</f>
        <v>0</v>
      </c>
      <c r="G3417" s="18">
        <f t="shared" si="103"/>
        <v>0</v>
      </c>
    </row>
    <row r="3418" spans="1:7" ht="15.75" x14ac:dyDescent="0.25">
      <c r="A3418" s="15">
        <f>'PEDIDO 43'!$B$2</f>
        <v>0</v>
      </c>
      <c r="B3418" s="12" t="s">
        <v>413</v>
      </c>
      <c r="C3418" s="1">
        <f>IFERROR(VLOOKUP(44,'PEDIDO 43'!$C$2:$E$230,3,0),0)</f>
        <v>0</v>
      </c>
      <c r="D3418" s="1">
        <f>IFERROR(VLOOKUP(45,'PEDIDO 43'!$C$2:$E$230,3,0),0)</f>
        <v>0</v>
      </c>
      <c r="E3418" s="1">
        <f>IFERROR(VLOOKUP(46,'PEDIDO 43'!$C$2:$E$230,3,0),0)</f>
        <v>0</v>
      </c>
      <c r="F3418" s="1">
        <f>IFERROR(VLOOKUP(283,'PEDIDO 43'!$C$2:$E$230,3,0),0)</f>
        <v>0</v>
      </c>
      <c r="G3418" s="18">
        <f t="shared" si="103"/>
        <v>0</v>
      </c>
    </row>
    <row r="3419" spans="1:7" ht="15.75" x14ac:dyDescent="0.25">
      <c r="A3419" s="15">
        <f>'PEDIDO 43'!$B$2</f>
        <v>0</v>
      </c>
      <c r="B3419" s="12" t="s">
        <v>414</v>
      </c>
      <c r="C3419" s="1">
        <f>IFERROR(VLOOKUP(48,'PEDIDO 43'!$C$2:$E$230,3,0),0)</f>
        <v>0</v>
      </c>
      <c r="D3419" s="1">
        <f>IFERROR(VLOOKUP(49,'PEDIDO 43'!$C$2:$E$230,3,0),0)</f>
        <v>0</v>
      </c>
      <c r="E3419" s="1">
        <f>IFERROR(VLOOKUP(50,'PEDIDO 43'!$C$2:$E$230,3,0),0)</f>
        <v>0</v>
      </c>
      <c r="F3419" s="1">
        <f>IFERROR(VLOOKUP(298,'PEDIDO 43'!$C$2:$E$230,3,0),0)</f>
        <v>0</v>
      </c>
      <c r="G3419" s="18">
        <f t="shared" si="103"/>
        <v>0</v>
      </c>
    </row>
    <row r="3420" spans="1:7" ht="15.75" x14ac:dyDescent="0.25">
      <c r="A3420" s="15">
        <f>'PEDIDO 43'!$B$2</f>
        <v>0</v>
      </c>
      <c r="B3420" s="12" t="s">
        <v>415</v>
      </c>
      <c r="C3420" s="1">
        <f>IFERROR(VLOOKUP(52,'PEDIDO 43'!$C$2:$E$230,3,0),0)</f>
        <v>0</v>
      </c>
      <c r="D3420" s="1">
        <f>IFERROR(VLOOKUP(53,'PEDIDO 43'!$C$2:$E$230,3,0),0)</f>
        <v>0</v>
      </c>
      <c r="E3420" s="1">
        <f>IFERROR(VLOOKUP(54,'PEDIDO 43'!$C$2:$E$230,3,0),0)</f>
        <v>0</v>
      </c>
      <c r="F3420" s="1">
        <f>IFERROR(VLOOKUP(299,'PEDIDO 43'!$C$2:$E$230,3,0),0)</f>
        <v>0</v>
      </c>
      <c r="G3420" s="18">
        <f t="shared" si="103"/>
        <v>0</v>
      </c>
    </row>
    <row r="3421" spans="1:7" ht="15.75" x14ac:dyDescent="0.25">
      <c r="A3421" s="15">
        <f>'PEDIDO 43'!$B$2</f>
        <v>0</v>
      </c>
      <c r="B3421" s="12" t="s">
        <v>416</v>
      </c>
      <c r="C3421" s="1">
        <f>IFERROR(VLOOKUP(56,'PEDIDO 43'!$C$2:$E$230,3,0),0)</f>
        <v>0</v>
      </c>
      <c r="D3421" s="1">
        <f>IFERROR(VLOOKUP(61,'PEDIDO 43'!$C$2:$E$230,3,0),0)</f>
        <v>0</v>
      </c>
      <c r="E3421" s="1">
        <f>IFERROR(VLOOKUP(58,'PEDIDO 43'!$C$2:$E$230,3,0),0)</f>
        <v>0</v>
      </c>
      <c r="F3421" s="1">
        <f>IFERROR(VLOOKUP(300,'PEDIDO 43'!$C$2:$E$230,3,0),0)</f>
        <v>0</v>
      </c>
      <c r="G3421" s="18">
        <f t="shared" si="103"/>
        <v>0</v>
      </c>
    </row>
    <row r="3422" spans="1:7" ht="15.75" x14ac:dyDescent="0.25">
      <c r="A3422" s="15">
        <f>'PEDIDO 43'!$B$2</f>
        <v>0</v>
      </c>
      <c r="B3422" s="12" t="s">
        <v>417</v>
      </c>
      <c r="C3422" s="1">
        <f>IFERROR(VLOOKUP(60,'PEDIDO 43'!$C$2:$E$230,3,0),0)</f>
        <v>0</v>
      </c>
      <c r="D3422" s="1">
        <f>IFERROR(VLOOKUP(120,'PEDIDO 43'!$C$2:$E$230,3,0),0)</f>
        <v>0</v>
      </c>
      <c r="E3422" s="1">
        <f>IFERROR(VLOOKUP(62,'PEDIDO 43'!$C$2:$E$230,3,0),0)</f>
        <v>0</v>
      </c>
      <c r="F3422" s="1">
        <f>IFERROR(VLOOKUP(301,'PEDIDO 43'!$C$2:$E$230,3,0),0)</f>
        <v>0</v>
      </c>
      <c r="G3422" s="18">
        <f t="shared" si="103"/>
        <v>0</v>
      </c>
    </row>
    <row r="3423" spans="1:7" ht="15.75" x14ac:dyDescent="0.25">
      <c r="A3423" s="15">
        <f>'PEDIDO 43'!$B$2</f>
        <v>0</v>
      </c>
      <c r="B3423" s="12" t="s">
        <v>426</v>
      </c>
      <c r="C3423" s="1">
        <f>IFERROR(VLOOKUP(112,'PEDIDO 43'!$C$2:$E$230,3,0),0)</f>
        <v>0</v>
      </c>
      <c r="D3423" s="1">
        <f>IFERROR(VLOOKUP(113,'PEDIDO 43'!$C$2:$E$230,3,0),0)</f>
        <v>0</v>
      </c>
      <c r="E3423" s="1">
        <f>IFERROR(VLOOKUP(114,'PEDIDO 43'!$C$2:$E$230,3,0),0)</f>
        <v>0</v>
      </c>
      <c r="F3423" s="1">
        <f>IFERROR(VLOOKUP(296,'PEDIDO 43'!$C$2:$E$230,3,0),0)</f>
        <v>0</v>
      </c>
      <c r="G3423" s="18">
        <f t="shared" si="103"/>
        <v>0</v>
      </c>
    </row>
    <row r="3424" spans="1:7" ht="15.75" x14ac:dyDescent="0.25">
      <c r="A3424" s="15">
        <f>'PEDIDO 43'!$B$2</f>
        <v>0</v>
      </c>
      <c r="B3424" s="12" t="s">
        <v>427</v>
      </c>
      <c r="C3424" s="1">
        <f>IFERROR(VLOOKUP(116,'PEDIDO 43'!$C$2:$E$230,3,0),0)</f>
        <v>0</v>
      </c>
      <c r="D3424" s="1">
        <f>IFERROR(VLOOKUP(117,'PEDIDO 43'!$C$2:$E$230,3,0),0)</f>
        <v>0</v>
      </c>
      <c r="E3424" s="1">
        <f>IFERROR(VLOOKUP(118,'PEDIDO 43'!$C$2:$E$230,3,0),0)</f>
        <v>0</v>
      </c>
      <c r="F3424" s="1">
        <f>IFERROR(VLOOKUP(293,'PEDIDO 43'!$C$2:$E$230,3,0),0)</f>
        <v>0</v>
      </c>
      <c r="G3424" s="18">
        <f t="shared" si="103"/>
        <v>0</v>
      </c>
    </row>
    <row r="3425" spans="1:7" ht="15.75" x14ac:dyDescent="0.25">
      <c r="A3425" s="15">
        <f>'PEDIDO 43'!$B$2</f>
        <v>0</v>
      </c>
      <c r="B3425" s="12" t="s">
        <v>418</v>
      </c>
      <c r="C3425" s="1">
        <f>IFERROR(VLOOKUP(963,'PEDIDO 43'!$C$2:$E$230,3,0),0)</f>
        <v>0</v>
      </c>
      <c r="D3425" s="1">
        <f>IFERROR(VLOOKUP(965,'PEDIDO 43'!$C$2:$E$230,3,0),0)</f>
        <v>0</v>
      </c>
      <c r="E3425" s="1">
        <f>IFERROR(VLOOKUP(966,'PEDIDO 43'!$C$2:$E$230,3,0),0)</f>
        <v>0</v>
      </c>
      <c r="F3425" s="1">
        <f>IFERROR(VLOOKUP(964,'PEDIDO 43'!$C$2:$E$230,3,0),0)</f>
        <v>0</v>
      </c>
      <c r="G3425" s="18">
        <f t="shared" si="103"/>
        <v>0</v>
      </c>
    </row>
    <row r="3426" spans="1:7" ht="15.75" x14ac:dyDescent="0.25">
      <c r="A3426" s="15">
        <f>'PEDIDO 43'!$B$2</f>
        <v>0</v>
      </c>
      <c r="B3426" s="12" t="s">
        <v>419</v>
      </c>
      <c r="C3426" s="1">
        <f>IFERROR(VLOOKUP(2042,'PEDIDO 43'!$C$2:$E$230,3,0),0)</f>
        <v>0</v>
      </c>
      <c r="D3426" s="1">
        <f>IFERROR(VLOOKUP(2041,'PEDIDO 43'!$C$2:$E$230,3,0),0)</f>
        <v>0</v>
      </c>
      <c r="E3426" s="1">
        <f>IFERROR(VLOOKUP(2043,'PEDIDO 43'!$C$2:$E$230,3,0),0)</f>
        <v>0</v>
      </c>
      <c r="F3426" s="1">
        <f>IFERROR(VLOOKUP(2040,'PEDIDO 43'!$C$2:$E$230,3,0),0)</f>
        <v>0</v>
      </c>
      <c r="G3426" s="18">
        <f t="shared" si="103"/>
        <v>0</v>
      </c>
    </row>
    <row r="3427" spans="1:7" ht="15.75" x14ac:dyDescent="0.25">
      <c r="A3427" s="15">
        <f>'PEDIDO 43'!$B$2</f>
        <v>0</v>
      </c>
      <c r="B3427" s="12" t="s">
        <v>420</v>
      </c>
      <c r="C3427" s="1">
        <f>IFERROR(VLOOKUP(2045,'PEDIDO 43'!$C$2:$E$230,3,0),0)</f>
        <v>0</v>
      </c>
      <c r="D3427" s="1">
        <f>IFERROR(VLOOKUP(2046,'PEDIDO 43'!$C$2:$E$230,3,0),0)</f>
        <v>0</v>
      </c>
      <c r="E3427" s="1">
        <f>IFERROR(VLOOKUP(2047,'PEDIDO 43'!$C$2:$E$230,3,0),0)</f>
        <v>0</v>
      </c>
      <c r="F3427" s="1">
        <f>IFERROR(VLOOKUP(2048,'PEDIDO 43'!$C$2:$E$230,3,0),0)</f>
        <v>0</v>
      </c>
      <c r="G3427" s="18">
        <f t="shared" si="103"/>
        <v>0</v>
      </c>
    </row>
    <row r="3428" spans="1:7" ht="15.75" x14ac:dyDescent="0.25">
      <c r="A3428" s="15">
        <f>'PEDIDO 43'!$B$2</f>
        <v>0</v>
      </c>
      <c r="B3428" s="12" t="s">
        <v>421</v>
      </c>
      <c r="C3428" s="1">
        <f>IFERROR(VLOOKUP(2050,'PEDIDO 43'!$C$2:$E$230,3,0),0)</f>
        <v>0</v>
      </c>
      <c r="D3428" s="1">
        <f>IFERROR(VLOOKUP(2051,'PEDIDO 43'!$C$2:$E$230,3,0),0)</f>
        <v>0</v>
      </c>
      <c r="E3428" s="1">
        <f>IFERROR(VLOOKUP(2052,'PEDIDO 43'!$C$2:$E$230,3,0),0)</f>
        <v>0</v>
      </c>
      <c r="F3428" s="1">
        <f>IFERROR(VLOOKUP(2053,'PEDIDO 43'!$C$2:$E$230,3,0),0)</f>
        <v>0</v>
      </c>
      <c r="G3428" s="18">
        <f t="shared" si="103"/>
        <v>0</v>
      </c>
    </row>
    <row r="3429" spans="1:7" ht="15.75" x14ac:dyDescent="0.25">
      <c r="A3429" s="15">
        <f>'PEDIDO 43'!$B$2</f>
        <v>0</v>
      </c>
      <c r="B3429" s="12" t="s">
        <v>422</v>
      </c>
      <c r="C3429" s="1">
        <f>IFERROR(VLOOKUP(216,'PEDIDO 43'!$C$2:$E$230,3,0),0)</f>
        <v>0</v>
      </c>
      <c r="D3429" s="1">
        <f>IFERROR(VLOOKUP(217,'PEDIDO 43'!$C$2:$E$230,3,0),0)</f>
        <v>0</v>
      </c>
      <c r="E3429" s="1">
        <f>IFERROR(VLOOKUP(218,'PEDIDO 43'!$C$2:$E$230,3,0),0)</f>
        <v>0</v>
      </c>
      <c r="F3429" s="1">
        <f>IFERROR(VLOOKUP(305,'PEDIDO 43'!$C$2:$E$230,3,0),0)</f>
        <v>0</v>
      </c>
      <c r="G3429" s="18">
        <f t="shared" si="103"/>
        <v>0</v>
      </c>
    </row>
    <row r="3430" spans="1:7" ht="15.75" x14ac:dyDescent="0.25">
      <c r="A3430" s="15">
        <f>'PEDIDO 43'!$B$2</f>
        <v>0</v>
      </c>
      <c r="B3430" s="12" t="s">
        <v>423</v>
      </c>
      <c r="C3430" s="1">
        <f>IFERROR(VLOOKUP(100,'PEDIDO 43'!$C$2:$E$230,3,0),0)</f>
        <v>0</v>
      </c>
      <c r="D3430" s="1">
        <f>IFERROR(VLOOKUP(101,'PEDIDO 43'!$C$2:$E$230,3,0),0)</f>
        <v>0</v>
      </c>
      <c r="E3430" s="1">
        <f>IFERROR(VLOOKUP(102,'PEDIDO 43'!$C$2:$E$230,3,0),0)</f>
        <v>0</v>
      </c>
      <c r="F3430" s="1">
        <f>IFERROR(VLOOKUP(306,'PEDIDO 43'!$C$2:$E$230,3,0),0)</f>
        <v>0</v>
      </c>
      <c r="G3430" s="18">
        <f t="shared" si="103"/>
        <v>0</v>
      </c>
    </row>
    <row r="3431" spans="1:7" ht="15.75" x14ac:dyDescent="0.25">
      <c r="A3431" s="15">
        <f>'PEDIDO 43'!$B$2</f>
        <v>0</v>
      </c>
      <c r="B3431" s="12" t="s">
        <v>424</v>
      </c>
      <c r="C3431" s="1">
        <f>IFERROR(VLOOKUP(104,'PEDIDO 43'!$C$2:$E$230,3,0),0)</f>
        <v>0</v>
      </c>
      <c r="D3431" s="1">
        <f>IFERROR(VLOOKUP(105,'PEDIDO 43'!$C$2:$E$230,3,0),0)</f>
        <v>0</v>
      </c>
      <c r="E3431" s="1">
        <f>IFERROR(VLOOKUP(106,'PEDIDO 43'!$C$2:$E$230,3,0),0)</f>
        <v>0</v>
      </c>
      <c r="F3431" s="1">
        <f>IFERROR(VLOOKUP(307,'PEDIDO 43'!$C$2:$E$230,3,0),0)</f>
        <v>0</v>
      </c>
      <c r="G3431" s="18">
        <f t="shared" si="103"/>
        <v>0</v>
      </c>
    </row>
    <row r="3432" spans="1:7" ht="15.75" x14ac:dyDescent="0.25">
      <c r="A3432" s="15">
        <f>'PEDIDO 43'!$B$2</f>
        <v>0</v>
      </c>
      <c r="B3432" s="12" t="s">
        <v>425</v>
      </c>
      <c r="C3432" s="1">
        <f>IFERROR(VLOOKUP(400,'PEDIDO 43'!$C$2:$E$230,3,0),0)</f>
        <v>0</v>
      </c>
      <c r="D3432" s="1">
        <f>IFERROR(VLOOKUP(401,'PEDIDO 43'!$C$2:$E$230,3,0),0)</f>
        <v>0</v>
      </c>
      <c r="E3432" s="1">
        <f>IFERROR(VLOOKUP(402,'PEDIDO 43'!$C$2:$E$230,3,0),0)</f>
        <v>0</v>
      </c>
      <c r="F3432" s="1">
        <f>IFERROR(VLOOKUP(403,'PEDIDO 43'!$C$2:$E$230,3,0),0)</f>
        <v>0</v>
      </c>
      <c r="G3432" s="18">
        <f t="shared" si="103"/>
        <v>0</v>
      </c>
    </row>
    <row r="3433" spans="1:7" ht="15.75" x14ac:dyDescent="0.25">
      <c r="A3433" s="15">
        <f>'PEDIDO 43'!$B$2</f>
        <v>0</v>
      </c>
      <c r="B3433" s="12" t="s">
        <v>428</v>
      </c>
      <c r="C3433" s="1">
        <f>IFERROR(VLOOKUP(22,'PEDIDO 43'!$C$2:$E$230,3,0),0)</f>
        <v>0</v>
      </c>
      <c r="D3433" s="1"/>
      <c r="E3433" s="1"/>
      <c r="F3433" s="1"/>
      <c r="G3433" s="18">
        <f t="shared" si="103"/>
        <v>0</v>
      </c>
    </row>
    <row r="3434" spans="1:7" ht="15.75" x14ac:dyDescent="0.25">
      <c r="A3434" s="15">
        <f>'PEDIDO 43'!$B$2</f>
        <v>0</v>
      </c>
      <c r="B3434" s="12" t="s">
        <v>429</v>
      </c>
      <c r="C3434" s="1">
        <f>IFERROR(VLOOKUP(21,'PEDIDO 43'!$C$2:$E$230,3,0),0)</f>
        <v>0</v>
      </c>
      <c r="D3434" s="1"/>
      <c r="E3434" s="1"/>
      <c r="F3434" s="1"/>
      <c r="G3434" s="18">
        <f t="shared" si="103"/>
        <v>0</v>
      </c>
    </row>
    <row r="3435" spans="1:7" ht="15.75" x14ac:dyDescent="0.25">
      <c r="A3435" s="15">
        <f>'PEDIDO 43'!$B$2</f>
        <v>0</v>
      </c>
      <c r="B3435" s="12" t="s">
        <v>430</v>
      </c>
      <c r="C3435" s="1">
        <f>IFERROR(VLOOKUP(1125,'PEDIDO 43'!$C$2:$E$230,3,0),0)</f>
        <v>0</v>
      </c>
      <c r="D3435" s="1">
        <f>IFERROR(VLOOKUP(1126,'PEDIDO 43'!$C$2:$E$230,3,0),0)</f>
        <v>0</v>
      </c>
      <c r="E3435" s="1">
        <f>IFERROR(VLOOKUP(1127,'PEDIDO 43'!$C$2:$E$230,3,0),0)</f>
        <v>0</v>
      </c>
      <c r="F3435" s="1">
        <f>IFERROR(VLOOKUP(1128,'PEDIDO 43'!$C$2:$E$230,3,0),0)</f>
        <v>0</v>
      </c>
      <c r="G3435" s="18">
        <f t="shared" si="103"/>
        <v>0</v>
      </c>
    </row>
    <row r="3436" spans="1:7" ht="15.75" x14ac:dyDescent="0.25">
      <c r="A3436" s="15">
        <f>'PEDIDO 43'!$B$2</f>
        <v>0</v>
      </c>
      <c r="B3436" s="12" t="s">
        <v>431</v>
      </c>
      <c r="C3436" s="1">
        <f>IFERROR(VLOOKUP(1133,'PEDIDO 43'!$C$2:$E$230,3,0),0)</f>
        <v>0</v>
      </c>
      <c r="D3436" s="1">
        <f>IFERROR(VLOOKUP(1134,'PEDIDO 43'!$C$2:$E$230,3,0),0)</f>
        <v>0</v>
      </c>
      <c r="E3436" s="1">
        <f>IFERROR(VLOOKUP(1135,'PEDIDO 43'!$C$2:$E$230,3,0),0)</f>
        <v>0</v>
      </c>
      <c r="F3436" s="1">
        <f>IFERROR(VLOOKUP(1136,'PEDIDO 43'!$C$2:$E$230,3,0),0)</f>
        <v>0</v>
      </c>
      <c r="G3436" s="18">
        <f t="shared" si="103"/>
        <v>0</v>
      </c>
    </row>
    <row r="3437" spans="1:7" ht="15.75" x14ac:dyDescent="0.25">
      <c r="A3437" s="15">
        <f>'PEDIDO 43'!$B$2</f>
        <v>0</v>
      </c>
      <c r="B3437" s="12" t="s">
        <v>432</v>
      </c>
      <c r="C3437" s="1">
        <f>IFERROR(VLOOKUP(1105,'PEDIDO 43'!$C$2:$E$230,3,0),0)</f>
        <v>0</v>
      </c>
      <c r="D3437" s="1">
        <f>IFERROR(VLOOKUP(1106,'PEDIDO 43'!$C$2:$E$230,3,0),0)</f>
        <v>0</v>
      </c>
      <c r="E3437" s="1">
        <f>IFERROR(VLOOKUP(1107,'PEDIDO 43'!$C$2:$E$230,3,0),0)</f>
        <v>0</v>
      </c>
      <c r="F3437" s="1">
        <f>IFERROR(VLOOKUP(1108,'PEDIDO 43'!$C$2:$E$230,3,0),0)</f>
        <v>0</v>
      </c>
      <c r="G3437" s="18">
        <f t="shared" si="103"/>
        <v>0</v>
      </c>
    </row>
    <row r="3438" spans="1:7" ht="15.75" x14ac:dyDescent="0.25">
      <c r="A3438" s="15">
        <f>'PEDIDO 43'!$B$2</f>
        <v>0</v>
      </c>
      <c r="B3438" s="12" t="s">
        <v>433</v>
      </c>
      <c r="C3438" s="1">
        <f>IFERROR(VLOOKUP(1109,'PEDIDO 43'!$C$2:$E$230,3,0),0)</f>
        <v>0</v>
      </c>
      <c r="D3438" s="1">
        <f>IFERROR(VLOOKUP(1110,'PEDIDO 43'!$C$2:$E$230,3,0),0)</f>
        <v>0</v>
      </c>
      <c r="E3438" s="1">
        <f>IFERROR(VLOOKUP(1111,'PEDIDO 43'!$C$2:$E$230,3,0),0)</f>
        <v>0</v>
      </c>
      <c r="F3438" s="1">
        <f>IFERROR(VLOOKUP(1112,'PEDIDO 43'!$C$2:$E$230,3,0),0)</f>
        <v>0</v>
      </c>
      <c r="G3438" s="18">
        <f t="shared" si="103"/>
        <v>0</v>
      </c>
    </row>
    <row r="3439" spans="1:7" ht="15.75" x14ac:dyDescent="0.25">
      <c r="A3439" s="15">
        <f>'PEDIDO 43'!$B$2</f>
        <v>0</v>
      </c>
      <c r="B3439" s="12" t="s">
        <v>434</v>
      </c>
      <c r="C3439" s="1">
        <f>IFERROR(VLOOKUP(1113,'PEDIDO 43'!$C$2:$E$230,3,0),0)</f>
        <v>0</v>
      </c>
      <c r="D3439" s="1">
        <f>IFERROR(VLOOKUP(1114,'PEDIDO 43'!$C$2:$E$230,3,0),0)</f>
        <v>0</v>
      </c>
      <c r="E3439" s="1">
        <f>IFERROR(VLOOKUP(1115,'PEDIDO 43'!$C$2:$E$230,3,0),0)</f>
        <v>0</v>
      </c>
      <c r="F3439" s="1">
        <f>IFERROR(VLOOKUP(1116,'PEDIDO 43'!$C$2:$E$230,3,0),0)</f>
        <v>0</v>
      </c>
      <c r="G3439" s="18">
        <f t="shared" si="103"/>
        <v>0</v>
      </c>
    </row>
    <row r="3440" spans="1:7" ht="15.75" x14ac:dyDescent="0.25">
      <c r="A3440" s="15">
        <f>'PEDIDO 43'!$B$2</f>
        <v>0</v>
      </c>
      <c r="B3440" s="12" t="s">
        <v>435</v>
      </c>
      <c r="C3440" s="1">
        <f>IFERROR(VLOOKUP(1117,'PEDIDO 43'!$C$2:$E$230,3,0),0)</f>
        <v>0</v>
      </c>
      <c r="D3440" s="1">
        <f>IFERROR(VLOOKUP(1118,'PEDIDO 43'!$C$2:$E$230,3,0),0)</f>
        <v>0</v>
      </c>
      <c r="E3440" s="1">
        <f>IFERROR(VLOOKUP(1119,'PEDIDO 43'!$C$2:$E$230,3,0),0)</f>
        <v>0</v>
      </c>
      <c r="F3440" s="1">
        <f>IFERROR(VLOOKUP(1120,'PEDIDO 43'!$C$2:$E$230,3,0),0)</f>
        <v>0</v>
      </c>
      <c r="G3440" s="18">
        <f t="shared" si="103"/>
        <v>0</v>
      </c>
    </row>
    <row r="3441" spans="1:7" ht="15.75" x14ac:dyDescent="0.25">
      <c r="A3441" s="15">
        <f>'PEDIDO 43'!$B$2</f>
        <v>0</v>
      </c>
      <c r="B3441" s="12" t="s">
        <v>436</v>
      </c>
      <c r="C3441" s="1">
        <f>IFERROR(VLOOKUP(1121,'PEDIDO 43'!$C$2:$E$230,3,0),0)</f>
        <v>0</v>
      </c>
      <c r="D3441" s="1">
        <f>IFERROR(VLOOKUP(1122,'PEDIDO 43'!$C$2:$E$230,3,0),0)</f>
        <v>0</v>
      </c>
      <c r="E3441" s="1">
        <f>IFERROR(VLOOKUP(1123,'PEDIDO 43'!$C$2:$E$230,3,0),0)</f>
        <v>0</v>
      </c>
      <c r="F3441" s="1">
        <f>IFERROR(VLOOKUP(1124,'PEDIDO 43'!$C$2:$E$230,3,0),0)</f>
        <v>0</v>
      </c>
      <c r="G3441" s="18">
        <f t="shared" si="103"/>
        <v>0</v>
      </c>
    </row>
    <row r="3442" spans="1:7" ht="15.75" x14ac:dyDescent="0.25">
      <c r="A3442" s="15">
        <f>'PEDIDO 43'!$B$2</f>
        <v>0</v>
      </c>
      <c r="B3442" s="12" t="s">
        <v>437</v>
      </c>
      <c r="C3442" s="1">
        <f>IFERROR(VLOOKUP(1129,'PEDIDO 43'!$C$2:$E$230,3,0),0)</f>
        <v>0</v>
      </c>
      <c r="D3442" s="1">
        <f>IFERROR(VLOOKUP(1130,'PEDIDO 43'!$C$2:$E$230,3,0),0)</f>
        <v>0</v>
      </c>
      <c r="E3442" s="1">
        <f>IFERROR(VLOOKUP(1131,'PEDIDO 43'!$C$2:$E$230,3,0),0)</f>
        <v>0</v>
      </c>
      <c r="F3442" s="1">
        <f>IFERROR(VLOOKUP(1132,'PEDIDO 43'!$C$2:$E$230,3,0),0)</f>
        <v>0</v>
      </c>
      <c r="G3442" s="18">
        <f t="shared" si="103"/>
        <v>0</v>
      </c>
    </row>
    <row r="3443" spans="1:7" ht="15.75" x14ac:dyDescent="0.25">
      <c r="A3443" s="15">
        <f>'PEDIDO 43'!$B$2</f>
        <v>0</v>
      </c>
      <c r="B3443" s="12" t="s">
        <v>438</v>
      </c>
      <c r="C3443" s="1">
        <f>IFERROR(VLOOKUP(1137,'PEDIDO 43'!$C$2:$E$230,3,0),0)</f>
        <v>0</v>
      </c>
      <c r="D3443" s="1">
        <f>IFERROR(VLOOKUP(1138,'PEDIDO 43'!$C$2:$E$230,3,0),0)</f>
        <v>0</v>
      </c>
      <c r="E3443" s="1">
        <f>IFERROR(VLOOKUP(1139,'PEDIDO 43'!$C$2:$E$230,3,0),0)</f>
        <v>0</v>
      </c>
      <c r="F3443" s="1">
        <f>IFERROR(VLOOKUP(1140,'PEDIDO 43'!$C$2:$E$230,3,0),0)</f>
        <v>0</v>
      </c>
      <c r="G3443" s="18">
        <f t="shared" si="103"/>
        <v>0</v>
      </c>
    </row>
    <row r="3444" spans="1:7" ht="15.75" x14ac:dyDescent="0.25">
      <c r="A3444" s="15">
        <f>'PEDIDO 43'!$B$2</f>
        <v>0</v>
      </c>
      <c r="B3444" s="12" t="s">
        <v>439</v>
      </c>
      <c r="C3444" s="1">
        <f>IFERROR(VLOOKUP(1141,'PEDIDO 43'!$C$2:$E$230,3,0),0)</f>
        <v>0</v>
      </c>
      <c r="D3444" s="1">
        <f>IFERROR(VLOOKUP(1142,'PEDIDO 43'!$C$2:$E$230,3,0),0)</f>
        <v>0</v>
      </c>
      <c r="E3444" s="1">
        <f>IFERROR(VLOOKUP(1143,'PEDIDO 43'!$C$2:$E$230,3,0),0)</f>
        <v>0</v>
      </c>
      <c r="F3444" s="1">
        <f>IFERROR(VLOOKUP(1144,'PEDIDO 43'!$C$2:$E$230,3,0),0)</f>
        <v>0</v>
      </c>
      <c r="G3444" s="18">
        <f t="shared" si="103"/>
        <v>0</v>
      </c>
    </row>
    <row r="3445" spans="1:7" ht="15.75" x14ac:dyDescent="0.25">
      <c r="A3445" s="15">
        <f>'PEDIDO 43'!$B$2</f>
        <v>0</v>
      </c>
      <c r="B3445" s="12" t="s">
        <v>440</v>
      </c>
      <c r="C3445" s="1">
        <f>IFERROR(VLOOKUP(1145,'PEDIDO 43'!$C$2:$E$230,3,0),0)</f>
        <v>0</v>
      </c>
      <c r="D3445" s="1">
        <f>IFERROR(VLOOKUP(1146,'PEDIDO 43'!$C$2:$E$230,3,0),0)</f>
        <v>0</v>
      </c>
      <c r="E3445" s="1">
        <f>IFERROR(VLOOKUP(1147,'PEDIDO 43'!$C$2:$E$230,3,0),0)</f>
        <v>0</v>
      </c>
      <c r="F3445" s="1">
        <f>IFERROR(VLOOKUP(1148,'PEDIDO 43'!$C$2:$E$230,3,0),0)</f>
        <v>0</v>
      </c>
      <c r="G3445" s="18">
        <f t="shared" si="103"/>
        <v>0</v>
      </c>
    </row>
    <row r="3446" spans="1:7" ht="15.75" x14ac:dyDescent="0.25">
      <c r="A3446" s="15">
        <f>'PEDIDO 43'!$B$2</f>
        <v>0</v>
      </c>
      <c r="B3446" s="12" t="s">
        <v>441</v>
      </c>
      <c r="C3446" s="1">
        <f>IFERROR(VLOOKUP(1149,'PEDIDO 43'!$C$2:$E$230,3,0),0)</f>
        <v>0</v>
      </c>
      <c r="D3446" s="1">
        <f>IFERROR(VLOOKUP(1150,'PEDIDO 43'!$C$2:$E$230,3,0),0)</f>
        <v>0</v>
      </c>
      <c r="E3446" s="1">
        <f>IFERROR(VLOOKUP(1151,'PEDIDO 43'!$C$2:$E$230,3,0),0)</f>
        <v>0</v>
      </c>
      <c r="F3446" s="1">
        <f>IFERROR(VLOOKUP(1152,'PEDIDO 43'!$C$2:$E$230,3,0),0)</f>
        <v>0</v>
      </c>
      <c r="G3446" s="18">
        <f t="shared" si="103"/>
        <v>0</v>
      </c>
    </row>
    <row r="3447" spans="1:7" ht="15.75" x14ac:dyDescent="0.25">
      <c r="A3447" s="15">
        <f>'PEDIDO 43'!$B$2</f>
        <v>0</v>
      </c>
      <c r="B3447" s="12" t="s">
        <v>442</v>
      </c>
      <c r="C3447" s="1">
        <f>IFERROR(VLOOKUP(1153,'PEDIDO 43'!$C$2:$E$230,3,0),0)</f>
        <v>0</v>
      </c>
      <c r="D3447" s="1">
        <f>IFERROR(VLOOKUP(1154,'PEDIDO 43'!$C$2:$E$230,3,0),0)</f>
        <v>0</v>
      </c>
      <c r="E3447" s="1">
        <f>IFERROR(VLOOKUP(1155,'PEDIDO 43'!$C$2:$E$230,3,0),0)</f>
        <v>0</v>
      </c>
      <c r="F3447" s="1">
        <f>IFERROR(VLOOKUP(1156,'PEDIDO 43'!$C$2:$E$230,3,0),0)</f>
        <v>0</v>
      </c>
      <c r="G3447" s="18">
        <f t="shared" si="103"/>
        <v>0</v>
      </c>
    </row>
    <row r="3448" spans="1:7" ht="15.75" x14ac:dyDescent="0.25">
      <c r="A3448" s="15">
        <f>'PEDIDO 43'!$B$2</f>
        <v>0</v>
      </c>
      <c r="B3448" s="12" t="s">
        <v>443</v>
      </c>
      <c r="C3448" s="1">
        <f>IFERROR(VLOOKUP(1157,'PEDIDO 43'!$C$2:$E$230,3,0),0)</f>
        <v>0</v>
      </c>
      <c r="D3448" s="1">
        <f>IFERROR(VLOOKUP(1158,'PEDIDO 43'!$C$2:$E$230,3,0),0)</f>
        <v>0</v>
      </c>
      <c r="E3448" s="1">
        <f>IFERROR(VLOOKUP(1159,'PEDIDO 43'!$C$2:$E$230,3,0),0)</f>
        <v>0</v>
      </c>
      <c r="F3448" s="1">
        <f>IFERROR(VLOOKUP(1160,'PEDIDO 43'!$C$2:$E$230,3,0),0)</f>
        <v>0</v>
      </c>
      <c r="G3448" s="18">
        <f t="shared" si="103"/>
        <v>0</v>
      </c>
    </row>
    <row r="3449" spans="1:7" ht="15.75" x14ac:dyDescent="0.25">
      <c r="A3449" s="15">
        <f>'PEDIDO 43'!$B$2</f>
        <v>0</v>
      </c>
      <c r="B3449" s="12" t="s">
        <v>444</v>
      </c>
      <c r="C3449" s="1">
        <f>IFERROR(VLOOKUP(1161,'PEDIDO 43'!$C$2:$E$230,3,0),0)</f>
        <v>0</v>
      </c>
      <c r="D3449" s="1">
        <f>IFERROR(VLOOKUP(1162,'PEDIDO 43'!$C$2:$E$230,3,0),0)</f>
        <v>0</v>
      </c>
      <c r="E3449" s="1">
        <f>IFERROR(VLOOKUP(1163,'PEDIDO 43'!$C$2:$E$230,3,0),0)</f>
        <v>0</v>
      </c>
      <c r="F3449" s="1">
        <f>IFERROR(VLOOKUP(1164,'PEDIDO 43'!$C$2:$E$230,3,0),0)</f>
        <v>0</v>
      </c>
      <c r="G3449" s="18">
        <f t="shared" si="103"/>
        <v>0</v>
      </c>
    </row>
    <row r="3450" spans="1:7" ht="15.75" x14ac:dyDescent="0.25">
      <c r="A3450" s="15">
        <f>'PEDIDO 43'!$B$2</f>
        <v>0</v>
      </c>
      <c r="B3450" s="12" t="s">
        <v>445</v>
      </c>
      <c r="C3450" s="1">
        <f>IFERROR(VLOOKUP(1165,'PEDIDO 43'!$C$2:$E$230,3,0),0)</f>
        <v>0</v>
      </c>
      <c r="D3450" s="1">
        <f>IFERROR(VLOOKUP(1166,'PEDIDO 43'!$C$2:$E$230,3,0),0)</f>
        <v>0</v>
      </c>
      <c r="E3450" s="1">
        <f>IFERROR(VLOOKUP(1167,'PEDIDO 43'!$C$2:$E$230,3,0),0)</f>
        <v>0</v>
      </c>
      <c r="F3450" s="1">
        <f>IFERROR(VLOOKUP(1168,'PEDIDO 43'!$C$2:$E$230,3,0),0)</f>
        <v>0</v>
      </c>
      <c r="G3450" s="18">
        <f t="shared" si="103"/>
        <v>0</v>
      </c>
    </row>
    <row r="3451" spans="1:7" ht="15.75" x14ac:dyDescent="0.25">
      <c r="A3451" s="15">
        <f>'PEDIDO 43'!$B$2</f>
        <v>0</v>
      </c>
      <c r="B3451" s="12" t="s">
        <v>446</v>
      </c>
      <c r="C3451" s="1">
        <f>IFERROR(VLOOKUP(1169,'PEDIDO 43'!$C$2:$E$230,3,0),0)</f>
        <v>0</v>
      </c>
      <c r="D3451" s="1">
        <f>IFERROR(VLOOKUP(1170,'PEDIDO 43'!$C$2:$E$230,3,0),0)</f>
        <v>0</v>
      </c>
      <c r="E3451" s="1">
        <f>IFERROR(VLOOKUP(1171,'PEDIDO 43'!$C$2:$E$230,3,0),0)</f>
        <v>0</v>
      </c>
      <c r="F3451" s="1">
        <f>IFERROR(VLOOKUP(1172,'PEDIDO 43'!$C$2:$E$230,3,0),0)</f>
        <v>0</v>
      </c>
      <c r="G3451" s="18">
        <f t="shared" si="103"/>
        <v>0</v>
      </c>
    </row>
    <row r="3452" spans="1:7" ht="15.75" x14ac:dyDescent="0.25">
      <c r="A3452" s="15">
        <f>'PEDIDO 43'!$B$2</f>
        <v>0</v>
      </c>
      <c r="B3452" s="12" t="s">
        <v>447</v>
      </c>
      <c r="C3452" s="1">
        <f>IFERROR(VLOOKUP(1173,'PEDIDO 43'!$C$2:$E$230,3,0),0)</f>
        <v>0</v>
      </c>
      <c r="D3452" s="1">
        <f>IFERROR(VLOOKUP(1174,'PEDIDO 43'!$C$2:$E$230,3,0),0)</f>
        <v>0</v>
      </c>
      <c r="E3452" s="1">
        <f>IFERROR(VLOOKUP(1175,'PEDIDO 43'!$C$2:$E$230,3,0),0)</f>
        <v>0</v>
      </c>
      <c r="F3452" s="1">
        <f>IFERROR(VLOOKUP(1176,'PEDIDO 43'!$C$2:$E$230,3,0),0)</f>
        <v>0</v>
      </c>
      <c r="G3452" s="18">
        <f t="shared" si="103"/>
        <v>0</v>
      </c>
    </row>
    <row r="3453" spans="1:7" ht="15.75" x14ac:dyDescent="0.25">
      <c r="A3453" s="15">
        <f>'PEDIDO 43'!$B$2</f>
        <v>0</v>
      </c>
      <c r="B3453" s="12" t="s">
        <v>448</v>
      </c>
      <c r="C3453" s="1">
        <f>IFERROR(VLOOKUP(1249,'PEDIDO 43'!$C$2:$E$230,3,0),0)</f>
        <v>0</v>
      </c>
      <c r="D3453" s="1">
        <f>IFERROR(VLOOKUP(1250,'PEDIDO 43'!$C$2:$E$230,3,0),0)</f>
        <v>0</v>
      </c>
      <c r="E3453" s="1">
        <f>IFERROR(VLOOKUP(1251,'PEDIDO 43'!$C$2:$E$230,3,0),0)</f>
        <v>0</v>
      </c>
      <c r="F3453" s="1">
        <f>IFERROR(VLOOKUP(1252,'PEDIDO 43'!$C$2:$E$230,3,0),0)</f>
        <v>0</v>
      </c>
      <c r="G3453" s="18">
        <f t="shared" si="103"/>
        <v>0</v>
      </c>
    </row>
    <row r="3454" spans="1:7" ht="15.75" x14ac:dyDescent="0.25">
      <c r="A3454" s="15">
        <f>'PEDIDO 43'!$B$2</f>
        <v>0</v>
      </c>
      <c r="B3454" s="12" t="s">
        <v>449</v>
      </c>
      <c r="C3454" s="1">
        <f>IFERROR(VLOOKUP(1177,'PEDIDO 43'!$C$2:$E$230,3,0),0)</f>
        <v>0</v>
      </c>
      <c r="D3454" s="1">
        <f>IFERROR(VLOOKUP(1178,'PEDIDO 43'!$C$2:$E$230,3,0),0)</f>
        <v>0</v>
      </c>
      <c r="E3454" s="1">
        <f>IFERROR(VLOOKUP(1179,'PEDIDO 43'!$C$2:$E$230,3,0),0)</f>
        <v>0</v>
      </c>
      <c r="F3454" s="1">
        <f>IFERROR(VLOOKUP(1180,'PEDIDO 43'!$C$2:$E$230,3,0),0)</f>
        <v>0</v>
      </c>
      <c r="G3454" s="18">
        <f t="shared" si="103"/>
        <v>0</v>
      </c>
    </row>
    <row r="3455" spans="1:7" ht="15.75" x14ac:dyDescent="0.25">
      <c r="A3455" s="15">
        <f>'PEDIDO 43'!$B$2</f>
        <v>0</v>
      </c>
      <c r="B3455" s="12" t="s">
        <v>450</v>
      </c>
      <c r="C3455" s="1">
        <f>IFERROR(VLOOKUP(1181,'PEDIDO 43'!$C$2:$E$230,3,0),0)</f>
        <v>0</v>
      </c>
      <c r="D3455" s="1">
        <f>IFERROR(VLOOKUP(1182,'PEDIDO 43'!$C$2:$E$230,3,0),0)</f>
        <v>0</v>
      </c>
      <c r="E3455" s="1">
        <f>IFERROR(VLOOKUP(1183,'PEDIDO 43'!$C$2:$E$230,3,0),0)</f>
        <v>0</v>
      </c>
      <c r="F3455" s="1">
        <f>IFERROR(VLOOKUP(1184,'PEDIDO 43'!$C$2:$E$230,3,0),0)</f>
        <v>0</v>
      </c>
      <c r="G3455" s="18">
        <f t="shared" si="103"/>
        <v>0</v>
      </c>
    </row>
    <row r="3456" spans="1:7" ht="15.75" x14ac:dyDescent="0.25">
      <c r="A3456" s="15">
        <f>'PEDIDO 43'!$B$2</f>
        <v>0</v>
      </c>
      <c r="B3456" s="12" t="s">
        <v>451</v>
      </c>
      <c r="C3456" s="1">
        <f>IFERROR(VLOOKUP(1185,'PEDIDO 43'!$C$2:$E$230,3,0),0)</f>
        <v>0</v>
      </c>
      <c r="D3456" s="1">
        <f>IFERROR(VLOOKUP(1186,'PEDIDO 43'!$C$2:$E$230,3,0),0)</f>
        <v>0</v>
      </c>
      <c r="E3456" s="1">
        <f>IFERROR(VLOOKUP(1187,'PEDIDO 43'!$C$2:$E$230,3,0),0)</f>
        <v>0</v>
      </c>
      <c r="F3456" s="1">
        <f>IFERROR(VLOOKUP(1188,'PEDIDO 43'!$C$2:$E$230,3,0),0)</f>
        <v>0</v>
      </c>
      <c r="G3456" s="18">
        <f t="shared" si="103"/>
        <v>0</v>
      </c>
    </row>
    <row r="3457" spans="1:7" ht="15.75" x14ac:dyDescent="0.25">
      <c r="A3457" s="15">
        <f>'PEDIDO 43'!$B$2</f>
        <v>0</v>
      </c>
      <c r="B3457" s="12" t="s">
        <v>452</v>
      </c>
      <c r="C3457" s="1">
        <f>IFERROR(VLOOKUP(1189,'PEDIDO 43'!$C$2:$E$230,3,0),0)</f>
        <v>0</v>
      </c>
      <c r="D3457" s="1">
        <f>IFERROR(VLOOKUP(1190,'PEDIDO 43'!$C$2:$E$230,3,0),0)</f>
        <v>0</v>
      </c>
      <c r="E3457" s="1">
        <f>IFERROR(VLOOKUP(1191,'PEDIDO 43'!$C$2:$E$230,3,0),0)</f>
        <v>0</v>
      </c>
      <c r="F3457" s="1">
        <f>IFERROR(VLOOKUP(1192,'PEDIDO 43'!$C$2:$E$230,3,0),0)</f>
        <v>0</v>
      </c>
      <c r="G3457" s="18">
        <f t="shared" si="103"/>
        <v>0</v>
      </c>
    </row>
    <row r="3458" spans="1:7" ht="15.75" x14ac:dyDescent="0.25">
      <c r="A3458" s="15">
        <f>'PEDIDO 43'!$B$2</f>
        <v>0</v>
      </c>
      <c r="B3458" s="12" t="s">
        <v>453</v>
      </c>
      <c r="C3458" s="1">
        <f>IFERROR(VLOOKUP(1193,'PEDIDO 43'!$C$2:$E$230,3,0),0)</f>
        <v>0</v>
      </c>
      <c r="D3458" s="1">
        <f>IFERROR(VLOOKUP(1194,'PEDIDO 43'!$C$2:$E$230,3,0),0)</f>
        <v>0</v>
      </c>
      <c r="E3458" s="1">
        <f>IFERROR(VLOOKUP(1195,'PEDIDO 43'!$C$2:$E$230,3,0),0)</f>
        <v>0</v>
      </c>
      <c r="F3458" s="1">
        <f>IFERROR(VLOOKUP(1196,'PEDIDO 43'!$C$2:$E$230,3,0),0)</f>
        <v>0</v>
      </c>
      <c r="G3458" s="18">
        <f t="shared" si="103"/>
        <v>0</v>
      </c>
    </row>
    <row r="3459" spans="1:7" ht="15.75" x14ac:dyDescent="0.25">
      <c r="A3459" s="15">
        <f>'PEDIDO 43'!$B$2</f>
        <v>0</v>
      </c>
      <c r="B3459" s="12" t="s">
        <v>454</v>
      </c>
      <c r="C3459" s="1">
        <f>IFERROR(VLOOKUP(1197,'PEDIDO 43'!$C$2:$E$230,3,0),0)</f>
        <v>0</v>
      </c>
      <c r="D3459" s="1">
        <f>IFERROR(VLOOKUP(1198,'PEDIDO 43'!$C$2:$E$230,3,0),0)</f>
        <v>0</v>
      </c>
      <c r="E3459" s="1">
        <f>IFERROR(VLOOKUP(1199,'PEDIDO 43'!$C$2:$E$230,3,0),0)</f>
        <v>0</v>
      </c>
      <c r="F3459" s="1">
        <f>IFERROR(VLOOKUP(1200,'PEDIDO 43'!$C$2:$E$230,3,0),0)</f>
        <v>0</v>
      </c>
      <c r="G3459" s="18">
        <f t="shared" si="103"/>
        <v>0</v>
      </c>
    </row>
    <row r="3460" spans="1:7" ht="15.75" x14ac:dyDescent="0.25">
      <c r="A3460" s="15">
        <f>'PEDIDO 43'!$B$2</f>
        <v>0</v>
      </c>
      <c r="B3460" s="12" t="s">
        <v>455</v>
      </c>
      <c r="C3460" s="1">
        <f>IFERROR(VLOOKUP(1201,'PEDIDO 43'!$C$2:$E$230,3,0),0)</f>
        <v>0</v>
      </c>
      <c r="D3460" s="1">
        <f>IFERROR(VLOOKUP(1202,'PEDIDO 43'!$C$2:$E$230,3,0),0)</f>
        <v>0</v>
      </c>
      <c r="E3460" s="1">
        <f>IFERROR(VLOOKUP(1203,'PEDIDO 43'!$C$2:$E$230,3,0),0)</f>
        <v>0</v>
      </c>
      <c r="F3460" s="1">
        <f>IFERROR(VLOOKUP(1204,'PEDIDO 43'!$C$2:$E$230,3,0),0)</f>
        <v>0</v>
      </c>
      <c r="G3460" s="18">
        <f t="shared" si="103"/>
        <v>0</v>
      </c>
    </row>
    <row r="3461" spans="1:7" ht="15.75" x14ac:dyDescent="0.25">
      <c r="A3461" s="15">
        <f>'PEDIDO 43'!$B$2</f>
        <v>0</v>
      </c>
      <c r="B3461" s="12" t="s">
        <v>456</v>
      </c>
      <c r="C3461" s="1">
        <f>IFERROR(VLOOKUP(1205,'PEDIDO 43'!$C$2:$E$230,3,0),0)</f>
        <v>0</v>
      </c>
      <c r="D3461" s="1">
        <f>IFERROR(VLOOKUP(1206,'PEDIDO 43'!$C$2:$E$230,3,0),0)</f>
        <v>0</v>
      </c>
      <c r="E3461" s="1">
        <f>IFERROR(VLOOKUP(1207,'PEDIDO 43'!$C$2:$E$230,3,0),0)</f>
        <v>0</v>
      </c>
      <c r="F3461" s="1">
        <f>IFERROR(VLOOKUP(1208,'PEDIDO 43'!$C$2:$E$230,3,0),0)</f>
        <v>0</v>
      </c>
      <c r="G3461" s="18">
        <f t="shared" si="103"/>
        <v>0</v>
      </c>
    </row>
    <row r="3462" spans="1:7" ht="15.75" x14ac:dyDescent="0.25">
      <c r="A3462" s="15">
        <f>'PEDIDO 43'!$B$2</f>
        <v>0</v>
      </c>
      <c r="B3462" s="12" t="s">
        <v>457</v>
      </c>
      <c r="C3462" s="1">
        <f>IFERROR(VLOOKUP(1213,'PEDIDO 43'!$C$2:$E$230,3,0),0)</f>
        <v>0</v>
      </c>
      <c r="D3462" s="1">
        <f>IFERROR(VLOOKUP(1214,'PEDIDO 43'!$C$2:$E$230,3,0),0)</f>
        <v>0</v>
      </c>
      <c r="E3462" s="1">
        <f>IFERROR(VLOOKUP(1215,'PEDIDO 43'!$C$2:$E$230,3,0),0)</f>
        <v>0</v>
      </c>
      <c r="F3462" s="10">
        <f>IFERROR(VLOOKUP(1216,'PEDIDO 43'!$C$2:$E$230,3,0),0)</f>
        <v>0</v>
      </c>
      <c r="G3462" s="18">
        <f t="shared" si="103"/>
        <v>0</v>
      </c>
    </row>
    <row r="3463" spans="1:7" ht="15.75" x14ac:dyDescent="0.25">
      <c r="A3463" s="15">
        <f>'PEDIDO 43'!$B$2</f>
        <v>0</v>
      </c>
      <c r="B3463" s="12" t="s">
        <v>458</v>
      </c>
      <c r="C3463" s="1">
        <f>IFERROR(VLOOKUP(1209,'PEDIDO 43'!$C$2:$E$230,3,0),0)</f>
        <v>0</v>
      </c>
      <c r="D3463" s="1">
        <f>IFERROR(VLOOKUP(1210,'PEDIDO 43'!$C$2:$E$230,3,0),0)</f>
        <v>0</v>
      </c>
      <c r="E3463" s="1">
        <f>IFERROR(VLOOKUP(1211,'PEDIDO 43'!$C$2:$E$230,3,0),0)</f>
        <v>0</v>
      </c>
      <c r="F3463" s="1">
        <f>IFERROR(VLOOKUP(1212,'PEDIDO 43'!$C$2:$E$230,3,0),0)</f>
        <v>0</v>
      </c>
      <c r="G3463" s="18">
        <f t="shared" si="103"/>
        <v>0</v>
      </c>
    </row>
    <row r="3464" spans="1:7" ht="15.75" x14ac:dyDescent="0.25">
      <c r="A3464" s="15">
        <f>'PEDIDO 43'!$B$2</f>
        <v>0</v>
      </c>
      <c r="B3464" s="12" t="s">
        <v>459</v>
      </c>
      <c r="C3464" s="1">
        <f>IFERROR(VLOOKUP(1217,'PEDIDO 43'!$C$2:$E$230,3,0),0)</f>
        <v>0</v>
      </c>
      <c r="D3464" s="1">
        <f>IFERROR(VLOOKUP(1218,'PEDIDO 43'!$C$2:$E$230,3,0),0)</f>
        <v>0</v>
      </c>
      <c r="E3464" s="1">
        <f>IFERROR(VLOOKUP(1219,'PEDIDO 43'!$C$2:$E$230,3,0),0)</f>
        <v>0</v>
      </c>
      <c r="F3464" s="1">
        <f>IFERROR(VLOOKUP(1220,'PEDIDO 43'!$C$2:$E$230,3,0),0)</f>
        <v>0</v>
      </c>
      <c r="G3464" s="18">
        <f t="shared" si="103"/>
        <v>0</v>
      </c>
    </row>
    <row r="3465" spans="1:7" ht="15.75" x14ac:dyDescent="0.25">
      <c r="A3465" s="15">
        <f>'PEDIDO 43'!$B$2</f>
        <v>0</v>
      </c>
      <c r="B3465" s="12" t="s">
        <v>461</v>
      </c>
      <c r="C3465" s="1">
        <f>IFERROR(VLOOKUP(1225,'PEDIDO 43'!$C$2:$E$230,3,0),0)</f>
        <v>0</v>
      </c>
      <c r="D3465" s="1">
        <f>IFERROR(VLOOKUP(1226,'PEDIDO 43'!$C$2:$E$230,3,0),0)</f>
        <v>0</v>
      </c>
      <c r="E3465" s="1">
        <f>IFERROR(VLOOKUP(1227,'PEDIDO 43'!$C$2:$E$230,3,0),0)</f>
        <v>0</v>
      </c>
      <c r="F3465" s="1">
        <f>IFERROR(VLOOKUP(1228,'PEDIDO 43'!$C$2:$E$230,3,0),0)</f>
        <v>0</v>
      </c>
      <c r="G3465" s="18">
        <f t="shared" si="103"/>
        <v>0</v>
      </c>
    </row>
    <row r="3466" spans="1:7" ht="15.75" x14ac:dyDescent="0.25">
      <c r="A3466" s="15">
        <f>'PEDIDO 43'!$B$2</f>
        <v>0</v>
      </c>
      <c r="B3466" s="12" t="s">
        <v>462</v>
      </c>
      <c r="C3466" s="1">
        <f>IFERROR(VLOOKUP(1221,'PEDIDO 43'!$C$2:$E$230,3,0),0)</f>
        <v>0</v>
      </c>
      <c r="D3466" s="1">
        <f>IFERROR(VLOOKUP(1222,'PEDIDO 43'!$C$2:$E$230,3,0),0)</f>
        <v>0</v>
      </c>
      <c r="E3466" s="1">
        <f>IFERROR(VLOOKUP(1223,'PEDIDO 43'!$C$2:$E$230,3,0),0)</f>
        <v>0</v>
      </c>
      <c r="F3466" s="1">
        <f>IFERROR(VLOOKUP(1224,'PEDIDO 43'!$C$2:$E$230,3,0),0)</f>
        <v>0</v>
      </c>
      <c r="G3466" s="18">
        <f t="shared" si="103"/>
        <v>0</v>
      </c>
    </row>
    <row r="3467" spans="1:7" ht="15.75" x14ac:dyDescent="0.25">
      <c r="A3467" s="15">
        <f>'PEDIDO 43'!$B$2</f>
        <v>0</v>
      </c>
      <c r="B3467" s="12" t="s">
        <v>460</v>
      </c>
      <c r="C3467" s="1">
        <f>IFERROR(VLOOKUP(1229,'PEDIDO 43'!$C$2:$E$230,3,0),0)</f>
        <v>0</v>
      </c>
      <c r="D3467" s="1">
        <f>IFERROR(VLOOKUP(1230,'PEDIDO 43'!$C$2:$E$230,3,0),0)</f>
        <v>0</v>
      </c>
      <c r="E3467" s="1">
        <f>IFERROR(VLOOKUP(1231,'PEDIDO 43'!$C$2:$E$230,3,0),0)</f>
        <v>0</v>
      </c>
      <c r="F3467" s="1">
        <f>IFERROR(VLOOKUP(1232,'PEDIDO 43'!$C$2:$E$230,3,0),0)</f>
        <v>0</v>
      </c>
      <c r="G3467" s="18">
        <f t="shared" si="103"/>
        <v>0</v>
      </c>
    </row>
    <row r="3468" spans="1:7" ht="15.75" x14ac:dyDescent="0.25">
      <c r="A3468" s="15">
        <f>'PEDIDO 43'!$B$2</f>
        <v>0</v>
      </c>
      <c r="B3468" s="12" t="s">
        <v>463</v>
      </c>
      <c r="C3468" s="1">
        <f>IFERROR(VLOOKUP(1233,'PEDIDO 43'!$C$2:$E$230,3,0),0)</f>
        <v>0</v>
      </c>
      <c r="D3468" s="1">
        <f>IFERROR(VLOOKUP(1234,'PEDIDO 43'!$C$2:$E$230,3,0),0)</f>
        <v>0</v>
      </c>
      <c r="E3468" s="1">
        <f>IFERROR(VLOOKUP(1235,'PEDIDO 43'!$C$2:$E$230,3,0),0)</f>
        <v>0</v>
      </c>
      <c r="F3468" s="1">
        <f>IFERROR(VLOOKUP(1236,'PEDIDO 43'!$C$2:$E$230,3,0),0)</f>
        <v>0</v>
      </c>
      <c r="G3468" s="18">
        <f t="shared" si="103"/>
        <v>0</v>
      </c>
    </row>
    <row r="3469" spans="1:7" ht="15.75" x14ac:dyDescent="0.25">
      <c r="A3469" s="15">
        <f>'PEDIDO 43'!$B$2</f>
        <v>0</v>
      </c>
      <c r="B3469" s="12" t="s">
        <v>464</v>
      </c>
      <c r="C3469" s="1">
        <f>IFERROR(VLOOKUP(1237,'PEDIDO 43'!$C$2:$E$230,3,0),0)</f>
        <v>0</v>
      </c>
      <c r="D3469" s="1">
        <f>IFERROR(VLOOKUP(1238,'PEDIDO 43'!$C$2:$E$230,3,0),0)</f>
        <v>0</v>
      </c>
      <c r="E3469" s="1">
        <f>IFERROR(VLOOKUP(1239,'PEDIDO 43'!$C$2:$E$230,3,0),0)</f>
        <v>0</v>
      </c>
      <c r="F3469" s="1">
        <f>IFERROR(VLOOKUP(1240,'PEDIDO 43'!$C$2:$E$230,3,0),0)</f>
        <v>0</v>
      </c>
      <c r="G3469" s="18">
        <f t="shared" ref="G3469:G3481" si="104">SUM(C3469+D3469+E3469+F3469)</f>
        <v>0</v>
      </c>
    </row>
    <row r="3470" spans="1:7" ht="15.75" x14ac:dyDescent="0.25">
      <c r="A3470" s="15">
        <f>'PEDIDO 43'!$B$2</f>
        <v>0</v>
      </c>
      <c r="B3470" s="12" t="s">
        <v>465</v>
      </c>
      <c r="C3470" s="1">
        <f>IFERROR(VLOOKUP(1241,'PEDIDO 43'!$C$2:$E$230,3,0),0)</f>
        <v>0</v>
      </c>
      <c r="D3470" s="1">
        <f>IFERROR(VLOOKUP(1242,'PEDIDO 43'!$C$2:$E$230,3,0),0)</f>
        <v>0</v>
      </c>
      <c r="E3470" s="1">
        <f>IFERROR(VLOOKUP(1243,'PEDIDO 43'!$C$2:$E$230,3,0),0)</f>
        <v>0</v>
      </c>
      <c r="F3470" s="1">
        <f>IFERROR(VLOOKUP(1244,'PEDIDO 43'!$C$2:$E$230,3,0),0)</f>
        <v>0</v>
      </c>
      <c r="G3470" s="18">
        <f t="shared" si="104"/>
        <v>0</v>
      </c>
    </row>
    <row r="3471" spans="1:7" ht="15.75" x14ac:dyDescent="0.25">
      <c r="A3471" s="15">
        <f>'PEDIDO 43'!$B$2</f>
        <v>0</v>
      </c>
      <c r="B3471" s="12" t="s">
        <v>466</v>
      </c>
      <c r="C3471" s="1">
        <f>IFERROR(VLOOKUP(1245,'PEDIDO 43'!$C$2:$E$230,3,0),0)</f>
        <v>0</v>
      </c>
      <c r="D3471" s="1">
        <f>IFERROR(VLOOKUP(1246,'PEDIDO 43'!$C$2:$E$230,3,0),0)</f>
        <v>0</v>
      </c>
      <c r="E3471" s="1">
        <f>IFERROR(VLOOKUP(1247,'PEDIDO 43'!$C$2:$E$230,3,0),0)</f>
        <v>0</v>
      </c>
      <c r="F3471" s="1">
        <f>IFERROR(VLOOKUP(1248,'PEDIDO 43'!$C$2:$E$230,3,0),0)</f>
        <v>0</v>
      </c>
      <c r="G3471" s="18">
        <f t="shared" si="104"/>
        <v>0</v>
      </c>
    </row>
    <row r="3472" spans="1:7" ht="15.75" x14ac:dyDescent="0.25">
      <c r="A3472" s="15">
        <f>'PEDIDO 43'!$B$2</f>
        <v>0</v>
      </c>
      <c r="B3472" s="12" t="s">
        <v>467</v>
      </c>
      <c r="C3472" s="1">
        <f>IFERROR(VLOOKUP(25714,'PEDIDO 43'!$C$2:$E$230,3,0),0)</f>
        <v>0</v>
      </c>
      <c r="D3472" s="1"/>
      <c r="E3472" s="1"/>
      <c r="F3472" s="1"/>
      <c r="G3472" s="18">
        <f t="shared" si="104"/>
        <v>0</v>
      </c>
    </row>
    <row r="3473" spans="1:7" ht="15.75" x14ac:dyDescent="0.25">
      <c r="A3473" s="15">
        <f>'PEDIDO 43'!$B$2</f>
        <v>0</v>
      </c>
      <c r="B3473" s="12" t="s">
        <v>468</v>
      </c>
      <c r="C3473" s="1">
        <f>IFERROR(VLOOKUP(25712,'PEDIDO 43'!$C$2:$E$230,3,0),0)</f>
        <v>0</v>
      </c>
      <c r="D3473" s="1"/>
      <c r="E3473" s="1"/>
      <c r="F3473" s="1"/>
      <c r="G3473" s="18">
        <f t="shared" si="104"/>
        <v>0</v>
      </c>
    </row>
    <row r="3474" spans="1:7" ht="15.75" x14ac:dyDescent="0.25">
      <c r="A3474" s="15">
        <f>'PEDIDO 43'!$B$2</f>
        <v>0</v>
      </c>
      <c r="B3474" s="12" t="s">
        <v>469</v>
      </c>
      <c r="C3474" s="1">
        <f>IFERROR(VLOOKUP(25713,'PEDIDO 43'!$C$2:$E$230,3,0),0)</f>
        <v>0</v>
      </c>
      <c r="D3474" s="1"/>
      <c r="E3474" s="1"/>
      <c r="F3474" s="1"/>
      <c r="G3474" s="18">
        <f t="shared" si="104"/>
        <v>0</v>
      </c>
    </row>
    <row r="3475" spans="1:7" ht="15.75" x14ac:dyDescent="0.25">
      <c r="A3475" s="15">
        <f>'PEDIDO 43'!$B$2</f>
        <v>0</v>
      </c>
      <c r="B3475" s="12" t="s">
        <v>470</v>
      </c>
      <c r="C3475" s="1">
        <f>IFERROR(VLOOKUP(1260,'PEDIDO 43'!$C$2:$E$230,3,0),0)</f>
        <v>0</v>
      </c>
      <c r="D3475" s="1"/>
      <c r="E3475" s="1"/>
      <c r="F3475" s="1"/>
      <c r="G3475" s="18">
        <f t="shared" si="104"/>
        <v>0</v>
      </c>
    </row>
    <row r="3476" spans="1:7" ht="15.75" x14ac:dyDescent="0.25">
      <c r="A3476" s="15">
        <f>'PEDIDO 43'!$B$2</f>
        <v>0</v>
      </c>
      <c r="B3476" s="12" t="s">
        <v>471</v>
      </c>
      <c r="C3476" s="1">
        <f>IFERROR(VLOOKUP(1261,'PEDIDO 43'!$C$2:$E$230,3,0),0)</f>
        <v>0</v>
      </c>
      <c r="D3476" s="1"/>
      <c r="E3476" s="1"/>
      <c r="F3476" s="1"/>
      <c r="G3476" s="18">
        <f t="shared" si="104"/>
        <v>0</v>
      </c>
    </row>
    <row r="3477" spans="1:7" ht="15.75" x14ac:dyDescent="0.25">
      <c r="A3477" s="15">
        <f>'PEDIDO 43'!$B$2</f>
        <v>0</v>
      </c>
      <c r="B3477" s="12" t="s">
        <v>472</v>
      </c>
      <c r="C3477" s="1">
        <f>IFERROR(VLOOKUP(1262,'PEDIDO 43'!$C$2:$E$230,3,0),0)</f>
        <v>0</v>
      </c>
      <c r="D3477" s="1"/>
      <c r="E3477" s="1"/>
      <c r="F3477" s="1"/>
      <c r="G3477" s="18">
        <f t="shared" si="104"/>
        <v>0</v>
      </c>
    </row>
    <row r="3478" spans="1:7" ht="15.75" x14ac:dyDescent="0.25">
      <c r="A3478" s="15">
        <f>'PEDIDO 43'!$B$2</f>
        <v>0</v>
      </c>
      <c r="B3478" s="12" t="s">
        <v>473</v>
      </c>
      <c r="C3478" s="1">
        <f>IFERROR(VLOOKUP(1263,'PEDIDO 43'!$C$2:$E$230,3,0),0)</f>
        <v>0</v>
      </c>
      <c r="D3478" s="1"/>
      <c r="E3478" s="1"/>
      <c r="F3478" s="1"/>
      <c r="G3478" s="18">
        <f t="shared" si="104"/>
        <v>0</v>
      </c>
    </row>
    <row r="3479" spans="1:7" ht="15.75" x14ac:dyDescent="0.25">
      <c r="A3479" s="15">
        <f>'PEDIDO 43'!$B$2</f>
        <v>0</v>
      </c>
      <c r="B3479" s="12" t="s">
        <v>474</v>
      </c>
      <c r="C3479" s="1">
        <f>IFERROR(VLOOKUP(1264,'PEDIDO 43'!$C$2:$E$230,3,0),0)</f>
        <v>0</v>
      </c>
      <c r="D3479" s="1"/>
      <c r="E3479" s="1"/>
      <c r="F3479" s="1"/>
      <c r="G3479" s="18">
        <f t="shared" si="104"/>
        <v>0</v>
      </c>
    </row>
    <row r="3480" spans="1:7" ht="15.75" x14ac:dyDescent="0.25">
      <c r="A3480" s="15">
        <f>'PEDIDO 43'!$B$2</f>
        <v>0</v>
      </c>
      <c r="B3480" s="12" t="s">
        <v>475</v>
      </c>
      <c r="C3480" s="1">
        <f>IFERROR(VLOOKUP(1265,'PEDIDO 43'!$C$2:$E$230,3,0),0)</f>
        <v>0</v>
      </c>
      <c r="D3480" s="1"/>
      <c r="E3480" s="1"/>
      <c r="F3480" s="1"/>
      <c r="G3480" s="18">
        <f t="shared" si="104"/>
        <v>0</v>
      </c>
    </row>
    <row r="3481" spans="1:7" ht="15.75" x14ac:dyDescent="0.25">
      <c r="A3481" s="15">
        <f>'PEDIDO 43'!$B$2</f>
        <v>0</v>
      </c>
      <c r="B3481" s="12" t="s">
        <v>476</v>
      </c>
      <c r="C3481" s="1">
        <f>IFERROR(VLOOKUP(1266,'PEDIDO 43'!$C$2:$E$230,3,0),0)</f>
        <v>0</v>
      </c>
      <c r="D3481" s="1"/>
      <c r="E3481" s="1"/>
      <c r="F3481" s="1"/>
      <c r="G3481" s="18">
        <f t="shared" si="104"/>
        <v>0</v>
      </c>
    </row>
    <row r="3482" spans="1:7" ht="15.75" x14ac:dyDescent="0.25">
      <c r="A3482" s="15">
        <f>'PEDIDO 43'!$B$2</f>
        <v>0</v>
      </c>
      <c r="B3482" s="12" t="s">
        <v>477</v>
      </c>
      <c r="C3482" s="1">
        <f>IFERROR(VLOOKUP(1268,'PEDIDO 43'!$C$2:$E$230,3,0),0)</f>
        <v>0</v>
      </c>
      <c r="D3482" s="1">
        <f>IFERROR(VLOOKUP(1269,'PEDIDO 43'!$C$2:$E$230,3,0),0)</f>
        <v>0</v>
      </c>
      <c r="E3482" s="1">
        <f>IFERROR(VLOOKUP(1270,'PEDIDO 43'!$C$2:$E$230,3,0),0)</f>
        <v>0</v>
      </c>
      <c r="F3482" s="1">
        <f>IFERROR(VLOOKUP(1271,'PEDIDO 43'!$C$2:$E$230,3,0),0)</f>
        <v>0</v>
      </c>
      <c r="G3482" s="18">
        <f t="shared" ref="G3482" si="105">SUM(C3482+D3482+E3482+F3482)</f>
        <v>0</v>
      </c>
    </row>
    <row r="3485" spans="1:7" ht="15.75" x14ac:dyDescent="0.25">
      <c r="A3485" s="15">
        <f>'PEDIDO 44'!$B$2</f>
        <v>0</v>
      </c>
      <c r="B3485" s="12" t="s">
        <v>399</v>
      </c>
      <c r="C3485" s="1">
        <f>IFERROR(VLOOKUP(1,'PEDIDO 44'!$C$2:$E$230,3,0),0)</f>
        <v>0</v>
      </c>
      <c r="D3485" s="1">
        <f>IFERROR(VLOOKUP(2,'PEDIDO 44'!$C$2:$E$230,3,0),0)</f>
        <v>0</v>
      </c>
      <c r="E3485" s="1">
        <f>IFERROR(VLOOKUP(3,'PEDIDO 44'!$C$2:$E$230,3,0),0)</f>
        <v>0</v>
      </c>
      <c r="F3485" s="1">
        <f>IFERROR(VLOOKUP(282,'PEDIDO 44'!$C$2:$E$230,3,0),0)</f>
        <v>0</v>
      </c>
      <c r="G3485" s="18">
        <f>SUM(C3485+D3485+E3485+F3485)</f>
        <v>0</v>
      </c>
    </row>
    <row r="3486" spans="1:7" ht="15.75" x14ac:dyDescent="0.25">
      <c r="A3486" s="15">
        <f>'PEDIDO 44'!$B$2</f>
        <v>0</v>
      </c>
      <c r="B3486" s="12" t="s">
        <v>400</v>
      </c>
      <c r="C3486" s="1">
        <f>IFERROR(VLOOKUP(5,'PEDIDO 44'!$C$2:$E$230,3,0),0)</f>
        <v>0</v>
      </c>
      <c r="D3486" s="1">
        <f>IFERROR(VLOOKUP(6,'PEDIDO 44'!$C$2:$E$230,3,0),0)</f>
        <v>0</v>
      </c>
      <c r="E3486" s="1">
        <f>IFERROR(VLOOKUP(7,'PEDIDO 44'!$C$2:$E$230,3,0),0)</f>
        <v>0</v>
      </c>
      <c r="F3486" s="1">
        <f>IFERROR(VLOOKUP(258,'PEDIDO 44'!$C$2:$E$230,3,0),0)</f>
        <v>0</v>
      </c>
      <c r="G3486" s="18">
        <f t="shared" ref="G3486:G3549" si="106">SUM(C3486+D3486+E3486+F3486)</f>
        <v>0</v>
      </c>
    </row>
    <row r="3487" spans="1:7" ht="15.75" x14ac:dyDescent="0.25">
      <c r="A3487" s="15">
        <f>'PEDIDO 44'!$B$2</f>
        <v>0</v>
      </c>
      <c r="B3487" s="12" t="s">
        <v>401</v>
      </c>
      <c r="C3487" s="1">
        <f>IFERROR(VLOOKUP(13,'PEDIDO 44'!$C$2:$E$230,3,0),0)</f>
        <v>0</v>
      </c>
      <c r="D3487" s="1">
        <f>IFERROR(VLOOKUP(14,'PEDIDO 44'!$C$2:$E$230,3,0),0)</f>
        <v>0</v>
      </c>
      <c r="E3487" s="1">
        <f>IFERROR(VLOOKUP(15,'PEDIDO 44'!$C$2:$E$230,3,0),0)</f>
        <v>0</v>
      </c>
      <c r="F3487" s="1">
        <f>IFERROR(VLOOKUP(289,'PEDIDO 44'!$C$2:$E$230,3,0),0)</f>
        <v>0</v>
      </c>
      <c r="G3487" s="18">
        <f t="shared" si="106"/>
        <v>0</v>
      </c>
    </row>
    <row r="3488" spans="1:7" ht="15.75" x14ac:dyDescent="0.25">
      <c r="A3488" s="15">
        <f>'PEDIDO 44'!$B$2</f>
        <v>0</v>
      </c>
      <c r="B3488" s="12" t="s">
        <v>402</v>
      </c>
      <c r="C3488" s="1">
        <f>IFERROR(VLOOKUP(267,'PEDIDO 44'!$C$2:$E$230,3,0),0)</f>
        <v>0</v>
      </c>
      <c r="D3488" s="1">
        <f>IFERROR(VLOOKUP(268,'PEDIDO 44'!$C$2:$E$230,3,0),0)</f>
        <v>0</v>
      </c>
      <c r="E3488" s="1">
        <f>IFERROR(VLOOKUP(270,'PEDIDO 44'!$C$2:$E$230,3,0),0)</f>
        <v>0</v>
      </c>
      <c r="F3488" s="1">
        <f>IFERROR(VLOOKUP(269,'PEDIDO 44'!$C$2:$E$230,3,0),0)</f>
        <v>0</v>
      </c>
      <c r="G3488" s="18">
        <f t="shared" si="106"/>
        <v>0</v>
      </c>
    </row>
    <row r="3489" spans="1:7" ht="15.75" x14ac:dyDescent="0.25">
      <c r="A3489" s="15">
        <f>'PEDIDO 44'!$B$2</f>
        <v>0</v>
      </c>
      <c r="B3489" s="12" t="s">
        <v>403</v>
      </c>
      <c r="C3489" s="1">
        <f>IFERROR(VLOOKUP(17,'PEDIDO 44'!$C$2:$E$230,3,0),0)</f>
        <v>0</v>
      </c>
      <c r="D3489" s="1">
        <f>IFERROR(VLOOKUP(18,'PEDIDO 44'!$C$2:$E$230,3,0),0)</f>
        <v>0</v>
      </c>
      <c r="E3489" s="1">
        <f>IFERROR(VLOOKUP(19,'PEDIDO 44'!$C$2:$E$230,3,0),0)</f>
        <v>0</v>
      </c>
      <c r="F3489" s="1">
        <f>IFERROR(VLOOKUP(290,'PEDIDO 44'!$C$2:$E$230,3,0),0)</f>
        <v>0</v>
      </c>
      <c r="G3489" s="18">
        <f t="shared" si="106"/>
        <v>0</v>
      </c>
    </row>
    <row r="3490" spans="1:7" ht="15.75" x14ac:dyDescent="0.25">
      <c r="A3490" s="15">
        <f>'PEDIDO 44'!$B$2</f>
        <v>0</v>
      </c>
      <c r="B3490" s="12" t="s">
        <v>404</v>
      </c>
      <c r="C3490" s="1">
        <f>IFERROR(VLOOKUP(23,'PEDIDO 44'!$C$2:$E$230,3,0),0)</f>
        <v>0</v>
      </c>
      <c r="D3490" s="1">
        <f>IFERROR(VLOOKUP(24,'PEDIDO 44'!$C$2:$E$230,3,0),0)</f>
        <v>0</v>
      </c>
      <c r="E3490" s="1">
        <f>IFERROR(VLOOKUP(25,'PEDIDO 44'!$C$2:$E$230,3,0),0)</f>
        <v>0</v>
      </c>
      <c r="F3490" s="1">
        <f>IFERROR(VLOOKUP(291,'PEDIDO 44'!$C$2:$E$230,3,0),0)</f>
        <v>0</v>
      </c>
      <c r="G3490" s="18">
        <f t="shared" si="106"/>
        <v>0</v>
      </c>
    </row>
    <row r="3491" spans="1:7" ht="15.75" x14ac:dyDescent="0.25">
      <c r="A3491" s="15">
        <f>'PEDIDO 44'!$B$2</f>
        <v>0</v>
      </c>
      <c r="B3491" s="12" t="s">
        <v>405</v>
      </c>
      <c r="C3491" s="1">
        <f>IFERROR(VLOOKUP(27,'PEDIDO 44'!$C$2:$E$230,3,0),0)</f>
        <v>0</v>
      </c>
      <c r="D3491" s="1">
        <f>IFERROR(VLOOKUP(28,'PEDIDO 44'!$C$2:$E$230,3,0),0)</f>
        <v>0</v>
      </c>
      <c r="E3491" s="1">
        <f>IFERROR(VLOOKUP(29,'PEDIDO 44'!$C$2:$E$230,3,0),0)</f>
        <v>0</v>
      </c>
      <c r="F3491" s="1">
        <f>IFERROR(VLOOKUP(292,'PEDIDO 44'!$C$2:$E$230,3,0),0)</f>
        <v>0</v>
      </c>
      <c r="G3491" s="18">
        <f t="shared" si="106"/>
        <v>0</v>
      </c>
    </row>
    <row r="3492" spans="1:7" ht="15.75" x14ac:dyDescent="0.25">
      <c r="A3492" s="15">
        <f>'PEDIDO 44'!$B$2</f>
        <v>0</v>
      </c>
      <c r="B3492" s="12" t="s">
        <v>406</v>
      </c>
      <c r="C3492" s="1">
        <f>IFERROR(VLOOKUP(227,'PEDIDO 44'!$C$2:$E$230,3,0),0)</f>
        <v>0</v>
      </c>
      <c r="D3492" s="1">
        <f>IFERROR(VLOOKUP(228,'PEDIDO 44'!$C$2:$E$230,3,0),0)</f>
        <v>0</v>
      </c>
      <c r="E3492" s="1">
        <f>IFERROR(VLOOKUP(229,'PEDIDO 44'!$C$2:$E$230,3,0),0)</f>
        <v>0</v>
      </c>
      <c r="F3492" s="1">
        <f>IFERROR(VLOOKUP(230,'PEDIDO 44'!$C$2:$E$230,3,0),0)</f>
        <v>0</v>
      </c>
      <c r="G3492" s="18">
        <f t="shared" si="106"/>
        <v>0</v>
      </c>
    </row>
    <row r="3493" spans="1:7" ht="15.75" x14ac:dyDescent="0.25">
      <c r="A3493" s="15">
        <f>'PEDIDO 44'!$B$2</f>
        <v>0</v>
      </c>
      <c r="B3493" s="12" t="s">
        <v>407</v>
      </c>
      <c r="C3493" s="1">
        <f>IFERROR(VLOOKUP(231,'PEDIDO 44'!$C$2:$E$230,3,0),0)</f>
        <v>0</v>
      </c>
      <c r="D3493" s="1">
        <f>IFERROR(VLOOKUP(232,'PEDIDO 44'!$C$2:$E$230,3,0),0)</f>
        <v>0</v>
      </c>
      <c r="E3493" s="1">
        <f>IFERROR(VLOOKUP(234,'PEDIDO 44'!$C$2:$E$230,3,0),0)</f>
        <v>0</v>
      </c>
      <c r="F3493" s="1">
        <f>IFERROR(VLOOKUP(233,'PEDIDO 44'!$C$2:$E$230,3,0),0)</f>
        <v>0</v>
      </c>
      <c r="G3493" s="18">
        <f t="shared" si="106"/>
        <v>0</v>
      </c>
    </row>
    <row r="3494" spans="1:7" ht="15.75" x14ac:dyDescent="0.25">
      <c r="A3494" s="15">
        <f>'PEDIDO 44'!$B$2</f>
        <v>0</v>
      </c>
      <c r="B3494" s="12" t="s">
        <v>408</v>
      </c>
      <c r="C3494" s="1">
        <f>IFERROR(VLOOKUP(237,'PEDIDO 44'!$C$2:$E$230,3,0),0)</f>
        <v>0</v>
      </c>
      <c r="D3494" s="1">
        <f>IFERROR(VLOOKUP(238,'PEDIDO 44'!$C$2:$E$230,3,0),0)</f>
        <v>0</v>
      </c>
      <c r="E3494" s="1">
        <f>IFERROR(VLOOKUP(240,'PEDIDO 44'!$C$2:$E$230,3,0),0)</f>
        <v>0</v>
      </c>
      <c r="F3494" s="1">
        <f>IFERROR(VLOOKUP(239,'PEDIDO 44'!$C$2:$E$230,3,0),0)</f>
        <v>0</v>
      </c>
      <c r="G3494" s="18">
        <f t="shared" si="106"/>
        <v>0</v>
      </c>
    </row>
    <row r="3495" spans="1:7" ht="15.75" x14ac:dyDescent="0.25">
      <c r="A3495" s="15">
        <f>'PEDIDO 44'!$B$2</f>
        <v>0</v>
      </c>
      <c r="B3495" s="12" t="s">
        <v>409</v>
      </c>
      <c r="C3495" s="1">
        <f>IFERROR(VLOOKUP(25707,'PEDIDO 44'!$C$2:$E$230,3,0),0)</f>
        <v>0</v>
      </c>
      <c r="D3495" s="1">
        <f>IFERROR(VLOOKUP(25708,'PEDIDO 44'!$C$2:$E$230,3,0),0)</f>
        <v>0</v>
      </c>
      <c r="E3495" s="1">
        <f>IFERROR(VLOOKUP(25710,'PEDIDO 44'!$C$2:$E$230,3,0),0)</f>
        <v>0</v>
      </c>
      <c r="F3495" s="1">
        <f>IFERROR(VLOOKUP(25709,'PEDIDO 44'!$C$2:$E$230,3,0),0)</f>
        <v>0</v>
      </c>
      <c r="G3495" s="18">
        <f t="shared" si="106"/>
        <v>0</v>
      </c>
    </row>
    <row r="3496" spans="1:7" ht="15.75" x14ac:dyDescent="0.25">
      <c r="A3496" s="15">
        <f>'PEDIDO 44'!$B$2</f>
        <v>0</v>
      </c>
      <c r="B3496" s="12" t="s">
        <v>410</v>
      </c>
      <c r="C3496" s="1">
        <f>IFERROR(VLOOKUP(25711,'PEDIDO 44'!$C$2:$E$230,3,0),0)</f>
        <v>0</v>
      </c>
      <c r="D3496" s="1"/>
      <c r="E3496" s="1"/>
      <c r="F3496" s="1"/>
      <c r="G3496" s="18">
        <f t="shared" si="106"/>
        <v>0</v>
      </c>
    </row>
    <row r="3497" spans="1:7" ht="15.75" x14ac:dyDescent="0.25">
      <c r="A3497" s="15">
        <f>'PEDIDO 44'!$B$2</f>
        <v>0</v>
      </c>
      <c r="B3497" s="12" t="s">
        <v>411</v>
      </c>
      <c r="C3497" s="1">
        <f>IFERROR(VLOOKUP(35,'PEDIDO 44'!$C$2:$E$230,3,0),0)</f>
        <v>0</v>
      </c>
      <c r="D3497" s="1">
        <f>IFERROR(VLOOKUP(36,'PEDIDO 44'!$C$2:$E$230,3,0),0)</f>
        <v>0</v>
      </c>
      <c r="E3497" s="1">
        <f>IFERROR(VLOOKUP(37,'PEDIDO 44'!$C$2:$E$230,3,0),0)</f>
        <v>0</v>
      </c>
      <c r="F3497" s="1">
        <f>IFERROR(VLOOKUP(294,'PEDIDO 44'!$C$2:$E$230,3,0),0)</f>
        <v>0</v>
      </c>
      <c r="G3497" s="18">
        <f t="shared" si="106"/>
        <v>0</v>
      </c>
    </row>
    <row r="3498" spans="1:7" ht="15.75" x14ac:dyDescent="0.25">
      <c r="A3498" s="15">
        <f>'PEDIDO 44'!$B$2</f>
        <v>0</v>
      </c>
      <c r="B3498" s="12" t="s">
        <v>412</v>
      </c>
      <c r="C3498" s="1">
        <f>IFERROR(VLOOKUP(39,'PEDIDO 44'!$C$2:$E$230,3,0),0)</f>
        <v>0</v>
      </c>
      <c r="D3498" s="1">
        <f>IFERROR(VLOOKUP(40,'PEDIDO 44'!$C$2:$E$230,3,0),0)</f>
        <v>0</v>
      </c>
      <c r="E3498" s="1">
        <f>IFERROR(VLOOKUP(42,'PEDIDO 44'!$C$2:$E$230,3,0),0)</f>
        <v>0</v>
      </c>
      <c r="F3498" s="1">
        <f>IFERROR(VLOOKUP(295,'PEDIDO 44'!$C$2:$E$230,3,0),0)</f>
        <v>0</v>
      </c>
      <c r="G3498" s="18">
        <f t="shared" si="106"/>
        <v>0</v>
      </c>
    </row>
    <row r="3499" spans="1:7" ht="15.75" x14ac:dyDescent="0.25">
      <c r="A3499" s="15">
        <f>'PEDIDO 44'!$B$2</f>
        <v>0</v>
      </c>
      <c r="B3499" s="12" t="s">
        <v>413</v>
      </c>
      <c r="C3499" s="1">
        <f>IFERROR(VLOOKUP(44,'PEDIDO 44'!$C$2:$E$230,3,0),0)</f>
        <v>0</v>
      </c>
      <c r="D3499" s="1">
        <f>IFERROR(VLOOKUP(45,'PEDIDO 44'!$C$2:$E$230,3,0),0)</f>
        <v>0</v>
      </c>
      <c r="E3499" s="1">
        <f>IFERROR(VLOOKUP(46,'PEDIDO 44'!$C$2:$E$230,3,0),0)</f>
        <v>0</v>
      </c>
      <c r="F3499" s="1">
        <f>IFERROR(VLOOKUP(283,'PEDIDO 44'!$C$2:$E$230,3,0),0)</f>
        <v>0</v>
      </c>
      <c r="G3499" s="18">
        <f t="shared" si="106"/>
        <v>0</v>
      </c>
    </row>
    <row r="3500" spans="1:7" ht="15.75" x14ac:dyDescent="0.25">
      <c r="A3500" s="15">
        <f>'PEDIDO 44'!$B$2</f>
        <v>0</v>
      </c>
      <c r="B3500" s="12" t="s">
        <v>414</v>
      </c>
      <c r="C3500" s="1">
        <f>IFERROR(VLOOKUP(48,'PEDIDO 44'!$C$2:$E$230,3,0),0)</f>
        <v>0</v>
      </c>
      <c r="D3500" s="1">
        <f>IFERROR(VLOOKUP(49,'PEDIDO 44'!$C$2:$E$230,3,0),0)</f>
        <v>0</v>
      </c>
      <c r="E3500" s="1">
        <f>IFERROR(VLOOKUP(50,'PEDIDO 44'!$C$2:$E$230,3,0),0)</f>
        <v>0</v>
      </c>
      <c r="F3500" s="1">
        <f>IFERROR(VLOOKUP(298,'PEDIDO 44'!$C$2:$E$230,3,0),0)</f>
        <v>0</v>
      </c>
      <c r="G3500" s="18">
        <f t="shared" si="106"/>
        <v>0</v>
      </c>
    </row>
    <row r="3501" spans="1:7" ht="15.75" x14ac:dyDescent="0.25">
      <c r="A3501" s="15">
        <f>'PEDIDO 44'!$B$2</f>
        <v>0</v>
      </c>
      <c r="B3501" s="12" t="s">
        <v>415</v>
      </c>
      <c r="C3501" s="1">
        <f>IFERROR(VLOOKUP(52,'PEDIDO 44'!$C$2:$E$230,3,0),0)</f>
        <v>0</v>
      </c>
      <c r="D3501" s="1">
        <f>IFERROR(VLOOKUP(53,'PEDIDO 44'!$C$2:$E$230,3,0),0)</f>
        <v>0</v>
      </c>
      <c r="E3501" s="1">
        <f>IFERROR(VLOOKUP(54,'PEDIDO 44'!$C$2:$E$230,3,0),0)</f>
        <v>0</v>
      </c>
      <c r="F3501" s="1">
        <f>IFERROR(VLOOKUP(299,'PEDIDO 44'!$C$2:$E$230,3,0),0)</f>
        <v>0</v>
      </c>
      <c r="G3501" s="18">
        <f t="shared" si="106"/>
        <v>0</v>
      </c>
    </row>
    <row r="3502" spans="1:7" ht="15.75" x14ac:dyDescent="0.25">
      <c r="A3502" s="15">
        <f>'PEDIDO 44'!$B$2</f>
        <v>0</v>
      </c>
      <c r="B3502" s="12" t="s">
        <v>416</v>
      </c>
      <c r="C3502" s="1">
        <f>IFERROR(VLOOKUP(56,'PEDIDO 44'!$C$2:$E$230,3,0),0)</f>
        <v>0</v>
      </c>
      <c r="D3502" s="1">
        <f>IFERROR(VLOOKUP(61,'PEDIDO 44'!$C$2:$E$230,3,0),0)</f>
        <v>0</v>
      </c>
      <c r="E3502" s="1">
        <f>IFERROR(VLOOKUP(58,'PEDIDO 44'!$C$2:$E$230,3,0),0)</f>
        <v>0</v>
      </c>
      <c r="F3502" s="1">
        <f>IFERROR(VLOOKUP(300,'PEDIDO 44'!$C$2:$E$230,3,0),0)</f>
        <v>0</v>
      </c>
      <c r="G3502" s="18">
        <f t="shared" si="106"/>
        <v>0</v>
      </c>
    </row>
    <row r="3503" spans="1:7" ht="15.75" x14ac:dyDescent="0.25">
      <c r="A3503" s="15">
        <f>'PEDIDO 44'!$B$2</f>
        <v>0</v>
      </c>
      <c r="B3503" s="12" t="s">
        <v>417</v>
      </c>
      <c r="C3503" s="1">
        <f>IFERROR(VLOOKUP(60,'PEDIDO 44'!$C$2:$E$230,3,0),0)</f>
        <v>0</v>
      </c>
      <c r="D3503" s="1">
        <f>IFERROR(VLOOKUP(120,'PEDIDO 44'!$C$2:$E$230,3,0),0)</f>
        <v>0</v>
      </c>
      <c r="E3503" s="1">
        <f>IFERROR(VLOOKUP(62,'PEDIDO 44'!$C$2:$E$230,3,0),0)</f>
        <v>0</v>
      </c>
      <c r="F3503" s="1">
        <f>IFERROR(VLOOKUP(301,'PEDIDO 44'!$C$2:$E$230,3,0),0)</f>
        <v>0</v>
      </c>
      <c r="G3503" s="18">
        <f t="shared" si="106"/>
        <v>0</v>
      </c>
    </row>
    <row r="3504" spans="1:7" ht="15.75" x14ac:dyDescent="0.25">
      <c r="A3504" s="15">
        <f>'PEDIDO 44'!$B$2</f>
        <v>0</v>
      </c>
      <c r="B3504" s="12" t="s">
        <v>426</v>
      </c>
      <c r="C3504" s="1">
        <f>IFERROR(VLOOKUP(112,'PEDIDO 44'!$C$2:$E$230,3,0),0)</f>
        <v>0</v>
      </c>
      <c r="D3504" s="1">
        <f>IFERROR(VLOOKUP(113,'PEDIDO 44'!$C$2:$E$230,3,0),0)</f>
        <v>0</v>
      </c>
      <c r="E3504" s="1">
        <f>IFERROR(VLOOKUP(114,'PEDIDO 44'!$C$2:$E$230,3,0),0)</f>
        <v>0</v>
      </c>
      <c r="F3504" s="1">
        <f>IFERROR(VLOOKUP(296,'PEDIDO 44'!$C$2:$E$230,3,0),0)</f>
        <v>0</v>
      </c>
      <c r="G3504" s="18">
        <f t="shared" si="106"/>
        <v>0</v>
      </c>
    </row>
    <row r="3505" spans="1:7" ht="15.75" x14ac:dyDescent="0.25">
      <c r="A3505" s="15">
        <f>'PEDIDO 44'!$B$2</f>
        <v>0</v>
      </c>
      <c r="B3505" s="12" t="s">
        <v>427</v>
      </c>
      <c r="C3505" s="1">
        <f>IFERROR(VLOOKUP(116,'PEDIDO 44'!$C$2:$E$230,3,0),0)</f>
        <v>0</v>
      </c>
      <c r="D3505" s="1">
        <f>IFERROR(VLOOKUP(117,'PEDIDO 44'!$C$2:$E$230,3,0),0)</f>
        <v>0</v>
      </c>
      <c r="E3505" s="1">
        <f>IFERROR(VLOOKUP(118,'PEDIDO 44'!$C$2:$E$230,3,0),0)</f>
        <v>0</v>
      </c>
      <c r="F3505" s="1">
        <f>IFERROR(VLOOKUP(293,'PEDIDO 44'!$C$2:$E$230,3,0),0)</f>
        <v>0</v>
      </c>
      <c r="G3505" s="18">
        <f t="shared" si="106"/>
        <v>0</v>
      </c>
    </row>
    <row r="3506" spans="1:7" ht="15.75" x14ac:dyDescent="0.25">
      <c r="A3506" s="15">
        <f>'PEDIDO 44'!$B$2</f>
        <v>0</v>
      </c>
      <c r="B3506" s="12" t="s">
        <v>418</v>
      </c>
      <c r="C3506" s="1">
        <f>IFERROR(VLOOKUP(963,'PEDIDO 44'!$C$2:$E$230,3,0),0)</f>
        <v>0</v>
      </c>
      <c r="D3506" s="1">
        <f>IFERROR(VLOOKUP(965,'PEDIDO 44'!$C$2:$E$230,3,0),0)</f>
        <v>0</v>
      </c>
      <c r="E3506" s="1">
        <f>IFERROR(VLOOKUP(966,'PEDIDO 44'!$C$2:$E$230,3,0),0)</f>
        <v>0</v>
      </c>
      <c r="F3506" s="1">
        <f>IFERROR(VLOOKUP(964,'PEDIDO 44'!$C$2:$E$230,3,0),0)</f>
        <v>0</v>
      </c>
      <c r="G3506" s="18">
        <f t="shared" si="106"/>
        <v>0</v>
      </c>
    </row>
    <row r="3507" spans="1:7" ht="15.75" x14ac:dyDescent="0.25">
      <c r="A3507" s="15">
        <f>'PEDIDO 44'!$B$2</f>
        <v>0</v>
      </c>
      <c r="B3507" s="12" t="s">
        <v>419</v>
      </c>
      <c r="C3507" s="1">
        <f>IFERROR(VLOOKUP(2042,'PEDIDO 44'!$C$2:$E$230,3,0),0)</f>
        <v>0</v>
      </c>
      <c r="D3507" s="1">
        <f>IFERROR(VLOOKUP(2041,'PEDIDO 44'!$C$2:$E$230,3,0),0)</f>
        <v>0</v>
      </c>
      <c r="E3507" s="1">
        <f>IFERROR(VLOOKUP(2043,'PEDIDO 44'!$C$2:$E$230,3,0),0)</f>
        <v>0</v>
      </c>
      <c r="F3507" s="1">
        <f>IFERROR(VLOOKUP(2040,'PEDIDO 44'!$C$2:$E$230,3,0),0)</f>
        <v>0</v>
      </c>
      <c r="G3507" s="18">
        <f t="shared" si="106"/>
        <v>0</v>
      </c>
    </row>
    <row r="3508" spans="1:7" ht="15.75" x14ac:dyDescent="0.25">
      <c r="A3508" s="15">
        <f>'PEDIDO 44'!$B$2</f>
        <v>0</v>
      </c>
      <c r="B3508" s="12" t="s">
        <v>420</v>
      </c>
      <c r="C3508" s="1">
        <f>IFERROR(VLOOKUP(2045,'PEDIDO 44'!$C$2:$E$230,3,0),0)</f>
        <v>0</v>
      </c>
      <c r="D3508" s="1">
        <f>IFERROR(VLOOKUP(2046,'PEDIDO 44'!$C$2:$E$230,3,0),0)</f>
        <v>0</v>
      </c>
      <c r="E3508" s="1">
        <f>IFERROR(VLOOKUP(2047,'PEDIDO 44'!$C$2:$E$230,3,0),0)</f>
        <v>0</v>
      </c>
      <c r="F3508" s="1">
        <f>IFERROR(VLOOKUP(2048,'PEDIDO 44'!$C$2:$E$230,3,0),0)</f>
        <v>0</v>
      </c>
      <c r="G3508" s="18">
        <f t="shared" si="106"/>
        <v>0</v>
      </c>
    </row>
    <row r="3509" spans="1:7" ht="15.75" x14ac:dyDescent="0.25">
      <c r="A3509" s="15">
        <f>'PEDIDO 44'!$B$2</f>
        <v>0</v>
      </c>
      <c r="B3509" s="12" t="s">
        <v>421</v>
      </c>
      <c r="C3509" s="1">
        <f>IFERROR(VLOOKUP(2050,'PEDIDO 44'!$C$2:$E$230,3,0),0)</f>
        <v>0</v>
      </c>
      <c r="D3509" s="1">
        <f>IFERROR(VLOOKUP(2051,'PEDIDO 44'!$C$2:$E$230,3,0),0)</f>
        <v>0</v>
      </c>
      <c r="E3509" s="1">
        <f>IFERROR(VLOOKUP(2052,'PEDIDO 44'!$C$2:$E$230,3,0),0)</f>
        <v>0</v>
      </c>
      <c r="F3509" s="1">
        <f>IFERROR(VLOOKUP(2053,'PEDIDO 44'!$C$2:$E$230,3,0),0)</f>
        <v>0</v>
      </c>
      <c r="G3509" s="18">
        <f t="shared" si="106"/>
        <v>0</v>
      </c>
    </row>
    <row r="3510" spans="1:7" ht="15.75" x14ac:dyDescent="0.25">
      <c r="A3510" s="15">
        <f>'PEDIDO 44'!$B$2</f>
        <v>0</v>
      </c>
      <c r="B3510" s="12" t="s">
        <v>422</v>
      </c>
      <c r="C3510" s="1">
        <f>IFERROR(VLOOKUP(216,'PEDIDO 44'!$C$2:$E$230,3,0),0)</f>
        <v>0</v>
      </c>
      <c r="D3510" s="1">
        <f>IFERROR(VLOOKUP(217,'PEDIDO 44'!$C$2:$E$230,3,0),0)</f>
        <v>0</v>
      </c>
      <c r="E3510" s="1">
        <f>IFERROR(VLOOKUP(218,'PEDIDO 44'!$C$2:$E$230,3,0),0)</f>
        <v>0</v>
      </c>
      <c r="F3510" s="1">
        <f>IFERROR(VLOOKUP(305,'PEDIDO 44'!$C$2:$E$230,3,0),0)</f>
        <v>0</v>
      </c>
      <c r="G3510" s="18">
        <f t="shared" si="106"/>
        <v>0</v>
      </c>
    </row>
    <row r="3511" spans="1:7" ht="15.75" x14ac:dyDescent="0.25">
      <c r="A3511" s="15">
        <f>'PEDIDO 44'!$B$2</f>
        <v>0</v>
      </c>
      <c r="B3511" s="12" t="s">
        <v>423</v>
      </c>
      <c r="C3511" s="1">
        <f>IFERROR(VLOOKUP(100,'PEDIDO 44'!$C$2:$E$230,3,0),0)</f>
        <v>0</v>
      </c>
      <c r="D3511" s="1">
        <f>IFERROR(VLOOKUP(101,'PEDIDO 44'!$C$2:$E$230,3,0),0)</f>
        <v>0</v>
      </c>
      <c r="E3511" s="1">
        <f>IFERROR(VLOOKUP(102,'PEDIDO 44'!$C$2:$E$230,3,0),0)</f>
        <v>0</v>
      </c>
      <c r="F3511" s="1">
        <f>IFERROR(VLOOKUP(306,'PEDIDO 44'!$C$2:$E$230,3,0),0)</f>
        <v>0</v>
      </c>
      <c r="G3511" s="18">
        <f t="shared" si="106"/>
        <v>0</v>
      </c>
    </row>
    <row r="3512" spans="1:7" ht="15.75" x14ac:dyDescent="0.25">
      <c r="A3512" s="15">
        <f>'PEDIDO 44'!$B$2</f>
        <v>0</v>
      </c>
      <c r="B3512" s="12" t="s">
        <v>424</v>
      </c>
      <c r="C3512" s="1">
        <f>IFERROR(VLOOKUP(104,'PEDIDO 44'!$C$2:$E$230,3,0),0)</f>
        <v>0</v>
      </c>
      <c r="D3512" s="1">
        <f>IFERROR(VLOOKUP(105,'PEDIDO 44'!$C$2:$E$230,3,0),0)</f>
        <v>0</v>
      </c>
      <c r="E3512" s="1">
        <f>IFERROR(VLOOKUP(106,'PEDIDO 44'!$C$2:$E$230,3,0),0)</f>
        <v>0</v>
      </c>
      <c r="F3512" s="1">
        <f>IFERROR(VLOOKUP(307,'PEDIDO 44'!$C$2:$E$230,3,0),0)</f>
        <v>0</v>
      </c>
      <c r="G3512" s="18">
        <f t="shared" si="106"/>
        <v>0</v>
      </c>
    </row>
    <row r="3513" spans="1:7" ht="15.75" x14ac:dyDescent="0.25">
      <c r="A3513" s="15">
        <f>'PEDIDO 44'!$B$2</f>
        <v>0</v>
      </c>
      <c r="B3513" s="12" t="s">
        <v>425</v>
      </c>
      <c r="C3513" s="1">
        <f>IFERROR(VLOOKUP(400,'PEDIDO 44'!$C$2:$E$230,3,0),0)</f>
        <v>0</v>
      </c>
      <c r="D3513" s="1">
        <f>IFERROR(VLOOKUP(401,'PEDIDO 44'!$C$2:$E$230,3,0),0)</f>
        <v>0</v>
      </c>
      <c r="E3513" s="1">
        <f>IFERROR(VLOOKUP(402,'PEDIDO 44'!$C$2:$E$230,3,0),0)</f>
        <v>0</v>
      </c>
      <c r="F3513" s="1">
        <f>IFERROR(VLOOKUP(403,'PEDIDO 44'!$C$2:$E$230,3,0),0)</f>
        <v>0</v>
      </c>
      <c r="G3513" s="18">
        <f t="shared" si="106"/>
        <v>0</v>
      </c>
    </row>
    <row r="3514" spans="1:7" ht="15.75" x14ac:dyDescent="0.25">
      <c r="A3514" s="15">
        <f>'PEDIDO 44'!$B$2</f>
        <v>0</v>
      </c>
      <c r="B3514" s="12" t="s">
        <v>428</v>
      </c>
      <c r="C3514" s="1">
        <f>IFERROR(VLOOKUP(22,'PEDIDO 44'!$C$2:$E$230,3,0),0)</f>
        <v>0</v>
      </c>
      <c r="D3514" s="1"/>
      <c r="E3514" s="1"/>
      <c r="F3514" s="1"/>
      <c r="G3514" s="18">
        <f t="shared" si="106"/>
        <v>0</v>
      </c>
    </row>
    <row r="3515" spans="1:7" ht="15.75" x14ac:dyDescent="0.25">
      <c r="A3515" s="15">
        <f>'PEDIDO 44'!$B$2</f>
        <v>0</v>
      </c>
      <c r="B3515" s="12" t="s">
        <v>429</v>
      </c>
      <c r="C3515" s="1">
        <f>IFERROR(VLOOKUP(21,'PEDIDO 44'!$C$2:$E$230,3,0),0)</f>
        <v>0</v>
      </c>
      <c r="D3515" s="1"/>
      <c r="E3515" s="1"/>
      <c r="F3515" s="1"/>
      <c r="G3515" s="18">
        <f t="shared" si="106"/>
        <v>0</v>
      </c>
    </row>
    <row r="3516" spans="1:7" ht="15.75" x14ac:dyDescent="0.25">
      <c r="A3516" s="15">
        <f>'PEDIDO 44'!$B$2</f>
        <v>0</v>
      </c>
      <c r="B3516" s="12" t="s">
        <v>430</v>
      </c>
      <c r="C3516" s="1">
        <f>IFERROR(VLOOKUP(1125,'PEDIDO 44'!$C$2:$E$230,3,0),0)</f>
        <v>0</v>
      </c>
      <c r="D3516" s="1">
        <f>IFERROR(VLOOKUP(1126,'PEDIDO 44'!$C$2:$E$230,3,0),0)</f>
        <v>0</v>
      </c>
      <c r="E3516" s="1">
        <f>IFERROR(VLOOKUP(1127,'PEDIDO 44'!$C$2:$E$230,3,0),0)</f>
        <v>0</v>
      </c>
      <c r="F3516" s="1">
        <f>IFERROR(VLOOKUP(1128,'PEDIDO 44'!$C$2:$E$230,3,0),0)</f>
        <v>0</v>
      </c>
      <c r="G3516" s="18">
        <f t="shared" si="106"/>
        <v>0</v>
      </c>
    </row>
    <row r="3517" spans="1:7" ht="15.75" x14ac:dyDescent="0.25">
      <c r="A3517" s="15">
        <f>'PEDIDO 44'!$B$2</f>
        <v>0</v>
      </c>
      <c r="B3517" s="12" t="s">
        <v>431</v>
      </c>
      <c r="C3517" s="1">
        <f>IFERROR(VLOOKUP(1133,'PEDIDO 44'!$C$2:$E$230,3,0),0)</f>
        <v>0</v>
      </c>
      <c r="D3517" s="1">
        <f>IFERROR(VLOOKUP(1134,'PEDIDO 44'!$C$2:$E$230,3,0),0)</f>
        <v>0</v>
      </c>
      <c r="E3517" s="1">
        <f>IFERROR(VLOOKUP(1135,'PEDIDO 44'!$C$2:$E$230,3,0),0)</f>
        <v>0</v>
      </c>
      <c r="F3517" s="1">
        <f>IFERROR(VLOOKUP(1136,'PEDIDO 44'!$C$2:$E$230,3,0),0)</f>
        <v>0</v>
      </c>
      <c r="G3517" s="18">
        <f t="shared" si="106"/>
        <v>0</v>
      </c>
    </row>
    <row r="3518" spans="1:7" ht="15.75" x14ac:dyDescent="0.25">
      <c r="A3518" s="15">
        <f>'PEDIDO 44'!$B$2</f>
        <v>0</v>
      </c>
      <c r="B3518" s="12" t="s">
        <v>432</v>
      </c>
      <c r="C3518" s="1">
        <f>IFERROR(VLOOKUP(1105,'PEDIDO 44'!$C$2:$E$230,3,0),0)</f>
        <v>0</v>
      </c>
      <c r="D3518" s="1">
        <f>IFERROR(VLOOKUP(1106,'PEDIDO 44'!$C$2:$E$230,3,0),0)</f>
        <v>0</v>
      </c>
      <c r="E3518" s="1">
        <f>IFERROR(VLOOKUP(1107,'PEDIDO 44'!$C$2:$E$230,3,0),0)</f>
        <v>0</v>
      </c>
      <c r="F3518" s="1">
        <f>IFERROR(VLOOKUP(1108,'PEDIDO 44'!$C$2:$E$230,3,0),0)</f>
        <v>0</v>
      </c>
      <c r="G3518" s="18">
        <f t="shared" si="106"/>
        <v>0</v>
      </c>
    </row>
    <row r="3519" spans="1:7" ht="15.75" x14ac:dyDescent="0.25">
      <c r="A3519" s="15">
        <f>'PEDIDO 44'!$B$2</f>
        <v>0</v>
      </c>
      <c r="B3519" s="12" t="s">
        <v>433</v>
      </c>
      <c r="C3519" s="1">
        <f>IFERROR(VLOOKUP(1109,'PEDIDO 44'!$C$2:$E$230,3,0),0)</f>
        <v>0</v>
      </c>
      <c r="D3519" s="1">
        <f>IFERROR(VLOOKUP(1110,'PEDIDO 44'!$C$2:$E$230,3,0),0)</f>
        <v>0</v>
      </c>
      <c r="E3519" s="1">
        <f>IFERROR(VLOOKUP(1111,'PEDIDO 44'!$C$2:$E$230,3,0),0)</f>
        <v>0</v>
      </c>
      <c r="F3519" s="1">
        <f>IFERROR(VLOOKUP(1112,'PEDIDO 44'!$C$2:$E$230,3,0),0)</f>
        <v>0</v>
      </c>
      <c r="G3519" s="18">
        <f t="shared" si="106"/>
        <v>0</v>
      </c>
    </row>
    <row r="3520" spans="1:7" ht="15.75" x14ac:dyDescent="0.25">
      <c r="A3520" s="15">
        <f>'PEDIDO 44'!$B$2</f>
        <v>0</v>
      </c>
      <c r="B3520" s="12" t="s">
        <v>434</v>
      </c>
      <c r="C3520" s="1">
        <f>IFERROR(VLOOKUP(1113,'PEDIDO 44'!$C$2:$E$230,3,0),0)</f>
        <v>0</v>
      </c>
      <c r="D3520" s="1">
        <f>IFERROR(VLOOKUP(1114,'PEDIDO 44'!$C$2:$E$230,3,0),0)</f>
        <v>0</v>
      </c>
      <c r="E3520" s="1">
        <f>IFERROR(VLOOKUP(1115,'PEDIDO 44'!$C$2:$E$230,3,0),0)</f>
        <v>0</v>
      </c>
      <c r="F3520" s="1">
        <f>IFERROR(VLOOKUP(1116,'PEDIDO 44'!$C$2:$E$230,3,0),0)</f>
        <v>0</v>
      </c>
      <c r="G3520" s="18">
        <f t="shared" si="106"/>
        <v>0</v>
      </c>
    </row>
    <row r="3521" spans="1:7" ht="15.75" x14ac:dyDescent="0.25">
      <c r="A3521" s="15">
        <f>'PEDIDO 44'!$B$2</f>
        <v>0</v>
      </c>
      <c r="B3521" s="12" t="s">
        <v>435</v>
      </c>
      <c r="C3521" s="1">
        <f>IFERROR(VLOOKUP(1117,'PEDIDO 44'!$C$2:$E$230,3,0),0)</f>
        <v>0</v>
      </c>
      <c r="D3521" s="1">
        <f>IFERROR(VLOOKUP(1118,'PEDIDO 44'!$C$2:$E$230,3,0),0)</f>
        <v>0</v>
      </c>
      <c r="E3521" s="1">
        <f>IFERROR(VLOOKUP(1119,'PEDIDO 44'!$C$2:$E$230,3,0),0)</f>
        <v>0</v>
      </c>
      <c r="F3521" s="1">
        <f>IFERROR(VLOOKUP(1120,'PEDIDO 44'!$C$2:$E$230,3,0),0)</f>
        <v>0</v>
      </c>
      <c r="G3521" s="18">
        <f t="shared" si="106"/>
        <v>0</v>
      </c>
    </row>
    <row r="3522" spans="1:7" ht="15.75" x14ac:dyDescent="0.25">
      <c r="A3522" s="15">
        <f>'PEDIDO 44'!$B$2</f>
        <v>0</v>
      </c>
      <c r="B3522" s="12" t="s">
        <v>436</v>
      </c>
      <c r="C3522" s="1">
        <f>IFERROR(VLOOKUP(1121,'PEDIDO 44'!$C$2:$E$230,3,0),0)</f>
        <v>0</v>
      </c>
      <c r="D3522" s="1">
        <f>IFERROR(VLOOKUP(1122,'PEDIDO 44'!$C$2:$E$230,3,0),0)</f>
        <v>0</v>
      </c>
      <c r="E3522" s="1">
        <f>IFERROR(VLOOKUP(1123,'PEDIDO 44'!$C$2:$E$230,3,0),0)</f>
        <v>0</v>
      </c>
      <c r="F3522" s="1">
        <f>IFERROR(VLOOKUP(1124,'PEDIDO 44'!$C$2:$E$230,3,0),0)</f>
        <v>0</v>
      </c>
      <c r="G3522" s="18">
        <f t="shared" si="106"/>
        <v>0</v>
      </c>
    </row>
    <row r="3523" spans="1:7" ht="15.75" x14ac:dyDescent="0.25">
      <c r="A3523" s="15">
        <f>'PEDIDO 44'!$B$2</f>
        <v>0</v>
      </c>
      <c r="B3523" s="12" t="s">
        <v>437</v>
      </c>
      <c r="C3523" s="1">
        <f>IFERROR(VLOOKUP(1129,'PEDIDO 44'!$C$2:$E$230,3,0),0)</f>
        <v>0</v>
      </c>
      <c r="D3523" s="1">
        <f>IFERROR(VLOOKUP(1130,'PEDIDO 44'!$C$2:$E$230,3,0),0)</f>
        <v>0</v>
      </c>
      <c r="E3523" s="1">
        <f>IFERROR(VLOOKUP(1131,'PEDIDO 44'!$C$2:$E$230,3,0),0)</f>
        <v>0</v>
      </c>
      <c r="F3523" s="1">
        <f>IFERROR(VLOOKUP(1132,'PEDIDO 44'!$C$2:$E$230,3,0),0)</f>
        <v>0</v>
      </c>
      <c r="G3523" s="18">
        <f t="shared" si="106"/>
        <v>0</v>
      </c>
    </row>
    <row r="3524" spans="1:7" ht="15.75" x14ac:dyDescent="0.25">
      <c r="A3524" s="15">
        <f>'PEDIDO 44'!$B$2</f>
        <v>0</v>
      </c>
      <c r="B3524" s="12" t="s">
        <v>438</v>
      </c>
      <c r="C3524" s="1">
        <f>IFERROR(VLOOKUP(1137,'PEDIDO 44'!$C$2:$E$230,3,0),0)</f>
        <v>0</v>
      </c>
      <c r="D3524" s="1">
        <f>IFERROR(VLOOKUP(1138,'PEDIDO 44'!$C$2:$E$230,3,0),0)</f>
        <v>0</v>
      </c>
      <c r="E3524" s="1">
        <f>IFERROR(VLOOKUP(1139,'PEDIDO 44'!$C$2:$E$230,3,0),0)</f>
        <v>0</v>
      </c>
      <c r="F3524" s="1">
        <f>IFERROR(VLOOKUP(1140,'PEDIDO 44'!$C$2:$E$230,3,0),0)</f>
        <v>0</v>
      </c>
      <c r="G3524" s="18">
        <f t="shared" si="106"/>
        <v>0</v>
      </c>
    </row>
    <row r="3525" spans="1:7" ht="15.75" x14ac:dyDescent="0.25">
      <c r="A3525" s="15">
        <f>'PEDIDO 44'!$B$2</f>
        <v>0</v>
      </c>
      <c r="B3525" s="12" t="s">
        <v>439</v>
      </c>
      <c r="C3525" s="1">
        <f>IFERROR(VLOOKUP(1141,'PEDIDO 44'!$C$2:$E$230,3,0),0)</f>
        <v>0</v>
      </c>
      <c r="D3525" s="1">
        <f>IFERROR(VLOOKUP(1142,'PEDIDO 44'!$C$2:$E$230,3,0),0)</f>
        <v>0</v>
      </c>
      <c r="E3525" s="1">
        <f>IFERROR(VLOOKUP(1143,'PEDIDO 44'!$C$2:$E$230,3,0),0)</f>
        <v>0</v>
      </c>
      <c r="F3525" s="1">
        <f>IFERROR(VLOOKUP(1144,'PEDIDO 44'!$C$2:$E$230,3,0),0)</f>
        <v>0</v>
      </c>
      <c r="G3525" s="18">
        <f t="shared" si="106"/>
        <v>0</v>
      </c>
    </row>
    <row r="3526" spans="1:7" ht="15.75" x14ac:dyDescent="0.25">
      <c r="A3526" s="15">
        <f>'PEDIDO 44'!$B$2</f>
        <v>0</v>
      </c>
      <c r="B3526" s="12" t="s">
        <v>440</v>
      </c>
      <c r="C3526" s="1">
        <f>IFERROR(VLOOKUP(1145,'PEDIDO 44'!$C$2:$E$230,3,0),0)</f>
        <v>0</v>
      </c>
      <c r="D3526" s="1">
        <f>IFERROR(VLOOKUP(1146,'PEDIDO 44'!$C$2:$E$230,3,0),0)</f>
        <v>0</v>
      </c>
      <c r="E3526" s="1">
        <f>IFERROR(VLOOKUP(1147,'PEDIDO 44'!$C$2:$E$230,3,0),0)</f>
        <v>0</v>
      </c>
      <c r="F3526" s="1">
        <f>IFERROR(VLOOKUP(1148,'PEDIDO 44'!$C$2:$E$230,3,0),0)</f>
        <v>0</v>
      </c>
      <c r="G3526" s="18">
        <f t="shared" si="106"/>
        <v>0</v>
      </c>
    </row>
    <row r="3527" spans="1:7" ht="15.75" x14ac:dyDescent="0.25">
      <c r="A3527" s="15">
        <f>'PEDIDO 44'!$B$2</f>
        <v>0</v>
      </c>
      <c r="B3527" s="12" t="s">
        <v>441</v>
      </c>
      <c r="C3527" s="1">
        <f>IFERROR(VLOOKUP(1149,'PEDIDO 44'!$C$2:$E$230,3,0),0)</f>
        <v>0</v>
      </c>
      <c r="D3527" s="1">
        <f>IFERROR(VLOOKUP(1150,'PEDIDO 44'!$C$2:$E$230,3,0),0)</f>
        <v>0</v>
      </c>
      <c r="E3527" s="1">
        <f>IFERROR(VLOOKUP(1151,'PEDIDO 44'!$C$2:$E$230,3,0),0)</f>
        <v>0</v>
      </c>
      <c r="F3527" s="1">
        <f>IFERROR(VLOOKUP(1152,'PEDIDO 44'!$C$2:$E$230,3,0),0)</f>
        <v>0</v>
      </c>
      <c r="G3527" s="18">
        <f t="shared" si="106"/>
        <v>0</v>
      </c>
    </row>
    <row r="3528" spans="1:7" ht="15.75" x14ac:dyDescent="0.25">
      <c r="A3528" s="15">
        <f>'PEDIDO 44'!$B$2</f>
        <v>0</v>
      </c>
      <c r="B3528" s="12" t="s">
        <v>442</v>
      </c>
      <c r="C3528" s="1">
        <f>IFERROR(VLOOKUP(1153,'PEDIDO 44'!$C$2:$E$230,3,0),0)</f>
        <v>0</v>
      </c>
      <c r="D3528" s="1">
        <f>IFERROR(VLOOKUP(1154,'PEDIDO 44'!$C$2:$E$230,3,0),0)</f>
        <v>0</v>
      </c>
      <c r="E3528" s="1">
        <f>IFERROR(VLOOKUP(1155,'PEDIDO 44'!$C$2:$E$230,3,0),0)</f>
        <v>0</v>
      </c>
      <c r="F3528" s="1">
        <f>IFERROR(VLOOKUP(1156,'PEDIDO 44'!$C$2:$E$230,3,0),0)</f>
        <v>0</v>
      </c>
      <c r="G3528" s="18">
        <f t="shared" si="106"/>
        <v>0</v>
      </c>
    </row>
    <row r="3529" spans="1:7" ht="15.75" x14ac:dyDescent="0.25">
      <c r="A3529" s="15">
        <f>'PEDIDO 44'!$B$2</f>
        <v>0</v>
      </c>
      <c r="B3529" s="12" t="s">
        <v>443</v>
      </c>
      <c r="C3529" s="1">
        <f>IFERROR(VLOOKUP(1157,'PEDIDO 44'!$C$2:$E$230,3,0),0)</f>
        <v>0</v>
      </c>
      <c r="D3529" s="1">
        <f>IFERROR(VLOOKUP(1158,'PEDIDO 44'!$C$2:$E$230,3,0),0)</f>
        <v>0</v>
      </c>
      <c r="E3529" s="1">
        <f>IFERROR(VLOOKUP(1159,'PEDIDO 44'!$C$2:$E$230,3,0),0)</f>
        <v>0</v>
      </c>
      <c r="F3529" s="1">
        <f>IFERROR(VLOOKUP(1160,'PEDIDO 44'!$C$2:$E$230,3,0),0)</f>
        <v>0</v>
      </c>
      <c r="G3529" s="18">
        <f t="shared" si="106"/>
        <v>0</v>
      </c>
    </row>
    <row r="3530" spans="1:7" ht="15.75" x14ac:dyDescent="0.25">
      <c r="A3530" s="15">
        <f>'PEDIDO 44'!$B$2</f>
        <v>0</v>
      </c>
      <c r="B3530" s="12" t="s">
        <v>444</v>
      </c>
      <c r="C3530" s="1">
        <f>IFERROR(VLOOKUP(1161,'PEDIDO 44'!$C$2:$E$230,3,0),0)</f>
        <v>0</v>
      </c>
      <c r="D3530" s="1">
        <f>IFERROR(VLOOKUP(1162,'PEDIDO 44'!$C$2:$E$230,3,0),0)</f>
        <v>0</v>
      </c>
      <c r="E3530" s="1">
        <f>IFERROR(VLOOKUP(1163,'PEDIDO 44'!$C$2:$E$230,3,0),0)</f>
        <v>0</v>
      </c>
      <c r="F3530" s="1">
        <f>IFERROR(VLOOKUP(1164,'PEDIDO 44'!$C$2:$E$230,3,0),0)</f>
        <v>0</v>
      </c>
      <c r="G3530" s="18">
        <f t="shared" si="106"/>
        <v>0</v>
      </c>
    </row>
    <row r="3531" spans="1:7" ht="15.75" x14ac:dyDescent="0.25">
      <c r="A3531" s="15">
        <f>'PEDIDO 44'!$B$2</f>
        <v>0</v>
      </c>
      <c r="B3531" s="12" t="s">
        <v>445</v>
      </c>
      <c r="C3531" s="1">
        <f>IFERROR(VLOOKUP(1165,'PEDIDO 44'!$C$2:$E$230,3,0),0)</f>
        <v>0</v>
      </c>
      <c r="D3531" s="1">
        <f>IFERROR(VLOOKUP(1166,'PEDIDO 44'!$C$2:$E$230,3,0),0)</f>
        <v>0</v>
      </c>
      <c r="E3531" s="1">
        <f>IFERROR(VLOOKUP(1167,'PEDIDO 44'!$C$2:$E$230,3,0),0)</f>
        <v>0</v>
      </c>
      <c r="F3531" s="1">
        <f>IFERROR(VLOOKUP(1168,'PEDIDO 44'!$C$2:$E$230,3,0),0)</f>
        <v>0</v>
      </c>
      <c r="G3531" s="18">
        <f t="shared" si="106"/>
        <v>0</v>
      </c>
    </row>
    <row r="3532" spans="1:7" ht="15.75" x14ac:dyDescent="0.25">
      <c r="A3532" s="15">
        <f>'PEDIDO 44'!$B$2</f>
        <v>0</v>
      </c>
      <c r="B3532" s="12" t="s">
        <v>446</v>
      </c>
      <c r="C3532" s="1">
        <f>IFERROR(VLOOKUP(1169,'PEDIDO 44'!$C$2:$E$230,3,0),0)</f>
        <v>0</v>
      </c>
      <c r="D3532" s="1">
        <f>IFERROR(VLOOKUP(1170,'PEDIDO 44'!$C$2:$E$230,3,0),0)</f>
        <v>0</v>
      </c>
      <c r="E3532" s="1">
        <f>IFERROR(VLOOKUP(1171,'PEDIDO 44'!$C$2:$E$230,3,0),0)</f>
        <v>0</v>
      </c>
      <c r="F3532" s="1">
        <f>IFERROR(VLOOKUP(1172,'PEDIDO 44'!$C$2:$E$230,3,0),0)</f>
        <v>0</v>
      </c>
      <c r="G3532" s="18">
        <f t="shared" si="106"/>
        <v>0</v>
      </c>
    </row>
    <row r="3533" spans="1:7" ht="15.75" x14ac:dyDescent="0.25">
      <c r="A3533" s="15">
        <f>'PEDIDO 44'!$B$2</f>
        <v>0</v>
      </c>
      <c r="B3533" s="12" t="s">
        <v>447</v>
      </c>
      <c r="C3533" s="1">
        <f>IFERROR(VLOOKUP(1173,'PEDIDO 44'!$C$2:$E$230,3,0),0)</f>
        <v>0</v>
      </c>
      <c r="D3533" s="1">
        <f>IFERROR(VLOOKUP(1174,'PEDIDO 44'!$C$2:$E$230,3,0),0)</f>
        <v>0</v>
      </c>
      <c r="E3533" s="1">
        <f>IFERROR(VLOOKUP(1175,'PEDIDO 44'!$C$2:$E$230,3,0),0)</f>
        <v>0</v>
      </c>
      <c r="F3533" s="1">
        <f>IFERROR(VLOOKUP(1176,'PEDIDO 44'!$C$2:$E$230,3,0),0)</f>
        <v>0</v>
      </c>
      <c r="G3533" s="18">
        <f t="shared" si="106"/>
        <v>0</v>
      </c>
    </row>
    <row r="3534" spans="1:7" ht="15.75" x14ac:dyDescent="0.25">
      <c r="A3534" s="15">
        <f>'PEDIDO 44'!$B$2</f>
        <v>0</v>
      </c>
      <c r="B3534" s="12" t="s">
        <v>448</v>
      </c>
      <c r="C3534" s="1">
        <f>IFERROR(VLOOKUP(1249,'PEDIDO 44'!$C$2:$E$230,3,0),0)</f>
        <v>0</v>
      </c>
      <c r="D3534" s="1">
        <f>IFERROR(VLOOKUP(1250,'PEDIDO 44'!$C$2:$E$230,3,0),0)</f>
        <v>0</v>
      </c>
      <c r="E3534" s="1">
        <f>IFERROR(VLOOKUP(1251,'PEDIDO 44'!$C$2:$E$230,3,0),0)</f>
        <v>0</v>
      </c>
      <c r="F3534" s="1">
        <f>IFERROR(VLOOKUP(1252,'PEDIDO 44'!$C$2:$E$230,3,0),0)</f>
        <v>0</v>
      </c>
      <c r="G3534" s="18">
        <f t="shared" si="106"/>
        <v>0</v>
      </c>
    </row>
    <row r="3535" spans="1:7" ht="15.75" x14ac:dyDescent="0.25">
      <c r="A3535" s="15">
        <f>'PEDIDO 44'!$B$2</f>
        <v>0</v>
      </c>
      <c r="B3535" s="12" t="s">
        <v>449</v>
      </c>
      <c r="C3535" s="1">
        <f>IFERROR(VLOOKUP(1177,'PEDIDO 44'!$C$2:$E$230,3,0),0)</f>
        <v>0</v>
      </c>
      <c r="D3535" s="1">
        <f>IFERROR(VLOOKUP(1178,'PEDIDO 44'!$C$2:$E$230,3,0),0)</f>
        <v>0</v>
      </c>
      <c r="E3535" s="1">
        <f>IFERROR(VLOOKUP(1179,'PEDIDO 44'!$C$2:$E$230,3,0),0)</f>
        <v>0</v>
      </c>
      <c r="F3535" s="1">
        <f>IFERROR(VLOOKUP(1180,'PEDIDO 44'!$C$2:$E$230,3,0),0)</f>
        <v>0</v>
      </c>
      <c r="G3535" s="18">
        <f t="shared" si="106"/>
        <v>0</v>
      </c>
    </row>
    <row r="3536" spans="1:7" ht="15.75" x14ac:dyDescent="0.25">
      <c r="A3536" s="15">
        <f>'PEDIDO 44'!$B$2</f>
        <v>0</v>
      </c>
      <c r="B3536" s="12" t="s">
        <v>450</v>
      </c>
      <c r="C3536" s="1">
        <f>IFERROR(VLOOKUP(1181,'PEDIDO 44'!$C$2:$E$230,3,0),0)</f>
        <v>0</v>
      </c>
      <c r="D3536" s="1">
        <f>IFERROR(VLOOKUP(1182,'PEDIDO 44'!$C$2:$E$230,3,0),0)</f>
        <v>0</v>
      </c>
      <c r="E3536" s="1">
        <f>IFERROR(VLOOKUP(1183,'PEDIDO 44'!$C$2:$E$230,3,0),0)</f>
        <v>0</v>
      </c>
      <c r="F3536" s="1">
        <f>IFERROR(VLOOKUP(1184,'PEDIDO 44'!$C$2:$E$230,3,0),0)</f>
        <v>0</v>
      </c>
      <c r="G3536" s="18">
        <f t="shared" si="106"/>
        <v>0</v>
      </c>
    </row>
    <row r="3537" spans="1:7" ht="15.75" x14ac:dyDescent="0.25">
      <c r="A3537" s="15">
        <f>'PEDIDO 44'!$B$2</f>
        <v>0</v>
      </c>
      <c r="B3537" s="12" t="s">
        <v>451</v>
      </c>
      <c r="C3537" s="1">
        <f>IFERROR(VLOOKUP(1185,'PEDIDO 44'!$C$2:$E$230,3,0),0)</f>
        <v>0</v>
      </c>
      <c r="D3537" s="1">
        <f>IFERROR(VLOOKUP(1186,'PEDIDO 44'!$C$2:$E$230,3,0),0)</f>
        <v>0</v>
      </c>
      <c r="E3537" s="1">
        <f>IFERROR(VLOOKUP(1187,'PEDIDO 44'!$C$2:$E$230,3,0),0)</f>
        <v>0</v>
      </c>
      <c r="F3537" s="1">
        <f>IFERROR(VLOOKUP(1188,'PEDIDO 44'!$C$2:$E$230,3,0),0)</f>
        <v>0</v>
      </c>
      <c r="G3537" s="18">
        <f t="shared" si="106"/>
        <v>0</v>
      </c>
    </row>
    <row r="3538" spans="1:7" ht="15.75" x14ac:dyDescent="0.25">
      <c r="A3538" s="15">
        <f>'PEDIDO 44'!$B$2</f>
        <v>0</v>
      </c>
      <c r="B3538" s="12" t="s">
        <v>452</v>
      </c>
      <c r="C3538" s="1">
        <f>IFERROR(VLOOKUP(1189,'PEDIDO 44'!$C$2:$E$230,3,0),0)</f>
        <v>0</v>
      </c>
      <c r="D3538" s="1">
        <f>IFERROR(VLOOKUP(1190,'PEDIDO 44'!$C$2:$E$230,3,0),0)</f>
        <v>0</v>
      </c>
      <c r="E3538" s="1">
        <f>IFERROR(VLOOKUP(1191,'PEDIDO 44'!$C$2:$E$230,3,0),0)</f>
        <v>0</v>
      </c>
      <c r="F3538" s="1">
        <f>IFERROR(VLOOKUP(1192,'PEDIDO 44'!$C$2:$E$230,3,0),0)</f>
        <v>0</v>
      </c>
      <c r="G3538" s="18">
        <f t="shared" si="106"/>
        <v>0</v>
      </c>
    </row>
    <row r="3539" spans="1:7" ht="15.75" x14ac:dyDescent="0.25">
      <c r="A3539" s="15">
        <f>'PEDIDO 44'!$B$2</f>
        <v>0</v>
      </c>
      <c r="B3539" s="12" t="s">
        <v>453</v>
      </c>
      <c r="C3539" s="1">
        <f>IFERROR(VLOOKUP(1193,'PEDIDO 44'!$C$2:$E$230,3,0),0)</f>
        <v>0</v>
      </c>
      <c r="D3539" s="1">
        <f>IFERROR(VLOOKUP(1194,'PEDIDO 44'!$C$2:$E$230,3,0),0)</f>
        <v>0</v>
      </c>
      <c r="E3539" s="1">
        <f>IFERROR(VLOOKUP(1195,'PEDIDO 44'!$C$2:$E$230,3,0),0)</f>
        <v>0</v>
      </c>
      <c r="F3539" s="1">
        <f>IFERROR(VLOOKUP(1196,'PEDIDO 44'!$C$2:$E$230,3,0),0)</f>
        <v>0</v>
      </c>
      <c r="G3539" s="18">
        <f t="shared" si="106"/>
        <v>0</v>
      </c>
    </row>
    <row r="3540" spans="1:7" ht="15.75" x14ac:dyDescent="0.25">
      <c r="A3540" s="15">
        <f>'PEDIDO 44'!$B$2</f>
        <v>0</v>
      </c>
      <c r="B3540" s="12" t="s">
        <v>454</v>
      </c>
      <c r="C3540" s="1">
        <f>IFERROR(VLOOKUP(1197,'PEDIDO 44'!$C$2:$E$230,3,0),0)</f>
        <v>0</v>
      </c>
      <c r="D3540" s="1">
        <f>IFERROR(VLOOKUP(1198,'PEDIDO 44'!$C$2:$E$230,3,0),0)</f>
        <v>0</v>
      </c>
      <c r="E3540" s="1">
        <f>IFERROR(VLOOKUP(1199,'PEDIDO 44'!$C$2:$E$230,3,0),0)</f>
        <v>0</v>
      </c>
      <c r="F3540" s="1">
        <f>IFERROR(VLOOKUP(1200,'PEDIDO 44'!$C$2:$E$230,3,0),0)</f>
        <v>0</v>
      </c>
      <c r="G3540" s="18">
        <f t="shared" si="106"/>
        <v>0</v>
      </c>
    </row>
    <row r="3541" spans="1:7" ht="15.75" x14ac:dyDescent="0.25">
      <c r="A3541" s="15">
        <f>'PEDIDO 44'!$B$2</f>
        <v>0</v>
      </c>
      <c r="B3541" s="12" t="s">
        <v>455</v>
      </c>
      <c r="C3541" s="1">
        <f>IFERROR(VLOOKUP(1201,'PEDIDO 44'!$C$2:$E$230,3,0),0)</f>
        <v>0</v>
      </c>
      <c r="D3541" s="1">
        <f>IFERROR(VLOOKUP(1202,'PEDIDO 44'!$C$2:$E$230,3,0),0)</f>
        <v>0</v>
      </c>
      <c r="E3541" s="1">
        <f>IFERROR(VLOOKUP(1203,'PEDIDO 44'!$C$2:$E$230,3,0),0)</f>
        <v>0</v>
      </c>
      <c r="F3541" s="1">
        <f>IFERROR(VLOOKUP(1204,'PEDIDO 44'!$C$2:$E$230,3,0),0)</f>
        <v>0</v>
      </c>
      <c r="G3541" s="18">
        <f t="shared" si="106"/>
        <v>0</v>
      </c>
    </row>
    <row r="3542" spans="1:7" ht="15.75" x14ac:dyDescent="0.25">
      <c r="A3542" s="15">
        <f>'PEDIDO 44'!$B$2</f>
        <v>0</v>
      </c>
      <c r="B3542" s="12" t="s">
        <v>456</v>
      </c>
      <c r="C3542" s="1">
        <f>IFERROR(VLOOKUP(1205,'PEDIDO 44'!$C$2:$E$230,3,0),0)</f>
        <v>0</v>
      </c>
      <c r="D3542" s="1">
        <f>IFERROR(VLOOKUP(1206,'PEDIDO 44'!$C$2:$E$230,3,0),0)</f>
        <v>0</v>
      </c>
      <c r="E3542" s="1">
        <f>IFERROR(VLOOKUP(1207,'PEDIDO 44'!$C$2:$E$230,3,0),0)</f>
        <v>0</v>
      </c>
      <c r="F3542" s="1">
        <f>IFERROR(VLOOKUP(1208,'PEDIDO 44'!$C$2:$E$230,3,0),0)</f>
        <v>0</v>
      </c>
      <c r="G3542" s="18">
        <f t="shared" si="106"/>
        <v>0</v>
      </c>
    </row>
    <row r="3543" spans="1:7" ht="15.75" x14ac:dyDescent="0.25">
      <c r="A3543" s="15">
        <f>'PEDIDO 44'!$B$2</f>
        <v>0</v>
      </c>
      <c r="B3543" s="12" t="s">
        <v>457</v>
      </c>
      <c r="C3543" s="1">
        <f>IFERROR(VLOOKUP(1213,'PEDIDO 44'!$C$2:$E$230,3,0),0)</f>
        <v>0</v>
      </c>
      <c r="D3543" s="1">
        <f>IFERROR(VLOOKUP(1214,'PEDIDO 44'!$C$2:$E$230,3,0),0)</f>
        <v>0</v>
      </c>
      <c r="E3543" s="1">
        <f>IFERROR(VLOOKUP(1215,'PEDIDO 44'!$C$2:$E$230,3,0),0)</f>
        <v>0</v>
      </c>
      <c r="F3543" s="10">
        <f>IFERROR(VLOOKUP(1216,'PEDIDO 44'!$C$2:$E$230,3,0),0)</f>
        <v>0</v>
      </c>
      <c r="G3543" s="18">
        <f t="shared" si="106"/>
        <v>0</v>
      </c>
    </row>
    <row r="3544" spans="1:7" ht="15.75" x14ac:dyDescent="0.25">
      <c r="A3544" s="15">
        <f>'PEDIDO 44'!$B$2</f>
        <v>0</v>
      </c>
      <c r="B3544" s="12" t="s">
        <v>458</v>
      </c>
      <c r="C3544" s="1">
        <f>IFERROR(VLOOKUP(1209,'PEDIDO 44'!$C$2:$E$230,3,0),0)</f>
        <v>0</v>
      </c>
      <c r="D3544" s="1">
        <f>IFERROR(VLOOKUP(1210,'PEDIDO 44'!$C$2:$E$230,3,0),0)</f>
        <v>0</v>
      </c>
      <c r="E3544" s="1">
        <f>IFERROR(VLOOKUP(1211,'PEDIDO 44'!$C$2:$E$230,3,0),0)</f>
        <v>0</v>
      </c>
      <c r="F3544" s="1">
        <f>IFERROR(VLOOKUP(1212,'PEDIDO 44'!$C$2:$E$230,3,0),0)</f>
        <v>0</v>
      </c>
      <c r="G3544" s="18">
        <f t="shared" si="106"/>
        <v>0</v>
      </c>
    </row>
    <row r="3545" spans="1:7" ht="15.75" x14ac:dyDescent="0.25">
      <c r="A3545" s="15">
        <f>'PEDIDO 44'!$B$2</f>
        <v>0</v>
      </c>
      <c r="B3545" s="12" t="s">
        <v>459</v>
      </c>
      <c r="C3545" s="1">
        <f>IFERROR(VLOOKUP(1217,'PEDIDO 44'!$C$2:$E$230,3,0),0)</f>
        <v>0</v>
      </c>
      <c r="D3545" s="1">
        <f>IFERROR(VLOOKUP(1218,'PEDIDO 44'!$C$2:$E$230,3,0),0)</f>
        <v>0</v>
      </c>
      <c r="E3545" s="1">
        <f>IFERROR(VLOOKUP(1219,'PEDIDO 44'!$C$2:$E$230,3,0),0)</f>
        <v>0</v>
      </c>
      <c r="F3545" s="1">
        <f>IFERROR(VLOOKUP(1220,'PEDIDO 44'!$C$2:$E$230,3,0),0)</f>
        <v>0</v>
      </c>
      <c r="G3545" s="18">
        <f t="shared" si="106"/>
        <v>0</v>
      </c>
    </row>
    <row r="3546" spans="1:7" ht="15.75" x14ac:dyDescent="0.25">
      <c r="A3546" s="15">
        <f>'PEDIDO 44'!$B$2</f>
        <v>0</v>
      </c>
      <c r="B3546" s="12" t="s">
        <v>461</v>
      </c>
      <c r="C3546" s="1">
        <f>IFERROR(VLOOKUP(1225,'PEDIDO 44'!$C$2:$E$230,3,0),0)</f>
        <v>0</v>
      </c>
      <c r="D3546" s="1">
        <f>IFERROR(VLOOKUP(1226,'PEDIDO 44'!$C$2:$E$230,3,0),0)</f>
        <v>0</v>
      </c>
      <c r="E3546" s="1">
        <f>IFERROR(VLOOKUP(1227,'PEDIDO 44'!$C$2:$E$230,3,0),0)</f>
        <v>0</v>
      </c>
      <c r="F3546" s="1">
        <f>IFERROR(VLOOKUP(1228,'PEDIDO 44'!$C$2:$E$230,3,0),0)</f>
        <v>0</v>
      </c>
      <c r="G3546" s="18">
        <f t="shared" si="106"/>
        <v>0</v>
      </c>
    </row>
    <row r="3547" spans="1:7" ht="15.75" x14ac:dyDescent="0.25">
      <c r="A3547" s="15">
        <f>'PEDIDO 44'!$B$2</f>
        <v>0</v>
      </c>
      <c r="B3547" s="12" t="s">
        <v>462</v>
      </c>
      <c r="C3547" s="1">
        <f>IFERROR(VLOOKUP(1221,'PEDIDO 44'!$C$2:$E$230,3,0),0)</f>
        <v>0</v>
      </c>
      <c r="D3547" s="1">
        <f>IFERROR(VLOOKUP(1222,'PEDIDO 44'!$C$2:$E$230,3,0),0)</f>
        <v>0</v>
      </c>
      <c r="E3547" s="1">
        <f>IFERROR(VLOOKUP(1223,'PEDIDO 44'!$C$2:$E$230,3,0),0)</f>
        <v>0</v>
      </c>
      <c r="F3547" s="1">
        <f>IFERROR(VLOOKUP(1224,'PEDIDO 44'!$C$2:$E$230,3,0),0)</f>
        <v>0</v>
      </c>
      <c r="G3547" s="18">
        <f t="shared" si="106"/>
        <v>0</v>
      </c>
    </row>
    <row r="3548" spans="1:7" ht="15.75" x14ac:dyDescent="0.25">
      <c r="A3548" s="15">
        <f>'PEDIDO 44'!$B$2</f>
        <v>0</v>
      </c>
      <c r="B3548" s="12" t="s">
        <v>460</v>
      </c>
      <c r="C3548" s="1">
        <f>IFERROR(VLOOKUP(1229,'PEDIDO 44'!$C$2:$E$230,3,0),0)</f>
        <v>0</v>
      </c>
      <c r="D3548" s="1">
        <f>IFERROR(VLOOKUP(1230,'PEDIDO 44'!$C$2:$E$230,3,0),0)</f>
        <v>0</v>
      </c>
      <c r="E3548" s="1">
        <f>IFERROR(VLOOKUP(1231,'PEDIDO 44'!$C$2:$E$230,3,0),0)</f>
        <v>0</v>
      </c>
      <c r="F3548" s="1">
        <f>IFERROR(VLOOKUP(1232,'PEDIDO 44'!$C$2:$E$230,3,0),0)</f>
        <v>0</v>
      </c>
      <c r="G3548" s="18">
        <f t="shared" si="106"/>
        <v>0</v>
      </c>
    </row>
    <row r="3549" spans="1:7" ht="15.75" x14ac:dyDescent="0.25">
      <c r="A3549" s="15">
        <f>'PEDIDO 44'!$B$2</f>
        <v>0</v>
      </c>
      <c r="B3549" s="12" t="s">
        <v>463</v>
      </c>
      <c r="C3549" s="1">
        <f>IFERROR(VLOOKUP(1233,'PEDIDO 44'!$C$2:$E$230,3,0),0)</f>
        <v>0</v>
      </c>
      <c r="D3549" s="1">
        <f>IFERROR(VLOOKUP(1234,'PEDIDO 44'!$C$2:$E$230,3,0),0)</f>
        <v>0</v>
      </c>
      <c r="E3549" s="1">
        <f>IFERROR(VLOOKUP(1235,'PEDIDO 44'!$C$2:$E$230,3,0),0)</f>
        <v>0</v>
      </c>
      <c r="F3549" s="1">
        <f>IFERROR(VLOOKUP(1236,'PEDIDO 44'!$C$2:$E$230,3,0),0)</f>
        <v>0</v>
      </c>
      <c r="G3549" s="18">
        <f t="shared" si="106"/>
        <v>0</v>
      </c>
    </row>
    <row r="3550" spans="1:7" ht="15.75" x14ac:dyDescent="0.25">
      <c r="A3550" s="15">
        <f>'PEDIDO 44'!$B$2</f>
        <v>0</v>
      </c>
      <c r="B3550" s="12" t="s">
        <v>464</v>
      </c>
      <c r="C3550" s="1">
        <f>IFERROR(VLOOKUP(1237,'PEDIDO 44'!$C$2:$E$230,3,0),0)</f>
        <v>0</v>
      </c>
      <c r="D3550" s="1">
        <f>IFERROR(VLOOKUP(1238,'PEDIDO 44'!$C$2:$E$230,3,0),0)</f>
        <v>0</v>
      </c>
      <c r="E3550" s="1">
        <f>IFERROR(VLOOKUP(1239,'PEDIDO 44'!$C$2:$E$230,3,0),0)</f>
        <v>0</v>
      </c>
      <c r="F3550" s="1">
        <f>IFERROR(VLOOKUP(1240,'PEDIDO 44'!$C$2:$E$230,3,0),0)</f>
        <v>0</v>
      </c>
      <c r="G3550" s="18">
        <f t="shared" ref="G3550:G3562" si="107">SUM(C3550+D3550+E3550+F3550)</f>
        <v>0</v>
      </c>
    </row>
    <row r="3551" spans="1:7" ht="15.75" x14ac:dyDescent="0.25">
      <c r="A3551" s="15">
        <f>'PEDIDO 44'!$B$2</f>
        <v>0</v>
      </c>
      <c r="B3551" s="12" t="s">
        <v>465</v>
      </c>
      <c r="C3551" s="1">
        <f>IFERROR(VLOOKUP(1241,'PEDIDO 44'!$C$2:$E$230,3,0),0)</f>
        <v>0</v>
      </c>
      <c r="D3551" s="1">
        <f>IFERROR(VLOOKUP(1242,'PEDIDO 44'!$C$2:$E$230,3,0),0)</f>
        <v>0</v>
      </c>
      <c r="E3551" s="1">
        <f>IFERROR(VLOOKUP(1243,'PEDIDO 44'!$C$2:$E$230,3,0),0)</f>
        <v>0</v>
      </c>
      <c r="F3551" s="1">
        <f>IFERROR(VLOOKUP(1244,'PEDIDO 44'!$C$2:$E$230,3,0),0)</f>
        <v>0</v>
      </c>
      <c r="G3551" s="18">
        <f t="shared" si="107"/>
        <v>0</v>
      </c>
    </row>
    <row r="3552" spans="1:7" ht="15.75" x14ac:dyDescent="0.25">
      <c r="A3552" s="15">
        <f>'PEDIDO 44'!$B$2</f>
        <v>0</v>
      </c>
      <c r="B3552" s="12" t="s">
        <v>466</v>
      </c>
      <c r="C3552" s="1">
        <f>IFERROR(VLOOKUP(1245,'PEDIDO 44'!$C$2:$E$230,3,0),0)</f>
        <v>0</v>
      </c>
      <c r="D3552" s="1">
        <f>IFERROR(VLOOKUP(1246,'PEDIDO 44'!$C$2:$E$230,3,0),0)</f>
        <v>0</v>
      </c>
      <c r="E3552" s="1">
        <f>IFERROR(VLOOKUP(1247,'PEDIDO 44'!$C$2:$E$230,3,0),0)</f>
        <v>0</v>
      </c>
      <c r="F3552" s="1">
        <f>IFERROR(VLOOKUP(1248,'PEDIDO 44'!$C$2:$E$230,3,0),0)</f>
        <v>0</v>
      </c>
      <c r="G3552" s="18">
        <f t="shared" si="107"/>
        <v>0</v>
      </c>
    </row>
    <row r="3553" spans="1:7" ht="15.75" x14ac:dyDescent="0.25">
      <c r="A3553" s="15">
        <f>'PEDIDO 44'!$B$2</f>
        <v>0</v>
      </c>
      <c r="B3553" s="12" t="s">
        <v>467</v>
      </c>
      <c r="C3553" s="1">
        <f>IFERROR(VLOOKUP(25714,'PEDIDO 44'!$C$2:$E$230,3,0),0)</f>
        <v>0</v>
      </c>
      <c r="D3553" s="1"/>
      <c r="E3553" s="1"/>
      <c r="F3553" s="1"/>
      <c r="G3553" s="18">
        <f t="shared" si="107"/>
        <v>0</v>
      </c>
    </row>
    <row r="3554" spans="1:7" ht="15.75" x14ac:dyDescent="0.25">
      <c r="A3554" s="15">
        <f>'PEDIDO 44'!$B$2</f>
        <v>0</v>
      </c>
      <c r="B3554" s="12" t="s">
        <v>468</v>
      </c>
      <c r="C3554" s="1">
        <f>IFERROR(VLOOKUP(25712,'PEDIDO 44'!$C$2:$E$230,3,0),0)</f>
        <v>0</v>
      </c>
      <c r="D3554" s="1"/>
      <c r="E3554" s="1"/>
      <c r="F3554" s="1"/>
      <c r="G3554" s="18">
        <f t="shared" si="107"/>
        <v>0</v>
      </c>
    </row>
    <row r="3555" spans="1:7" ht="15.75" x14ac:dyDescent="0.25">
      <c r="A3555" s="15">
        <f>'PEDIDO 44'!$B$2</f>
        <v>0</v>
      </c>
      <c r="B3555" s="12" t="s">
        <v>469</v>
      </c>
      <c r="C3555" s="1">
        <f>IFERROR(VLOOKUP(25713,'PEDIDO 44'!$C$2:$E$230,3,0),0)</f>
        <v>0</v>
      </c>
      <c r="D3555" s="1"/>
      <c r="E3555" s="1"/>
      <c r="F3555" s="1"/>
      <c r="G3555" s="18">
        <f t="shared" si="107"/>
        <v>0</v>
      </c>
    </row>
    <row r="3556" spans="1:7" ht="15.75" x14ac:dyDescent="0.25">
      <c r="A3556" s="15">
        <f>'PEDIDO 44'!$B$2</f>
        <v>0</v>
      </c>
      <c r="B3556" s="12" t="s">
        <v>470</v>
      </c>
      <c r="C3556" s="1">
        <f>IFERROR(VLOOKUP(1260,'PEDIDO 44'!$C$2:$E$230,3,0),0)</f>
        <v>0</v>
      </c>
      <c r="D3556" s="1"/>
      <c r="E3556" s="1"/>
      <c r="F3556" s="1"/>
      <c r="G3556" s="18">
        <f t="shared" si="107"/>
        <v>0</v>
      </c>
    </row>
    <row r="3557" spans="1:7" ht="15.75" x14ac:dyDescent="0.25">
      <c r="A3557" s="15">
        <f>'PEDIDO 44'!$B$2</f>
        <v>0</v>
      </c>
      <c r="B3557" s="12" t="s">
        <v>471</v>
      </c>
      <c r="C3557" s="1">
        <f>IFERROR(VLOOKUP(1261,'PEDIDO 44'!$C$2:$E$230,3,0),0)</f>
        <v>0</v>
      </c>
      <c r="D3557" s="1"/>
      <c r="E3557" s="1"/>
      <c r="F3557" s="1"/>
      <c r="G3557" s="18">
        <f t="shared" si="107"/>
        <v>0</v>
      </c>
    </row>
    <row r="3558" spans="1:7" ht="15.75" x14ac:dyDescent="0.25">
      <c r="A3558" s="15">
        <f>'PEDIDO 44'!$B$2</f>
        <v>0</v>
      </c>
      <c r="B3558" s="12" t="s">
        <v>472</v>
      </c>
      <c r="C3558" s="1">
        <f>IFERROR(VLOOKUP(1262,'PEDIDO 44'!$C$2:$E$230,3,0),0)</f>
        <v>0</v>
      </c>
      <c r="D3558" s="1"/>
      <c r="E3558" s="1"/>
      <c r="F3558" s="1"/>
      <c r="G3558" s="18">
        <f t="shared" si="107"/>
        <v>0</v>
      </c>
    </row>
    <row r="3559" spans="1:7" ht="15.75" x14ac:dyDescent="0.25">
      <c r="A3559" s="15">
        <f>'PEDIDO 44'!$B$2</f>
        <v>0</v>
      </c>
      <c r="B3559" s="12" t="s">
        <v>473</v>
      </c>
      <c r="C3559" s="1">
        <f>IFERROR(VLOOKUP(1263,'PEDIDO 44'!$C$2:$E$230,3,0),0)</f>
        <v>0</v>
      </c>
      <c r="D3559" s="1"/>
      <c r="E3559" s="1"/>
      <c r="F3559" s="1"/>
      <c r="G3559" s="18">
        <f t="shared" si="107"/>
        <v>0</v>
      </c>
    </row>
    <row r="3560" spans="1:7" ht="15.75" x14ac:dyDescent="0.25">
      <c r="A3560" s="15">
        <f>'PEDIDO 44'!$B$2</f>
        <v>0</v>
      </c>
      <c r="B3560" s="12" t="s">
        <v>474</v>
      </c>
      <c r="C3560" s="1">
        <f>IFERROR(VLOOKUP(1264,'PEDIDO 44'!$C$2:$E$230,3,0),0)</f>
        <v>0</v>
      </c>
      <c r="D3560" s="1"/>
      <c r="E3560" s="1"/>
      <c r="F3560" s="1"/>
      <c r="G3560" s="18">
        <f t="shared" si="107"/>
        <v>0</v>
      </c>
    </row>
    <row r="3561" spans="1:7" ht="15.75" x14ac:dyDescent="0.25">
      <c r="A3561" s="15">
        <f>'PEDIDO 44'!$B$2</f>
        <v>0</v>
      </c>
      <c r="B3561" s="12" t="s">
        <v>475</v>
      </c>
      <c r="C3561" s="1">
        <f>IFERROR(VLOOKUP(1265,'PEDIDO 44'!$C$2:$E$230,3,0),0)</f>
        <v>0</v>
      </c>
      <c r="D3561" s="1"/>
      <c r="E3561" s="1"/>
      <c r="F3561" s="1"/>
      <c r="G3561" s="18">
        <f t="shared" si="107"/>
        <v>0</v>
      </c>
    </row>
    <row r="3562" spans="1:7" ht="15.75" x14ac:dyDescent="0.25">
      <c r="A3562" s="15">
        <f>'PEDIDO 44'!$B$2</f>
        <v>0</v>
      </c>
      <c r="B3562" s="12" t="s">
        <v>476</v>
      </c>
      <c r="C3562" s="1">
        <f>IFERROR(VLOOKUP(1266,'PEDIDO 44'!$C$2:$E$230,3,0),0)</f>
        <v>0</v>
      </c>
      <c r="D3562" s="1"/>
      <c r="E3562" s="1"/>
      <c r="F3562" s="1"/>
      <c r="G3562" s="18">
        <f t="shared" si="107"/>
        <v>0</v>
      </c>
    </row>
    <row r="3563" spans="1:7" ht="15.75" x14ac:dyDescent="0.25">
      <c r="A3563" s="15">
        <f>'PEDIDO 44'!$B$2</f>
        <v>0</v>
      </c>
      <c r="B3563" s="12" t="s">
        <v>477</v>
      </c>
      <c r="C3563" s="1">
        <f>IFERROR(VLOOKUP(1268,'PEDIDO 44'!$C$2:$E$230,3,0),0)</f>
        <v>0</v>
      </c>
      <c r="D3563" s="1">
        <f>IFERROR(VLOOKUP(1269,'PEDIDO 44'!$C$2:$E$230,3,0),0)</f>
        <v>0</v>
      </c>
      <c r="E3563" s="1">
        <f>IFERROR(VLOOKUP(1270,'PEDIDO 44'!$C$2:$E$230,3,0),0)</f>
        <v>0</v>
      </c>
      <c r="F3563" s="1">
        <f>IFERROR(VLOOKUP(1271,'PEDIDO 44'!$C$2:$E$230,3,0),0)</f>
        <v>0</v>
      </c>
      <c r="G3563" s="18">
        <f t="shared" ref="G3563" si="108">SUM(C3563+D3563+E3563+F3563)</f>
        <v>0</v>
      </c>
    </row>
    <row r="3566" spans="1:7" ht="15.75" x14ac:dyDescent="0.25">
      <c r="A3566" s="15">
        <f>'PEDIDO 45'!$B$2</f>
        <v>0</v>
      </c>
      <c r="B3566" s="12" t="s">
        <v>399</v>
      </c>
      <c r="C3566" s="1">
        <f>IFERROR(VLOOKUP(1,'PEDIDO 45'!$C$2:$E$230,3,0),0)</f>
        <v>0</v>
      </c>
      <c r="D3566" s="1">
        <f>IFERROR(VLOOKUP(2,'PEDIDO 45'!$C$2:$E$230,3,0),0)</f>
        <v>0</v>
      </c>
      <c r="E3566" s="1">
        <f>IFERROR(VLOOKUP(3,'PEDIDO 45'!$C$2:$E$230,3,0),0)</f>
        <v>0</v>
      </c>
      <c r="F3566" s="1">
        <f>IFERROR(VLOOKUP(282,'PEDIDO 45'!$C$2:$E$230,3,0),0)</f>
        <v>0</v>
      </c>
      <c r="G3566" s="18">
        <f>SUM(C3566+D3566+E3566+F3566)</f>
        <v>0</v>
      </c>
    </row>
    <row r="3567" spans="1:7" ht="15.75" x14ac:dyDescent="0.25">
      <c r="A3567" s="15">
        <f>'PEDIDO 45'!$B$2</f>
        <v>0</v>
      </c>
      <c r="B3567" s="12" t="s">
        <v>400</v>
      </c>
      <c r="C3567" s="1">
        <f>IFERROR(VLOOKUP(5,'PEDIDO 45'!$C$2:$E$230,3,0),0)</f>
        <v>0</v>
      </c>
      <c r="D3567" s="1">
        <f>IFERROR(VLOOKUP(6,'PEDIDO 45'!$C$2:$E$230,3,0),0)</f>
        <v>0</v>
      </c>
      <c r="E3567" s="1">
        <f>IFERROR(VLOOKUP(7,'PEDIDO 45'!$C$2:$E$230,3,0),0)</f>
        <v>0</v>
      </c>
      <c r="F3567" s="1">
        <f>IFERROR(VLOOKUP(258,'PEDIDO 45'!$C$2:$E$230,3,0),0)</f>
        <v>0</v>
      </c>
      <c r="G3567" s="18">
        <f t="shared" ref="G3567:G3630" si="109">SUM(C3567+D3567+E3567+F3567)</f>
        <v>0</v>
      </c>
    </row>
    <row r="3568" spans="1:7" ht="15.75" x14ac:dyDescent="0.25">
      <c r="A3568" s="15">
        <f>'PEDIDO 45'!$B$2</f>
        <v>0</v>
      </c>
      <c r="B3568" s="12" t="s">
        <v>401</v>
      </c>
      <c r="C3568" s="1">
        <f>IFERROR(VLOOKUP(13,'PEDIDO 45'!$C$2:$E$230,3,0),0)</f>
        <v>0</v>
      </c>
      <c r="D3568" s="1">
        <f>IFERROR(VLOOKUP(14,'PEDIDO 45'!$C$2:$E$230,3,0),0)</f>
        <v>0</v>
      </c>
      <c r="E3568" s="1">
        <f>IFERROR(VLOOKUP(15,'PEDIDO 45'!$C$2:$E$230,3,0),0)</f>
        <v>0</v>
      </c>
      <c r="F3568" s="1">
        <f>IFERROR(VLOOKUP(289,'PEDIDO 45'!$C$2:$E$230,3,0),0)</f>
        <v>0</v>
      </c>
      <c r="G3568" s="18">
        <f t="shared" si="109"/>
        <v>0</v>
      </c>
    </row>
    <row r="3569" spans="1:7" ht="15.75" x14ac:dyDescent="0.25">
      <c r="A3569" s="15">
        <f>'PEDIDO 45'!$B$2</f>
        <v>0</v>
      </c>
      <c r="B3569" s="12" t="s">
        <v>402</v>
      </c>
      <c r="C3569" s="1">
        <f>IFERROR(VLOOKUP(267,'PEDIDO 45'!$C$2:$E$230,3,0),0)</f>
        <v>0</v>
      </c>
      <c r="D3569" s="1">
        <f>IFERROR(VLOOKUP(268,'PEDIDO 45'!$C$2:$E$230,3,0),0)</f>
        <v>0</v>
      </c>
      <c r="E3569" s="1">
        <f>IFERROR(VLOOKUP(270,'PEDIDO 45'!$C$2:$E$230,3,0),0)</f>
        <v>0</v>
      </c>
      <c r="F3569" s="1">
        <f>IFERROR(VLOOKUP(269,'PEDIDO 45'!$C$2:$E$230,3,0),0)</f>
        <v>0</v>
      </c>
      <c r="G3569" s="18">
        <f t="shared" si="109"/>
        <v>0</v>
      </c>
    </row>
    <row r="3570" spans="1:7" ht="15.75" x14ac:dyDescent="0.25">
      <c r="A3570" s="15">
        <f>'PEDIDO 45'!$B$2</f>
        <v>0</v>
      </c>
      <c r="B3570" s="12" t="s">
        <v>403</v>
      </c>
      <c r="C3570" s="1">
        <f>IFERROR(VLOOKUP(17,'PEDIDO 45'!$C$2:$E$230,3,0),0)</f>
        <v>0</v>
      </c>
      <c r="D3570" s="1">
        <f>IFERROR(VLOOKUP(18,'PEDIDO 45'!$C$2:$E$230,3,0),0)</f>
        <v>0</v>
      </c>
      <c r="E3570" s="1">
        <f>IFERROR(VLOOKUP(19,'PEDIDO 45'!$C$2:$E$230,3,0),0)</f>
        <v>0</v>
      </c>
      <c r="F3570" s="1">
        <f>IFERROR(VLOOKUP(290,'PEDIDO 45'!$C$2:$E$230,3,0),0)</f>
        <v>0</v>
      </c>
      <c r="G3570" s="18">
        <f t="shared" si="109"/>
        <v>0</v>
      </c>
    </row>
    <row r="3571" spans="1:7" ht="15.75" x14ac:dyDescent="0.25">
      <c r="A3571" s="15">
        <f>'PEDIDO 45'!$B$2</f>
        <v>0</v>
      </c>
      <c r="B3571" s="12" t="s">
        <v>404</v>
      </c>
      <c r="C3571" s="1">
        <f>IFERROR(VLOOKUP(23,'PEDIDO 45'!$C$2:$E$230,3,0),0)</f>
        <v>0</v>
      </c>
      <c r="D3571" s="1">
        <f>IFERROR(VLOOKUP(24,'PEDIDO 45'!$C$2:$E$230,3,0),0)</f>
        <v>0</v>
      </c>
      <c r="E3571" s="1">
        <f>IFERROR(VLOOKUP(25,'PEDIDO 45'!$C$2:$E$230,3,0),0)</f>
        <v>0</v>
      </c>
      <c r="F3571" s="1">
        <f>IFERROR(VLOOKUP(291,'PEDIDO 45'!$C$2:$E$230,3,0),0)</f>
        <v>0</v>
      </c>
      <c r="G3571" s="18">
        <f t="shared" si="109"/>
        <v>0</v>
      </c>
    </row>
    <row r="3572" spans="1:7" ht="15.75" x14ac:dyDescent="0.25">
      <c r="A3572" s="15">
        <f>'PEDIDO 45'!$B$2</f>
        <v>0</v>
      </c>
      <c r="B3572" s="12" t="s">
        <v>405</v>
      </c>
      <c r="C3572" s="1">
        <f>IFERROR(VLOOKUP(27,'PEDIDO 45'!$C$2:$E$230,3,0),0)</f>
        <v>0</v>
      </c>
      <c r="D3572" s="1">
        <f>IFERROR(VLOOKUP(28,'PEDIDO 45'!$C$2:$E$230,3,0),0)</f>
        <v>0</v>
      </c>
      <c r="E3572" s="1">
        <f>IFERROR(VLOOKUP(29,'PEDIDO 45'!$C$2:$E$230,3,0),0)</f>
        <v>0</v>
      </c>
      <c r="F3572" s="1">
        <f>IFERROR(VLOOKUP(292,'PEDIDO 45'!$C$2:$E$230,3,0),0)</f>
        <v>0</v>
      </c>
      <c r="G3572" s="18">
        <f t="shared" si="109"/>
        <v>0</v>
      </c>
    </row>
    <row r="3573" spans="1:7" ht="15.75" x14ac:dyDescent="0.25">
      <c r="A3573" s="15">
        <f>'PEDIDO 45'!$B$2</f>
        <v>0</v>
      </c>
      <c r="B3573" s="12" t="s">
        <v>406</v>
      </c>
      <c r="C3573" s="1">
        <f>IFERROR(VLOOKUP(227,'PEDIDO 45'!$C$2:$E$230,3,0),0)</f>
        <v>0</v>
      </c>
      <c r="D3573" s="1">
        <f>IFERROR(VLOOKUP(228,'PEDIDO 45'!$C$2:$E$230,3,0),0)</f>
        <v>0</v>
      </c>
      <c r="E3573" s="1">
        <f>IFERROR(VLOOKUP(229,'PEDIDO 45'!$C$2:$E$230,3,0),0)</f>
        <v>0</v>
      </c>
      <c r="F3573" s="1">
        <f>IFERROR(VLOOKUP(230,'PEDIDO 45'!$C$2:$E$230,3,0),0)</f>
        <v>0</v>
      </c>
      <c r="G3573" s="18">
        <f t="shared" si="109"/>
        <v>0</v>
      </c>
    </row>
    <row r="3574" spans="1:7" ht="15.75" x14ac:dyDescent="0.25">
      <c r="A3574" s="15">
        <f>'PEDIDO 45'!$B$2</f>
        <v>0</v>
      </c>
      <c r="B3574" s="12" t="s">
        <v>407</v>
      </c>
      <c r="C3574" s="1">
        <f>IFERROR(VLOOKUP(231,'PEDIDO 45'!$C$2:$E$230,3,0),0)</f>
        <v>0</v>
      </c>
      <c r="D3574" s="1">
        <f>IFERROR(VLOOKUP(232,'PEDIDO 45'!$C$2:$E$230,3,0),0)</f>
        <v>0</v>
      </c>
      <c r="E3574" s="1">
        <f>IFERROR(VLOOKUP(234,'PEDIDO 45'!$C$2:$E$230,3,0),0)</f>
        <v>0</v>
      </c>
      <c r="F3574" s="1">
        <f>IFERROR(VLOOKUP(233,'PEDIDO 45'!$C$2:$E$230,3,0),0)</f>
        <v>0</v>
      </c>
      <c r="G3574" s="18">
        <f t="shared" si="109"/>
        <v>0</v>
      </c>
    </row>
    <row r="3575" spans="1:7" ht="15.75" x14ac:dyDescent="0.25">
      <c r="A3575" s="15">
        <f>'PEDIDO 45'!$B$2</f>
        <v>0</v>
      </c>
      <c r="B3575" s="12" t="s">
        <v>408</v>
      </c>
      <c r="C3575" s="1">
        <f>IFERROR(VLOOKUP(237,'PEDIDO 45'!$C$2:$E$230,3,0),0)</f>
        <v>0</v>
      </c>
      <c r="D3575" s="1">
        <f>IFERROR(VLOOKUP(238,'PEDIDO 45'!$C$2:$E$230,3,0),0)</f>
        <v>0</v>
      </c>
      <c r="E3575" s="1">
        <f>IFERROR(VLOOKUP(240,'PEDIDO 45'!$C$2:$E$230,3,0),0)</f>
        <v>0</v>
      </c>
      <c r="F3575" s="1">
        <f>IFERROR(VLOOKUP(239,'PEDIDO 45'!$C$2:$E$230,3,0),0)</f>
        <v>0</v>
      </c>
      <c r="G3575" s="18">
        <f t="shared" si="109"/>
        <v>0</v>
      </c>
    </row>
    <row r="3576" spans="1:7" ht="15.75" x14ac:dyDescent="0.25">
      <c r="A3576" s="15">
        <f>'PEDIDO 45'!$B$2</f>
        <v>0</v>
      </c>
      <c r="B3576" s="12" t="s">
        <v>409</v>
      </c>
      <c r="C3576" s="1">
        <f>IFERROR(VLOOKUP(25707,'PEDIDO 45'!$C$2:$E$230,3,0),0)</f>
        <v>0</v>
      </c>
      <c r="D3576" s="1">
        <f>IFERROR(VLOOKUP(25708,'PEDIDO 45'!$C$2:$E$230,3,0),0)</f>
        <v>0</v>
      </c>
      <c r="E3576" s="1">
        <f>IFERROR(VLOOKUP(25710,'PEDIDO 45'!$C$2:$E$230,3,0),0)</f>
        <v>0</v>
      </c>
      <c r="F3576" s="1">
        <f>IFERROR(VLOOKUP(25709,'PEDIDO 45'!$C$2:$E$230,3,0),0)</f>
        <v>0</v>
      </c>
      <c r="G3576" s="18">
        <f t="shared" si="109"/>
        <v>0</v>
      </c>
    </row>
    <row r="3577" spans="1:7" ht="15.75" x14ac:dyDescent="0.25">
      <c r="A3577" s="15">
        <f>'PEDIDO 45'!$B$2</f>
        <v>0</v>
      </c>
      <c r="B3577" s="12" t="s">
        <v>410</v>
      </c>
      <c r="C3577" s="1">
        <f>IFERROR(VLOOKUP(25711,'PEDIDO 45'!$C$2:$E$230,3,0),0)</f>
        <v>0</v>
      </c>
      <c r="D3577" s="1"/>
      <c r="E3577" s="1"/>
      <c r="F3577" s="1"/>
      <c r="G3577" s="18">
        <f t="shared" si="109"/>
        <v>0</v>
      </c>
    </row>
    <row r="3578" spans="1:7" ht="15.75" x14ac:dyDescent="0.25">
      <c r="A3578" s="15">
        <f>'PEDIDO 45'!$B$2</f>
        <v>0</v>
      </c>
      <c r="B3578" s="12" t="s">
        <v>411</v>
      </c>
      <c r="C3578" s="1">
        <f>IFERROR(VLOOKUP(35,'PEDIDO 45'!$C$2:$E$230,3,0),0)</f>
        <v>0</v>
      </c>
      <c r="D3578" s="1">
        <f>IFERROR(VLOOKUP(36,'PEDIDO 45'!$C$2:$E$230,3,0),0)</f>
        <v>0</v>
      </c>
      <c r="E3578" s="1">
        <f>IFERROR(VLOOKUP(37,'PEDIDO 45'!$C$2:$E$230,3,0),0)</f>
        <v>0</v>
      </c>
      <c r="F3578" s="1">
        <f>IFERROR(VLOOKUP(294,'PEDIDO 45'!$C$2:$E$230,3,0),0)</f>
        <v>0</v>
      </c>
      <c r="G3578" s="18">
        <f t="shared" si="109"/>
        <v>0</v>
      </c>
    </row>
    <row r="3579" spans="1:7" ht="15.75" x14ac:dyDescent="0.25">
      <c r="A3579" s="15">
        <f>'PEDIDO 45'!$B$2</f>
        <v>0</v>
      </c>
      <c r="B3579" s="12" t="s">
        <v>412</v>
      </c>
      <c r="C3579" s="1">
        <f>IFERROR(VLOOKUP(39,'PEDIDO 45'!$C$2:$E$230,3,0),0)</f>
        <v>0</v>
      </c>
      <c r="D3579" s="1">
        <f>IFERROR(VLOOKUP(40,'PEDIDO 45'!$C$2:$E$230,3,0),0)</f>
        <v>0</v>
      </c>
      <c r="E3579" s="1">
        <f>IFERROR(VLOOKUP(42,'PEDIDO 45'!$C$2:$E$230,3,0),0)</f>
        <v>0</v>
      </c>
      <c r="F3579" s="1">
        <f>IFERROR(VLOOKUP(295,'PEDIDO 45'!$C$2:$E$230,3,0),0)</f>
        <v>0</v>
      </c>
      <c r="G3579" s="18">
        <f t="shared" si="109"/>
        <v>0</v>
      </c>
    </row>
    <row r="3580" spans="1:7" ht="15.75" x14ac:dyDescent="0.25">
      <c r="A3580" s="15">
        <f>'PEDIDO 45'!$B$2</f>
        <v>0</v>
      </c>
      <c r="B3580" s="12" t="s">
        <v>413</v>
      </c>
      <c r="C3580" s="1">
        <f>IFERROR(VLOOKUP(44,'PEDIDO 45'!$C$2:$E$230,3,0),0)</f>
        <v>0</v>
      </c>
      <c r="D3580" s="1">
        <f>IFERROR(VLOOKUP(45,'PEDIDO 45'!$C$2:$E$230,3,0),0)</f>
        <v>0</v>
      </c>
      <c r="E3580" s="1">
        <f>IFERROR(VLOOKUP(46,'PEDIDO 45'!$C$2:$E$230,3,0),0)</f>
        <v>0</v>
      </c>
      <c r="F3580" s="1">
        <f>IFERROR(VLOOKUP(283,'PEDIDO 45'!$C$2:$E$230,3,0),0)</f>
        <v>0</v>
      </c>
      <c r="G3580" s="18">
        <f t="shared" si="109"/>
        <v>0</v>
      </c>
    </row>
    <row r="3581" spans="1:7" ht="15.75" x14ac:dyDescent="0.25">
      <c r="A3581" s="15">
        <f>'PEDIDO 45'!$B$2</f>
        <v>0</v>
      </c>
      <c r="B3581" s="12" t="s">
        <v>414</v>
      </c>
      <c r="C3581" s="1">
        <f>IFERROR(VLOOKUP(48,'PEDIDO 45'!$C$2:$E$230,3,0),0)</f>
        <v>0</v>
      </c>
      <c r="D3581" s="1">
        <f>IFERROR(VLOOKUP(49,'PEDIDO 45'!$C$2:$E$230,3,0),0)</f>
        <v>0</v>
      </c>
      <c r="E3581" s="1">
        <f>IFERROR(VLOOKUP(50,'PEDIDO 45'!$C$2:$E$230,3,0),0)</f>
        <v>0</v>
      </c>
      <c r="F3581" s="1">
        <f>IFERROR(VLOOKUP(298,'PEDIDO 45'!$C$2:$E$230,3,0),0)</f>
        <v>0</v>
      </c>
      <c r="G3581" s="18">
        <f t="shared" si="109"/>
        <v>0</v>
      </c>
    </row>
    <row r="3582" spans="1:7" ht="15.75" x14ac:dyDescent="0.25">
      <c r="A3582" s="15">
        <f>'PEDIDO 45'!$B$2</f>
        <v>0</v>
      </c>
      <c r="B3582" s="12" t="s">
        <v>415</v>
      </c>
      <c r="C3582" s="1">
        <f>IFERROR(VLOOKUP(52,'PEDIDO 45'!$C$2:$E$230,3,0),0)</f>
        <v>0</v>
      </c>
      <c r="D3582" s="1">
        <f>IFERROR(VLOOKUP(53,'PEDIDO 45'!$C$2:$E$230,3,0),0)</f>
        <v>0</v>
      </c>
      <c r="E3582" s="1">
        <f>IFERROR(VLOOKUP(54,'PEDIDO 45'!$C$2:$E$230,3,0),0)</f>
        <v>0</v>
      </c>
      <c r="F3582" s="1">
        <f>IFERROR(VLOOKUP(299,'PEDIDO 45'!$C$2:$E$230,3,0),0)</f>
        <v>0</v>
      </c>
      <c r="G3582" s="18">
        <f t="shared" si="109"/>
        <v>0</v>
      </c>
    </row>
    <row r="3583" spans="1:7" ht="15.75" x14ac:dyDescent="0.25">
      <c r="A3583" s="15">
        <f>'PEDIDO 45'!$B$2</f>
        <v>0</v>
      </c>
      <c r="B3583" s="12" t="s">
        <v>416</v>
      </c>
      <c r="C3583" s="1">
        <f>IFERROR(VLOOKUP(56,'PEDIDO 45'!$C$2:$E$230,3,0),0)</f>
        <v>0</v>
      </c>
      <c r="D3583" s="1">
        <f>IFERROR(VLOOKUP(61,'PEDIDO 45'!$C$2:$E$230,3,0),0)</f>
        <v>0</v>
      </c>
      <c r="E3583" s="1">
        <f>IFERROR(VLOOKUP(58,'PEDIDO 45'!$C$2:$E$230,3,0),0)</f>
        <v>0</v>
      </c>
      <c r="F3583" s="1">
        <f>IFERROR(VLOOKUP(300,'PEDIDO 45'!$C$2:$E$230,3,0),0)</f>
        <v>0</v>
      </c>
      <c r="G3583" s="18">
        <f t="shared" si="109"/>
        <v>0</v>
      </c>
    </row>
    <row r="3584" spans="1:7" ht="15.75" x14ac:dyDescent="0.25">
      <c r="A3584" s="15">
        <f>'PEDIDO 45'!$B$2</f>
        <v>0</v>
      </c>
      <c r="B3584" s="12" t="s">
        <v>417</v>
      </c>
      <c r="C3584" s="1">
        <f>IFERROR(VLOOKUP(60,'PEDIDO 45'!$C$2:$E$230,3,0),0)</f>
        <v>0</v>
      </c>
      <c r="D3584" s="1">
        <f>IFERROR(VLOOKUP(120,'PEDIDO 45'!$C$2:$E$230,3,0),0)</f>
        <v>0</v>
      </c>
      <c r="E3584" s="1">
        <f>IFERROR(VLOOKUP(62,'PEDIDO 45'!$C$2:$E$230,3,0),0)</f>
        <v>0</v>
      </c>
      <c r="F3584" s="1">
        <f>IFERROR(VLOOKUP(301,'PEDIDO 45'!$C$2:$E$230,3,0),0)</f>
        <v>0</v>
      </c>
      <c r="G3584" s="18">
        <f t="shared" si="109"/>
        <v>0</v>
      </c>
    </row>
    <row r="3585" spans="1:7" ht="15.75" x14ac:dyDescent="0.25">
      <c r="A3585" s="15">
        <f>'PEDIDO 45'!$B$2</f>
        <v>0</v>
      </c>
      <c r="B3585" s="12" t="s">
        <v>426</v>
      </c>
      <c r="C3585" s="1">
        <f>IFERROR(VLOOKUP(112,'PEDIDO 45'!$C$2:$E$230,3,0),0)</f>
        <v>0</v>
      </c>
      <c r="D3585" s="1">
        <f>IFERROR(VLOOKUP(113,'PEDIDO 45'!$C$2:$E$230,3,0),0)</f>
        <v>0</v>
      </c>
      <c r="E3585" s="1">
        <f>IFERROR(VLOOKUP(114,'PEDIDO 45'!$C$2:$E$230,3,0),0)</f>
        <v>0</v>
      </c>
      <c r="F3585" s="1">
        <f>IFERROR(VLOOKUP(296,'PEDIDO 45'!$C$2:$E$230,3,0),0)</f>
        <v>0</v>
      </c>
      <c r="G3585" s="18">
        <f t="shared" si="109"/>
        <v>0</v>
      </c>
    </row>
    <row r="3586" spans="1:7" ht="15.75" x14ac:dyDescent="0.25">
      <c r="A3586" s="15">
        <f>'PEDIDO 45'!$B$2</f>
        <v>0</v>
      </c>
      <c r="B3586" s="12" t="s">
        <v>427</v>
      </c>
      <c r="C3586" s="1">
        <f>IFERROR(VLOOKUP(116,'PEDIDO 45'!$C$2:$E$230,3,0),0)</f>
        <v>0</v>
      </c>
      <c r="D3586" s="1">
        <f>IFERROR(VLOOKUP(117,'PEDIDO 45'!$C$2:$E$230,3,0),0)</f>
        <v>0</v>
      </c>
      <c r="E3586" s="1">
        <f>IFERROR(VLOOKUP(118,'PEDIDO 45'!$C$2:$E$230,3,0),0)</f>
        <v>0</v>
      </c>
      <c r="F3586" s="1">
        <f>IFERROR(VLOOKUP(293,'PEDIDO 45'!$C$2:$E$230,3,0),0)</f>
        <v>0</v>
      </c>
      <c r="G3586" s="18">
        <f t="shared" si="109"/>
        <v>0</v>
      </c>
    </row>
    <row r="3587" spans="1:7" ht="15.75" x14ac:dyDescent="0.25">
      <c r="A3587" s="15">
        <f>'PEDIDO 45'!$B$2</f>
        <v>0</v>
      </c>
      <c r="B3587" s="12" t="s">
        <v>418</v>
      </c>
      <c r="C3587" s="1">
        <f>IFERROR(VLOOKUP(963,'PEDIDO 45'!$C$2:$E$230,3,0),0)</f>
        <v>0</v>
      </c>
      <c r="D3587" s="1">
        <f>IFERROR(VLOOKUP(965,'PEDIDO 45'!$C$2:$E$230,3,0),0)</f>
        <v>0</v>
      </c>
      <c r="E3587" s="1">
        <f>IFERROR(VLOOKUP(966,'PEDIDO 45'!$C$2:$E$230,3,0),0)</f>
        <v>0</v>
      </c>
      <c r="F3587" s="1">
        <f>IFERROR(VLOOKUP(964,'PEDIDO 45'!$C$2:$E$230,3,0),0)</f>
        <v>0</v>
      </c>
      <c r="G3587" s="18">
        <f t="shared" si="109"/>
        <v>0</v>
      </c>
    </row>
    <row r="3588" spans="1:7" ht="15.75" x14ac:dyDescent="0.25">
      <c r="A3588" s="15">
        <f>'PEDIDO 45'!$B$2</f>
        <v>0</v>
      </c>
      <c r="B3588" s="12" t="s">
        <v>419</v>
      </c>
      <c r="C3588" s="1">
        <f>IFERROR(VLOOKUP(2042,'PEDIDO 45'!$C$2:$E$230,3,0),0)</f>
        <v>0</v>
      </c>
      <c r="D3588" s="1">
        <f>IFERROR(VLOOKUP(2041,'PEDIDO 45'!$C$2:$E$230,3,0),0)</f>
        <v>0</v>
      </c>
      <c r="E3588" s="1">
        <f>IFERROR(VLOOKUP(2043,'PEDIDO 45'!$C$2:$E$230,3,0),0)</f>
        <v>0</v>
      </c>
      <c r="F3588" s="1">
        <f>IFERROR(VLOOKUP(2040,'PEDIDO 45'!$C$2:$E$230,3,0),0)</f>
        <v>0</v>
      </c>
      <c r="G3588" s="18">
        <f t="shared" si="109"/>
        <v>0</v>
      </c>
    </row>
    <row r="3589" spans="1:7" ht="15.75" x14ac:dyDescent="0.25">
      <c r="A3589" s="15">
        <f>'PEDIDO 45'!$B$2</f>
        <v>0</v>
      </c>
      <c r="B3589" s="12" t="s">
        <v>420</v>
      </c>
      <c r="C3589" s="1">
        <f>IFERROR(VLOOKUP(2045,'PEDIDO 45'!$C$2:$E$230,3,0),0)</f>
        <v>0</v>
      </c>
      <c r="D3589" s="1">
        <f>IFERROR(VLOOKUP(2046,'PEDIDO 45'!$C$2:$E$230,3,0),0)</f>
        <v>0</v>
      </c>
      <c r="E3589" s="1">
        <f>IFERROR(VLOOKUP(2047,'PEDIDO 45'!$C$2:$E$230,3,0),0)</f>
        <v>0</v>
      </c>
      <c r="F3589" s="1">
        <f>IFERROR(VLOOKUP(2048,'PEDIDO 45'!$C$2:$E$230,3,0),0)</f>
        <v>0</v>
      </c>
      <c r="G3589" s="18">
        <f t="shared" si="109"/>
        <v>0</v>
      </c>
    </row>
    <row r="3590" spans="1:7" ht="15.75" x14ac:dyDescent="0.25">
      <c r="A3590" s="15">
        <f>'PEDIDO 45'!$B$2</f>
        <v>0</v>
      </c>
      <c r="B3590" s="12" t="s">
        <v>421</v>
      </c>
      <c r="C3590" s="1">
        <f>IFERROR(VLOOKUP(2050,'PEDIDO 45'!$C$2:$E$230,3,0),0)</f>
        <v>0</v>
      </c>
      <c r="D3590" s="1">
        <f>IFERROR(VLOOKUP(2051,'PEDIDO 45'!$C$2:$E$230,3,0),0)</f>
        <v>0</v>
      </c>
      <c r="E3590" s="1">
        <f>IFERROR(VLOOKUP(2052,'PEDIDO 45'!$C$2:$E$230,3,0),0)</f>
        <v>0</v>
      </c>
      <c r="F3590" s="1">
        <f>IFERROR(VLOOKUP(2053,'PEDIDO 45'!$C$2:$E$230,3,0),0)</f>
        <v>0</v>
      </c>
      <c r="G3590" s="18">
        <f t="shared" si="109"/>
        <v>0</v>
      </c>
    </row>
    <row r="3591" spans="1:7" ht="15.75" x14ac:dyDescent="0.25">
      <c r="A3591" s="15">
        <f>'PEDIDO 45'!$B$2</f>
        <v>0</v>
      </c>
      <c r="B3591" s="12" t="s">
        <v>422</v>
      </c>
      <c r="C3591" s="1">
        <f>IFERROR(VLOOKUP(216,'PEDIDO 45'!$C$2:$E$230,3,0),0)</f>
        <v>0</v>
      </c>
      <c r="D3591" s="1">
        <f>IFERROR(VLOOKUP(217,'PEDIDO 45'!$C$2:$E$230,3,0),0)</f>
        <v>0</v>
      </c>
      <c r="E3591" s="1">
        <f>IFERROR(VLOOKUP(218,'PEDIDO 45'!$C$2:$E$230,3,0),0)</f>
        <v>0</v>
      </c>
      <c r="F3591" s="1">
        <f>IFERROR(VLOOKUP(305,'PEDIDO 45'!$C$2:$E$230,3,0),0)</f>
        <v>0</v>
      </c>
      <c r="G3591" s="18">
        <f t="shared" si="109"/>
        <v>0</v>
      </c>
    </row>
    <row r="3592" spans="1:7" ht="15.75" x14ac:dyDescent="0.25">
      <c r="A3592" s="15">
        <f>'PEDIDO 45'!$B$2</f>
        <v>0</v>
      </c>
      <c r="B3592" s="12" t="s">
        <v>423</v>
      </c>
      <c r="C3592" s="1">
        <f>IFERROR(VLOOKUP(100,'PEDIDO 45'!$C$2:$E$230,3,0),0)</f>
        <v>0</v>
      </c>
      <c r="D3592" s="1">
        <f>IFERROR(VLOOKUP(101,'PEDIDO 45'!$C$2:$E$230,3,0),0)</f>
        <v>0</v>
      </c>
      <c r="E3592" s="1">
        <f>IFERROR(VLOOKUP(102,'PEDIDO 45'!$C$2:$E$230,3,0),0)</f>
        <v>0</v>
      </c>
      <c r="F3592" s="1">
        <f>IFERROR(VLOOKUP(306,'PEDIDO 45'!$C$2:$E$230,3,0),0)</f>
        <v>0</v>
      </c>
      <c r="G3592" s="18">
        <f t="shared" si="109"/>
        <v>0</v>
      </c>
    </row>
    <row r="3593" spans="1:7" ht="15.75" x14ac:dyDescent="0.25">
      <c r="A3593" s="15">
        <f>'PEDIDO 45'!$B$2</f>
        <v>0</v>
      </c>
      <c r="B3593" s="12" t="s">
        <v>424</v>
      </c>
      <c r="C3593" s="1">
        <f>IFERROR(VLOOKUP(104,'PEDIDO 45'!$C$2:$E$230,3,0),0)</f>
        <v>0</v>
      </c>
      <c r="D3593" s="1">
        <f>IFERROR(VLOOKUP(105,'PEDIDO 45'!$C$2:$E$230,3,0),0)</f>
        <v>0</v>
      </c>
      <c r="E3593" s="1">
        <f>IFERROR(VLOOKUP(106,'PEDIDO 45'!$C$2:$E$230,3,0),0)</f>
        <v>0</v>
      </c>
      <c r="F3593" s="1">
        <f>IFERROR(VLOOKUP(307,'PEDIDO 45'!$C$2:$E$230,3,0),0)</f>
        <v>0</v>
      </c>
      <c r="G3593" s="18">
        <f t="shared" si="109"/>
        <v>0</v>
      </c>
    </row>
    <row r="3594" spans="1:7" ht="15.75" x14ac:dyDescent="0.25">
      <c r="A3594" s="15">
        <f>'PEDIDO 45'!$B$2</f>
        <v>0</v>
      </c>
      <c r="B3594" s="12" t="s">
        <v>425</v>
      </c>
      <c r="C3594" s="1">
        <f>IFERROR(VLOOKUP(400,'PEDIDO 45'!$C$2:$E$230,3,0),0)</f>
        <v>0</v>
      </c>
      <c r="D3594" s="1">
        <f>IFERROR(VLOOKUP(401,'PEDIDO 45'!$C$2:$E$230,3,0),0)</f>
        <v>0</v>
      </c>
      <c r="E3594" s="1">
        <f>IFERROR(VLOOKUP(402,'PEDIDO 45'!$C$2:$E$230,3,0),0)</f>
        <v>0</v>
      </c>
      <c r="F3594" s="1">
        <f>IFERROR(VLOOKUP(403,'PEDIDO 45'!$C$2:$E$230,3,0),0)</f>
        <v>0</v>
      </c>
      <c r="G3594" s="18">
        <f t="shared" si="109"/>
        <v>0</v>
      </c>
    </row>
    <row r="3595" spans="1:7" ht="15.75" x14ac:dyDescent="0.25">
      <c r="A3595" s="15">
        <f>'PEDIDO 45'!$B$2</f>
        <v>0</v>
      </c>
      <c r="B3595" s="12" t="s">
        <v>428</v>
      </c>
      <c r="C3595" s="1">
        <f>IFERROR(VLOOKUP(22,'PEDIDO 45'!$C$2:$E$230,3,0),0)</f>
        <v>0</v>
      </c>
      <c r="D3595" s="1"/>
      <c r="E3595" s="1"/>
      <c r="F3595" s="1"/>
      <c r="G3595" s="18">
        <f t="shared" si="109"/>
        <v>0</v>
      </c>
    </row>
    <row r="3596" spans="1:7" ht="15.75" x14ac:dyDescent="0.25">
      <c r="A3596" s="15">
        <f>'PEDIDO 45'!$B$2</f>
        <v>0</v>
      </c>
      <c r="B3596" s="12" t="s">
        <v>429</v>
      </c>
      <c r="C3596" s="1">
        <f>IFERROR(VLOOKUP(21,'PEDIDO 45'!$C$2:$E$230,3,0),0)</f>
        <v>0</v>
      </c>
      <c r="D3596" s="1"/>
      <c r="E3596" s="1"/>
      <c r="F3596" s="1"/>
      <c r="G3596" s="18">
        <f t="shared" si="109"/>
        <v>0</v>
      </c>
    </row>
    <row r="3597" spans="1:7" ht="15.75" x14ac:dyDescent="0.25">
      <c r="A3597" s="15">
        <f>'PEDIDO 45'!$B$2</f>
        <v>0</v>
      </c>
      <c r="B3597" s="12" t="s">
        <v>430</v>
      </c>
      <c r="C3597" s="1">
        <f>IFERROR(VLOOKUP(1125,'PEDIDO 45'!$C$2:$E$230,3,0),0)</f>
        <v>0</v>
      </c>
      <c r="D3597" s="1">
        <f>IFERROR(VLOOKUP(1126,'PEDIDO 45'!$C$2:$E$230,3,0),0)</f>
        <v>0</v>
      </c>
      <c r="E3597" s="1">
        <f>IFERROR(VLOOKUP(1127,'PEDIDO 45'!$C$2:$E$230,3,0),0)</f>
        <v>0</v>
      </c>
      <c r="F3597" s="1">
        <f>IFERROR(VLOOKUP(1128,'PEDIDO 45'!$C$2:$E$230,3,0),0)</f>
        <v>0</v>
      </c>
      <c r="G3597" s="18">
        <f t="shared" si="109"/>
        <v>0</v>
      </c>
    </row>
    <row r="3598" spans="1:7" ht="15.75" x14ac:dyDescent="0.25">
      <c r="A3598" s="15">
        <f>'PEDIDO 45'!$B$2</f>
        <v>0</v>
      </c>
      <c r="B3598" s="12" t="s">
        <v>431</v>
      </c>
      <c r="C3598" s="1">
        <f>IFERROR(VLOOKUP(1133,'PEDIDO 45'!$C$2:$E$230,3,0),0)</f>
        <v>0</v>
      </c>
      <c r="D3598" s="1">
        <f>IFERROR(VLOOKUP(1134,'PEDIDO 45'!$C$2:$E$230,3,0),0)</f>
        <v>0</v>
      </c>
      <c r="E3598" s="1">
        <f>IFERROR(VLOOKUP(1135,'PEDIDO 45'!$C$2:$E$230,3,0),0)</f>
        <v>0</v>
      </c>
      <c r="F3598" s="1">
        <f>IFERROR(VLOOKUP(1136,'PEDIDO 45'!$C$2:$E$230,3,0),0)</f>
        <v>0</v>
      </c>
      <c r="G3598" s="18">
        <f t="shared" si="109"/>
        <v>0</v>
      </c>
    </row>
    <row r="3599" spans="1:7" ht="15.75" x14ac:dyDescent="0.25">
      <c r="A3599" s="15">
        <f>'PEDIDO 45'!$B$2</f>
        <v>0</v>
      </c>
      <c r="B3599" s="12" t="s">
        <v>432</v>
      </c>
      <c r="C3599" s="1">
        <f>IFERROR(VLOOKUP(1105,'PEDIDO 45'!$C$2:$E$230,3,0),0)</f>
        <v>0</v>
      </c>
      <c r="D3599" s="1">
        <f>IFERROR(VLOOKUP(1106,'PEDIDO 45'!$C$2:$E$230,3,0),0)</f>
        <v>0</v>
      </c>
      <c r="E3599" s="1">
        <f>IFERROR(VLOOKUP(1107,'PEDIDO 45'!$C$2:$E$230,3,0),0)</f>
        <v>0</v>
      </c>
      <c r="F3599" s="1">
        <f>IFERROR(VLOOKUP(1108,'PEDIDO 45'!$C$2:$E$230,3,0),0)</f>
        <v>0</v>
      </c>
      <c r="G3599" s="18">
        <f t="shared" si="109"/>
        <v>0</v>
      </c>
    </row>
    <row r="3600" spans="1:7" ht="15.75" x14ac:dyDescent="0.25">
      <c r="A3600" s="15">
        <f>'PEDIDO 45'!$B$2</f>
        <v>0</v>
      </c>
      <c r="B3600" s="12" t="s">
        <v>433</v>
      </c>
      <c r="C3600" s="1">
        <f>IFERROR(VLOOKUP(1109,'PEDIDO 45'!$C$2:$E$230,3,0),0)</f>
        <v>0</v>
      </c>
      <c r="D3600" s="1">
        <f>IFERROR(VLOOKUP(1110,'PEDIDO 45'!$C$2:$E$230,3,0),0)</f>
        <v>0</v>
      </c>
      <c r="E3600" s="1">
        <f>IFERROR(VLOOKUP(1111,'PEDIDO 45'!$C$2:$E$230,3,0),0)</f>
        <v>0</v>
      </c>
      <c r="F3600" s="1">
        <f>IFERROR(VLOOKUP(1112,'PEDIDO 45'!$C$2:$E$230,3,0),0)</f>
        <v>0</v>
      </c>
      <c r="G3600" s="18">
        <f t="shared" si="109"/>
        <v>0</v>
      </c>
    </row>
    <row r="3601" spans="1:7" ht="15.75" x14ac:dyDescent="0.25">
      <c r="A3601" s="15">
        <f>'PEDIDO 45'!$B$2</f>
        <v>0</v>
      </c>
      <c r="B3601" s="12" t="s">
        <v>434</v>
      </c>
      <c r="C3601" s="1">
        <f>IFERROR(VLOOKUP(1113,'PEDIDO 45'!$C$2:$E$230,3,0),0)</f>
        <v>0</v>
      </c>
      <c r="D3601" s="1">
        <f>IFERROR(VLOOKUP(1114,'PEDIDO 45'!$C$2:$E$230,3,0),0)</f>
        <v>0</v>
      </c>
      <c r="E3601" s="1">
        <f>IFERROR(VLOOKUP(1115,'PEDIDO 45'!$C$2:$E$230,3,0),0)</f>
        <v>0</v>
      </c>
      <c r="F3601" s="1">
        <f>IFERROR(VLOOKUP(1116,'PEDIDO 45'!$C$2:$E$230,3,0),0)</f>
        <v>0</v>
      </c>
      <c r="G3601" s="18">
        <f t="shared" si="109"/>
        <v>0</v>
      </c>
    </row>
    <row r="3602" spans="1:7" ht="15.75" x14ac:dyDescent="0.25">
      <c r="A3602" s="15">
        <f>'PEDIDO 45'!$B$2</f>
        <v>0</v>
      </c>
      <c r="B3602" s="12" t="s">
        <v>435</v>
      </c>
      <c r="C3602" s="1">
        <f>IFERROR(VLOOKUP(1117,'PEDIDO 45'!$C$2:$E$230,3,0),0)</f>
        <v>0</v>
      </c>
      <c r="D3602" s="1">
        <f>IFERROR(VLOOKUP(1118,'PEDIDO 45'!$C$2:$E$230,3,0),0)</f>
        <v>0</v>
      </c>
      <c r="E3602" s="1">
        <f>IFERROR(VLOOKUP(1119,'PEDIDO 45'!$C$2:$E$230,3,0),0)</f>
        <v>0</v>
      </c>
      <c r="F3602" s="1">
        <f>IFERROR(VLOOKUP(1120,'PEDIDO 45'!$C$2:$E$230,3,0),0)</f>
        <v>0</v>
      </c>
      <c r="G3602" s="18">
        <f t="shared" si="109"/>
        <v>0</v>
      </c>
    </row>
    <row r="3603" spans="1:7" ht="15.75" x14ac:dyDescent="0.25">
      <c r="A3603" s="15">
        <f>'PEDIDO 45'!$B$2</f>
        <v>0</v>
      </c>
      <c r="B3603" s="12" t="s">
        <v>436</v>
      </c>
      <c r="C3603" s="1">
        <f>IFERROR(VLOOKUP(1121,'PEDIDO 45'!$C$2:$E$230,3,0),0)</f>
        <v>0</v>
      </c>
      <c r="D3603" s="1">
        <f>IFERROR(VLOOKUP(1122,'PEDIDO 45'!$C$2:$E$230,3,0),0)</f>
        <v>0</v>
      </c>
      <c r="E3603" s="1">
        <f>IFERROR(VLOOKUP(1123,'PEDIDO 45'!$C$2:$E$230,3,0),0)</f>
        <v>0</v>
      </c>
      <c r="F3603" s="1">
        <f>IFERROR(VLOOKUP(1124,'PEDIDO 45'!$C$2:$E$230,3,0),0)</f>
        <v>0</v>
      </c>
      <c r="G3603" s="18">
        <f t="shared" si="109"/>
        <v>0</v>
      </c>
    </row>
    <row r="3604" spans="1:7" ht="15.75" x14ac:dyDescent="0.25">
      <c r="A3604" s="15">
        <f>'PEDIDO 45'!$B$2</f>
        <v>0</v>
      </c>
      <c r="B3604" s="12" t="s">
        <v>437</v>
      </c>
      <c r="C3604" s="1">
        <f>IFERROR(VLOOKUP(1129,'PEDIDO 45'!$C$2:$E$230,3,0),0)</f>
        <v>0</v>
      </c>
      <c r="D3604" s="1">
        <f>IFERROR(VLOOKUP(1130,'PEDIDO 45'!$C$2:$E$230,3,0),0)</f>
        <v>0</v>
      </c>
      <c r="E3604" s="1">
        <f>IFERROR(VLOOKUP(1131,'PEDIDO 45'!$C$2:$E$230,3,0),0)</f>
        <v>0</v>
      </c>
      <c r="F3604" s="1">
        <f>IFERROR(VLOOKUP(1132,'PEDIDO 45'!$C$2:$E$230,3,0),0)</f>
        <v>0</v>
      </c>
      <c r="G3604" s="18">
        <f t="shared" si="109"/>
        <v>0</v>
      </c>
    </row>
    <row r="3605" spans="1:7" ht="15.75" x14ac:dyDescent="0.25">
      <c r="A3605" s="15">
        <f>'PEDIDO 45'!$B$2</f>
        <v>0</v>
      </c>
      <c r="B3605" s="12" t="s">
        <v>438</v>
      </c>
      <c r="C3605" s="1">
        <f>IFERROR(VLOOKUP(1137,'PEDIDO 45'!$C$2:$E$230,3,0),0)</f>
        <v>0</v>
      </c>
      <c r="D3605" s="1">
        <f>IFERROR(VLOOKUP(1138,'PEDIDO 45'!$C$2:$E$230,3,0),0)</f>
        <v>0</v>
      </c>
      <c r="E3605" s="1">
        <f>IFERROR(VLOOKUP(1139,'PEDIDO 45'!$C$2:$E$230,3,0),0)</f>
        <v>0</v>
      </c>
      <c r="F3605" s="1">
        <f>IFERROR(VLOOKUP(1140,'PEDIDO 45'!$C$2:$E$230,3,0),0)</f>
        <v>0</v>
      </c>
      <c r="G3605" s="18">
        <f t="shared" si="109"/>
        <v>0</v>
      </c>
    </row>
    <row r="3606" spans="1:7" ht="15.75" x14ac:dyDescent="0.25">
      <c r="A3606" s="15">
        <f>'PEDIDO 45'!$B$2</f>
        <v>0</v>
      </c>
      <c r="B3606" s="12" t="s">
        <v>439</v>
      </c>
      <c r="C3606" s="1">
        <f>IFERROR(VLOOKUP(1141,'PEDIDO 45'!$C$2:$E$230,3,0),0)</f>
        <v>0</v>
      </c>
      <c r="D3606" s="1">
        <f>IFERROR(VLOOKUP(1142,'PEDIDO 45'!$C$2:$E$230,3,0),0)</f>
        <v>0</v>
      </c>
      <c r="E3606" s="1">
        <f>IFERROR(VLOOKUP(1143,'PEDIDO 45'!$C$2:$E$230,3,0),0)</f>
        <v>0</v>
      </c>
      <c r="F3606" s="1">
        <f>IFERROR(VLOOKUP(1144,'PEDIDO 45'!$C$2:$E$230,3,0),0)</f>
        <v>0</v>
      </c>
      <c r="G3606" s="18">
        <f t="shared" si="109"/>
        <v>0</v>
      </c>
    </row>
    <row r="3607" spans="1:7" ht="15.75" x14ac:dyDescent="0.25">
      <c r="A3607" s="15">
        <f>'PEDIDO 45'!$B$2</f>
        <v>0</v>
      </c>
      <c r="B3607" s="12" t="s">
        <v>440</v>
      </c>
      <c r="C3607" s="1">
        <f>IFERROR(VLOOKUP(1145,'PEDIDO 45'!$C$2:$E$230,3,0),0)</f>
        <v>0</v>
      </c>
      <c r="D3607" s="1">
        <f>IFERROR(VLOOKUP(1146,'PEDIDO 45'!$C$2:$E$230,3,0),0)</f>
        <v>0</v>
      </c>
      <c r="E3607" s="1">
        <f>IFERROR(VLOOKUP(1147,'PEDIDO 45'!$C$2:$E$230,3,0),0)</f>
        <v>0</v>
      </c>
      <c r="F3607" s="1">
        <f>IFERROR(VLOOKUP(1148,'PEDIDO 45'!$C$2:$E$230,3,0),0)</f>
        <v>0</v>
      </c>
      <c r="G3607" s="18">
        <f t="shared" si="109"/>
        <v>0</v>
      </c>
    </row>
    <row r="3608" spans="1:7" ht="15.75" x14ac:dyDescent="0.25">
      <c r="A3608" s="15">
        <f>'PEDIDO 45'!$B$2</f>
        <v>0</v>
      </c>
      <c r="B3608" s="12" t="s">
        <v>441</v>
      </c>
      <c r="C3608" s="1">
        <f>IFERROR(VLOOKUP(1149,'PEDIDO 45'!$C$2:$E$230,3,0),0)</f>
        <v>0</v>
      </c>
      <c r="D3608" s="1">
        <f>IFERROR(VLOOKUP(1150,'PEDIDO 45'!$C$2:$E$230,3,0),0)</f>
        <v>0</v>
      </c>
      <c r="E3608" s="1">
        <f>IFERROR(VLOOKUP(1151,'PEDIDO 45'!$C$2:$E$230,3,0),0)</f>
        <v>0</v>
      </c>
      <c r="F3608" s="1">
        <f>IFERROR(VLOOKUP(1152,'PEDIDO 45'!$C$2:$E$230,3,0),0)</f>
        <v>0</v>
      </c>
      <c r="G3608" s="18">
        <f t="shared" si="109"/>
        <v>0</v>
      </c>
    </row>
    <row r="3609" spans="1:7" ht="15.75" x14ac:dyDescent="0.25">
      <c r="A3609" s="15">
        <f>'PEDIDO 45'!$B$2</f>
        <v>0</v>
      </c>
      <c r="B3609" s="12" t="s">
        <v>442</v>
      </c>
      <c r="C3609" s="1">
        <f>IFERROR(VLOOKUP(1153,'PEDIDO 45'!$C$2:$E$230,3,0),0)</f>
        <v>0</v>
      </c>
      <c r="D3609" s="1">
        <f>IFERROR(VLOOKUP(1154,'PEDIDO 45'!$C$2:$E$230,3,0),0)</f>
        <v>0</v>
      </c>
      <c r="E3609" s="1">
        <f>IFERROR(VLOOKUP(1155,'PEDIDO 45'!$C$2:$E$230,3,0),0)</f>
        <v>0</v>
      </c>
      <c r="F3609" s="1">
        <f>IFERROR(VLOOKUP(1156,'PEDIDO 45'!$C$2:$E$230,3,0),0)</f>
        <v>0</v>
      </c>
      <c r="G3609" s="18">
        <f t="shared" si="109"/>
        <v>0</v>
      </c>
    </row>
    <row r="3610" spans="1:7" ht="15.75" x14ac:dyDescent="0.25">
      <c r="A3610" s="15">
        <f>'PEDIDO 45'!$B$2</f>
        <v>0</v>
      </c>
      <c r="B3610" s="12" t="s">
        <v>443</v>
      </c>
      <c r="C3610" s="1">
        <f>IFERROR(VLOOKUP(1157,'PEDIDO 45'!$C$2:$E$230,3,0),0)</f>
        <v>0</v>
      </c>
      <c r="D3610" s="1">
        <f>IFERROR(VLOOKUP(1158,'PEDIDO 45'!$C$2:$E$230,3,0),0)</f>
        <v>0</v>
      </c>
      <c r="E3610" s="1">
        <f>IFERROR(VLOOKUP(1159,'PEDIDO 45'!$C$2:$E$230,3,0),0)</f>
        <v>0</v>
      </c>
      <c r="F3610" s="1">
        <f>IFERROR(VLOOKUP(1160,'PEDIDO 45'!$C$2:$E$230,3,0),0)</f>
        <v>0</v>
      </c>
      <c r="G3610" s="18">
        <f t="shared" si="109"/>
        <v>0</v>
      </c>
    </row>
    <row r="3611" spans="1:7" ht="15.75" x14ac:dyDescent="0.25">
      <c r="A3611" s="15">
        <f>'PEDIDO 45'!$B$2</f>
        <v>0</v>
      </c>
      <c r="B3611" s="12" t="s">
        <v>444</v>
      </c>
      <c r="C3611" s="1">
        <f>IFERROR(VLOOKUP(1161,'PEDIDO 45'!$C$2:$E$230,3,0),0)</f>
        <v>0</v>
      </c>
      <c r="D3611" s="1">
        <f>IFERROR(VLOOKUP(1162,'PEDIDO 45'!$C$2:$E$230,3,0),0)</f>
        <v>0</v>
      </c>
      <c r="E3611" s="1">
        <f>IFERROR(VLOOKUP(1163,'PEDIDO 45'!$C$2:$E$230,3,0),0)</f>
        <v>0</v>
      </c>
      <c r="F3611" s="1">
        <f>IFERROR(VLOOKUP(1164,'PEDIDO 45'!$C$2:$E$230,3,0),0)</f>
        <v>0</v>
      </c>
      <c r="G3611" s="18">
        <f t="shared" si="109"/>
        <v>0</v>
      </c>
    </row>
    <row r="3612" spans="1:7" ht="15.75" x14ac:dyDescent="0.25">
      <c r="A3612" s="15">
        <f>'PEDIDO 45'!$B$2</f>
        <v>0</v>
      </c>
      <c r="B3612" s="12" t="s">
        <v>445</v>
      </c>
      <c r="C3612" s="1">
        <f>IFERROR(VLOOKUP(1165,'PEDIDO 45'!$C$2:$E$230,3,0),0)</f>
        <v>0</v>
      </c>
      <c r="D3612" s="1">
        <f>IFERROR(VLOOKUP(1166,'PEDIDO 45'!$C$2:$E$230,3,0),0)</f>
        <v>0</v>
      </c>
      <c r="E3612" s="1">
        <f>IFERROR(VLOOKUP(1167,'PEDIDO 45'!$C$2:$E$230,3,0),0)</f>
        <v>0</v>
      </c>
      <c r="F3612" s="1">
        <f>IFERROR(VLOOKUP(1168,'PEDIDO 45'!$C$2:$E$230,3,0),0)</f>
        <v>0</v>
      </c>
      <c r="G3612" s="18">
        <f t="shared" si="109"/>
        <v>0</v>
      </c>
    </row>
    <row r="3613" spans="1:7" ht="15.75" x14ac:dyDescent="0.25">
      <c r="A3613" s="15">
        <f>'PEDIDO 45'!$B$2</f>
        <v>0</v>
      </c>
      <c r="B3613" s="12" t="s">
        <v>446</v>
      </c>
      <c r="C3613" s="1">
        <f>IFERROR(VLOOKUP(1169,'PEDIDO 45'!$C$2:$E$230,3,0),0)</f>
        <v>0</v>
      </c>
      <c r="D3613" s="1">
        <f>IFERROR(VLOOKUP(1170,'PEDIDO 45'!$C$2:$E$230,3,0),0)</f>
        <v>0</v>
      </c>
      <c r="E3613" s="1">
        <f>IFERROR(VLOOKUP(1171,'PEDIDO 45'!$C$2:$E$230,3,0),0)</f>
        <v>0</v>
      </c>
      <c r="F3613" s="1">
        <f>IFERROR(VLOOKUP(1172,'PEDIDO 45'!$C$2:$E$230,3,0),0)</f>
        <v>0</v>
      </c>
      <c r="G3613" s="18">
        <f t="shared" si="109"/>
        <v>0</v>
      </c>
    </row>
    <row r="3614" spans="1:7" ht="15.75" x14ac:dyDescent="0.25">
      <c r="A3614" s="15">
        <f>'PEDIDO 45'!$B$2</f>
        <v>0</v>
      </c>
      <c r="B3614" s="12" t="s">
        <v>447</v>
      </c>
      <c r="C3614" s="1">
        <f>IFERROR(VLOOKUP(1173,'PEDIDO 45'!$C$2:$E$230,3,0),0)</f>
        <v>0</v>
      </c>
      <c r="D3614" s="1">
        <f>IFERROR(VLOOKUP(1174,'PEDIDO 45'!$C$2:$E$230,3,0),0)</f>
        <v>0</v>
      </c>
      <c r="E3614" s="1">
        <f>IFERROR(VLOOKUP(1175,'PEDIDO 45'!$C$2:$E$230,3,0),0)</f>
        <v>0</v>
      </c>
      <c r="F3614" s="1">
        <f>IFERROR(VLOOKUP(1176,'PEDIDO 45'!$C$2:$E$230,3,0),0)</f>
        <v>0</v>
      </c>
      <c r="G3614" s="18">
        <f t="shared" si="109"/>
        <v>0</v>
      </c>
    </row>
    <row r="3615" spans="1:7" ht="15.75" x14ac:dyDescent="0.25">
      <c r="A3615" s="15">
        <f>'PEDIDO 45'!$B$2</f>
        <v>0</v>
      </c>
      <c r="B3615" s="12" t="s">
        <v>448</v>
      </c>
      <c r="C3615" s="1">
        <f>IFERROR(VLOOKUP(1249,'PEDIDO 45'!$C$2:$E$230,3,0),0)</f>
        <v>0</v>
      </c>
      <c r="D3615" s="1">
        <f>IFERROR(VLOOKUP(1250,'PEDIDO 45'!$C$2:$E$230,3,0),0)</f>
        <v>0</v>
      </c>
      <c r="E3615" s="1">
        <f>IFERROR(VLOOKUP(1251,'PEDIDO 45'!$C$2:$E$230,3,0),0)</f>
        <v>0</v>
      </c>
      <c r="F3615" s="1">
        <f>IFERROR(VLOOKUP(1252,'PEDIDO 45'!$C$2:$E$230,3,0),0)</f>
        <v>0</v>
      </c>
      <c r="G3615" s="18">
        <f t="shared" si="109"/>
        <v>0</v>
      </c>
    </row>
    <row r="3616" spans="1:7" ht="15.75" x14ac:dyDescent="0.25">
      <c r="A3616" s="15">
        <f>'PEDIDO 45'!$B$2</f>
        <v>0</v>
      </c>
      <c r="B3616" s="12" t="s">
        <v>449</v>
      </c>
      <c r="C3616" s="1">
        <f>IFERROR(VLOOKUP(1177,'PEDIDO 45'!$C$2:$E$230,3,0),0)</f>
        <v>0</v>
      </c>
      <c r="D3616" s="1">
        <f>IFERROR(VLOOKUP(1178,'PEDIDO 45'!$C$2:$E$230,3,0),0)</f>
        <v>0</v>
      </c>
      <c r="E3616" s="1">
        <f>IFERROR(VLOOKUP(1179,'PEDIDO 45'!$C$2:$E$230,3,0),0)</f>
        <v>0</v>
      </c>
      <c r="F3616" s="1">
        <f>IFERROR(VLOOKUP(1180,'PEDIDO 45'!$C$2:$E$230,3,0),0)</f>
        <v>0</v>
      </c>
      <c r="G3616" s="18">
        <f t="shared" si="109"/>
        <v>0</v>
      </c>
    </row>
    <row r="3617" spans="1:7" ht="15.75" x14ac:dyDescent="0.25">
      <c r="A3617" s="15">
        <f>'PEDIDO 45'!$B$2</f>
        <v>0</v>
      </c>
      <c r="B3617" s="12" t="s">
        <v>450</v>
      </c>
      <c r="C3617" s="1">
        <f>IFERROR(VLOOKUP(1181,'PEDIDO 45'!$C$2:$E$230,3,0),0)</f>
        <v>0</v>
      </c>
      <c r="D3617" s="1">
        <f>IFERROR(VLOOKUP(1182,'PEDIDO 45'!$C$2:$E$230,3,0),0)</f>
        <v>0</v>
      </c>
      <c r="E3617" s="1">
        <f>IFERROR(VLOOKUP(1183,'PEDIDO 45'!$C$2:$E$230,3,0),0)</f>
        <v>0</v>
      </c>
      <c r="F3617" s="1">
        <f>IFERROR(VLOOKUP(1184,'PEDIDO 45'!$C$2:$E$230,3,0),0)</f>
        <v>0</v>
      </c>
      <c r="G3617" s="18">
        <f t="shared" si="109"/>
        <v>0</v>
      </c>
    </row>
    <row r="3618" spans="1:7" ht="15.75" x14ac:dyDescent="0.25">
      <c r="A3618" s="15">
        <f>'PEDIDO 45'!$B$2</f>
        <v>0</v>
      </c>
      <c r="B3618" s="12" t="s">
        <v>451</v>
      </c>
      <c r="C3618" s="1">
        <f>IFERROR(VLOOKUP(1185,'PEDIDO 45'!$C$2:$E$230,3,0),0)</f>
        <v>0</v>
      </c>
      <c r="D3618" s="1">
        <f>IFERROR(VLOOKUP(1186,'PEDIDO 45'!$C$2:$E$230,3,0),0)</f>
        <v>0</v>
      </c>
      <c r="E3618" s="1">
        <f>IFERROR(VLOOKUP(1187,'PEDIDO 45'!$C$2:$E$230,3,0),0)</f>
        <v>0</v>
      </c>
      <c r="F3618" s="1">
        <f>IFERROR(VLOOKUP(1188,'PEDIDO 45'!$C$2:$E$230,3,0),0)</f>
        <v>0</v>
      </c>
      <c r="G3618" s="18">
        <f t="shared" si="109"/>
        <v>0</v>
      </c>
    </row>
    <row r="3619" spans="1:7" ht="15.75" x14ac:dyDescent="0.25">
      <c r="A3619" s="15">
        <f>'PEDIDO 45'!$B$2</f>
        <v>0</v>
      </c>
      <c r="B3619" s="12" t="s">
        <v>452</v>
      </c>
      <c r="C3619" s="1">
        <f>IFERROR(VLOOKUP(1189,'PEDIDO 45'!$C$2:$E$230,3,0),0)</f>
        <v>0</v>
      </c>
      <c r="D3619" s="1">
        <f>IFERROR(VLOOKUP(1190,'PEDIDO 45'!$C$2:$E$230,3,0),0)</f>
        <v>0</v>
      </c>
      <c r="E3619" s="1">
        <f>IFERROR(VLOOKUP(1191,'PEDIDO 45'!$C$2:$E$230,3,0),0)</f>
        <v>0</v>
      </c>
      <c r="F3619" s="1">
        <f>IFERROR(VLOOKUP(1192,'PEDIDO 45'!$C$2:$E$230,3,0),0)</f>
        <v>0</v>
      </c>
      <c r="G3619" s="18">
        <f t="shared" si="109"/>
        <v>0</v>
      </c>
    </row>
    <row r="3620" spans="1:7" ht="15.75" x14ac:dyDescent="0.25">
      <c r="A3620" s="15">
        <f>'PEDIDO 45'!$B$2</f>
        <v>0</v>
      </c>
      <c r="B3620" s="12" t="s">
        <v>453</v>
      </c>
      <c r="C3620" s="1">
        <f>IFERROR(VLOOKUP(1193,'PEDIDO 45'!$C$2:$E$230,3,0),0)</f>
        <v>0</v>
      </c>
      <c r="D3620" s="1">
        <f>IFERROR(VLOOKUP(1194,'PEDIDO 45'!$C$2:$E$230,3,0),0)</f>
        <v>0</v>
      </c>
      <c r="E3620" s="1">
        <f>IFERROR(VLOOKUP(1195,'PEDIDO 45'!$C$2:$E$230,3,0),0)</f>
        <v>0</v>
      </c>
      <c r="F3620" s="1">
        <f>IFERROR(VLOOKUP(1196,'PEDIDO 45'!$C$2:$E$230,3,0),0)</f>
        <v>0</v>
      </c>
      <c r="G3620" s="18">
        <f t="shared" si="109"/>
        <v>0</v>
      </c>
    </row>
    <row r="3621" spans="1:7" ht="15.75" x14ac:dyDescent="0.25">
      <c r="A3621" s="15">
        <f>'PEDIDO 45'!$B$2</f>
        <v>0</v>
      </c>
      <c r="B3621" s="12" t="s">
        <v>454</v>
      </c>
      <c r="C3621" s="1">
        <f>IFERROR(VLOOKUP(1197,'PEDIDO 45'!$C$2:$E$230,3,0),0)</f>
        <v>0</v>
      </c>
      <c r="D3621" s="1">
        <f>IFERROR(VLOOKUP(1198,'PEDIDO 45'!$C$2:$E$230,3,0),0)</f>
        <v>0</v>
      </c>
      <c r="E3621" s="1">
        <f>IFERROR(VLOOKUP(1199,'PEDIDO 45'!$C$2:$E$230,3,0),0)</f>
        <v>0</v>
      </c>
      <c r="F3621" s="1">
        <f>IFERROR(VLOOKUP(1200,'PEDIDO 45'!$C$2:$E$230,3,0),0)</f>
        <v>0</v>
      </c>
      <c r="G3621" s="18">
        <f t="shared" si="109"/>
        <v>0</v>
      </c>
    </row>
    <row r="3622" spans="1:7" ht="15.75" x14ac:dyDescent="0.25">
      <c r="A3622" s="15">
        <f>'PEDIDO 45'!$B$2</f>
        <v>0</v>
      </c>
      <c r="B3622" s="12" t="s">
        <v>455</v>
      </c>
      <c r="C3622" s="1">
        <f>IFERROR(VLOOKUP(1201,'PEDIDO 45'!$C$2:$E$230,3,0),0)</f>
        <v>0</v>
      </c>
      <c r="D3622" s="1">
        <f>IFERROR(VLOOKUP(1202,'PEDIDO 45'!$C$2:$E$230,3,0),0)</f>
        <v>0</v>
      </c>
      <c r="E3622" s="1">
        <f>IFERROR(VLOOKUP(1203,'PEDIDO 45'!$C$2:$E$230,3,0),0)</f>
        <v>0</v>
      </c>
      <c r="F3622" s="1">
        <f>IFERROR(VLOOKUP(1204,'PEDIDO 45'!$C$2:$E$230,3,0),0)</f>
        <v>0</v>
      </c>
      <c r="G3622" s="18">
        <f t="shared" si="109"/>
        <v>0</v>
      </c>
    </row>
    <row r="3623" spans="1:7" ht="15.75" x14ac:dyDescent="0.25">
      <c r="A3623" s="15">
        <f>'PEDIDO 45'!$B$2</f>
        <v>0</v>
      </c>
      <c r="B3623" s="12" t="s">
        <v>456</v>
      </c>
      <c r="C3623" s="1">
        <f>IFERROR(VLOOKUP(1205,'PEDIDO 45'!$C$2:$E$230,3,0),0)</f>
        <v>0</v>
      </c>
      <c r="D3623" s="1">
        <f>IFERROR(VLOOKUP(1206,'PEDIDO 45'!$C$2:$E$230,3,0),0)</f>
        <v>0</v>
      </c>
      <c r="E3623" s="1">
        <f>IFERROR(VLOOKUP(1207,'PEDIDO 45'!$C$2:$E$230,3,0),0)</f>
        <v>0</v>
      </c>
      <c r="F3623" s="1">
        <f>IFERROR(VLOOKUP(1208,'PEDIDO 45'!$C$2:$E$230,3,0),0)</f>
        <v>0</v>
      </c>
      <c r="G3623" s="18">
        <f t="shared" si="109"/>
        <v>0</v>
      </c>
    </row>
    <row r="3624" spans="1:7" ht="15.75" x14ac:dyDescent="0.25">
      <c r="A3624" s="15">
        <f>'PEDIDO 45'!$B$2</f>
        <v>0</v>
      </c>
      <c r="B3624" s="12" t="s">
        <v>457</v>
      </c>
      <c r="C3624" s="1">
        <f>IFERROR(VLOOKUP(1213,'PEDIDO 45'!$C$2:$E$230,3,0),0)</f>
        <v>0</v>
      </c>
      <c r="D3624" s="1">
        <f>IFERROR(VLOOKUP(1214,'PEDIDO 45'!$C$2:$E$230,3,0),0)</f>
        <v>0</v>
      </c>
      <c r="E3624" s="1">
        <f>IFERROR(VLOOKUP(1215,'PEDIDO 45'!$C$2:$E$230,3,0),0)</f>
        <v>0</v>
      </c>
      <c r="F3624" s="10">
        <f>IFERROR(VLOOKUP(1216,'PEDIDO 45'!$C$2:$E$230,3,0),0)</f>
        <v>0</v>
      </c>
      <c r="G3624" s="18">
        <f t="shared" si="109"/>
        <v>0</v>
      </c>
    </row>
    <row r="3625" spans="1:7" ht="15.75" x14ac:dyDescent="0.25">
      <c r="A3625" s="15">
        <f>'PEDIDO 45'!$B$2</f>
        <v>0</v>
      </c>
      <c r="B3625" s="12" t="s">
        <v>458</v>
      </c>
      <c r="C3625" s="1">
        <f>IFERROR(VLOOKUP(1209,'PEDIDO 45'!$C$2:$E$230,3,0),0)</f>
        <v>0</v>
      </c>
      <c r="D3625" s="1">
        <f>IFERROR(VLOOKUP(1210,'PEDIDO 45'!$C$2:$E$230,3,0),0)</f>
        <v>0</v>
      </c>
      <c r="E3625" s="1">
        <f>IFERROR(VLOOKUP(1211,'PEDIDO 45'!$C$2:$E$230,3,0),0)</f>
        <v>0</v>
      </c>
      <c r="F3625" s="1">
        <f>IFERROR(VLOOKUP(1212,'PEDIDO 45'!$C$2:$E$230,3,0),0)</f>
        <v>0</v>
      </c>
      <c r="G3625" s="18">
        <f t="shared" si="109"/>
        <v>0</v>
      </c>
    </row>
    <row r="3626" spans="1:7" ht="15.75" x14ac:dyDescent="0.25">
      <c r="A3626" s="15">
        <f>'PEDIDO 45'!$B$2</f>
        <v>0</v>
      </c>
      <c r="B3626" s="12" t="s">
        <v>459</v>
      </c>
      <c r="C3626" s="1">
        <f>IFERROR(VLOOKUP(1217,'PEDIDO 45'!$C$2:$E$230,3,0),0)</f>
        <v>0</v>
      </c>
      <c r="D3626" s="1">
        <f>IFERROR(VLOOKUP(1218,'PEDIDO 45'!$C$2:$E$230,3,0),0)</f>
        <v>0</v>
      </c>
      <c r="E3626" s="1">
        <f>IFERROR(VLOOKUP(1219,'PEDIDO 45'!$C$2:$E$230,3,0),0)</f>
        <v>0</v>
      </c>
      <c r="F3626" s="1">
        <f>IFERROR(VLOOKUP(1220,'PEDIDO 45'!$C$2:$E$230,3,0),0)</f>
        <v>0</v>
      </c>
      <c r="G3626" s="18">
        <f t="shared" si="109"/>
        <v>0</v>
      </c>
    </row>
    <row r="3627" spans="1:7" ht="15.75" x14ac:dyDescent="0.25">
      <c r="A3627" s="15">
        <f>'PEDIDO 45'!$B$2</f>
        <v>0</v>
      </c>
      <c r="B3627" s="12" t="s">
        <v>461</v>
      </c>
      <c r="C3627" s="1">
        <f>IFERROR(VLOOKUP(1225,'PEDIDO 45'!$C$2:$E$230,3,0),0)</f>
        <v>0</v>
      </c>
      <c r="D3627" s="1">
        <f>IFERROR(VLOOKUP(1226,'PEDIDO 45'!$C$2:$E$230,3,0),0)</f>
        <v>0</v>
      </c>
      <c r="E3627" s="1">
        <f>IFERROR(VLOOKUP(1227,'PEDIDO 45'!$C$2:$E$230,3,0),0)</f>
        <v>0</v>
      </c>
      <c r="F3627" s="1">
        <f>IFERROR(VLOOKUP(1228,'PEDIDO 45'!$C$2:$E$230,3,0),0)</f>
        <v>0</v>
      </c>
      <c r="G3627" s="18">
        <f t="shared" si="109"/>
        <v>0</v>
      </c>
    </row>
    <row r="3628" spans="1:7" ht="15.75" x14ac:dyDescent="0.25">
      <c r="A3628" s="15">
        <f>'PEDIDO 45'!$B$2</f>
        <v>0</v>
      </c>
      <c r="B3628" s="12" t="s">
        <v>462</v>
      </c>
      <c r="C3628" s="1">
        <f>IFERROR(VLOOKUP(1221,'PEDIDO 45'!$C$2:$E$230,3,0),0)</f>
        <v>0</v>
      </c>
      <c r="D3628" s="1">
        <f>IFERROR(VLOOKUP(1222,'PEDIDO 45'!$C$2:$E$230,3,0),0)</f>
        <v>0</v>
      </c>
      <c r="E3628" s="1">
        <f>IFERROR(VLOOKUP(1223,'PEDIDO 45'!$C$2:$E$230,3,0),0)</f>
        <v>0</v>
      </c>
      <c r="F3628" s="1">
        <f>IFERROR(VLOOKUP(1224,'PEDIDO 45'!$C$2:$E$230,3,0),0)</f>
        <v>0</v>
      </c>
      <c r="G3628" s="18">
        <f t="shared" si="109"/>
        <v>0</v>
      </c>
    </row>
    <row r="3629" spans="1:7" ht="15.75" x14ac:dyDescent="0.25">
      <c r="A3629" s="15">
        <f>'PEDIDO 45'!$B$2</f>
        <v>0</v>
      </c>
      <c r="B3629" s="12" t="s">
        <v>460</v>
      </c>
      <c r="C3629" s="1">
        <f>IFERROR(VLOOKUP(1229,'PEDIDO 45'!$C$2:$E$230,3,0),0)</f>
        <v>0</v>
      </c>
      <c r="D3629" s="1">
        <f>IFERROR(VLOOKUP(1230,'PEDIDO 45'!$C$2:$E$230,3,0),0)</f>
        <v>0</v>
      </c>
      <c r="E3629" s="1">
        <f>IFERROR(VLOOKUP(1231,'PEDIDO 45'!$C$2:$E$230,3,0),0)</f>
        <v>0</v>
      </c>
      <c r="F3629" s="1">
        <f>IFERROR(VLOOKUP(1232,'PEDIDO 45'!$C$2:$E$230,3,0),0)</f>
        <v>0</v>
      </c>
      <c r="G3629" s="18">
        <f t="shared" si="109"/>
        <v>0</v>
      </c>
    </row>
    <row r="3630" spans="1:7" ht="15.75" x14ac:dyDescent="0.25">
      <c r="A3630" s="15">
        <f>'PEDIDO 45'!$B$2</f>
        <v>0</v>
      </c>
      <c r="B3630" s="12" t="s">
        <v>463</v>
      </c>
      <c r="C3630" s="1">
        <f>IFERROR(VLOOKUP(1233,'PEDIDO 45'!$C$2:$E$230,3,0),0)</f>
        <v>0</v>
      </c>
      <c r="D3630" s="1">
        <f>IFERROR(VLOOKUP(1234,'PEDIDO 45'!$C$2:$E$230,3,0),0)</f>
        <v>0</v>
      </c>
      <c r="E3630" s="1">
        <f>IFERROR(VLOOKUP(1235,'PEDIDO 45'!$C$2:$E$230,3,0),0)</f>
        <v>0</v>
      </c>
      <c r="F3630" s="1">
        <f>IFERROR(VLOOKUP(1236,'PEDIDO 45'!$C$2:$E$230,3,0),0)</f>
        <v>0</v>
      </c>
      <c r="G3630" s="18">
        <f t="shared" si="109"/>
        <v>0</v>
      </c>
    </row>
    <row r="3631" spans="1:7" ht="15.75" x14ac:dyDescent="0.25">
      <c r="A3631" s="15">
        <f>'PEDIDO 45'!$B$2</f>
        <v>0</v>
      </c>
      <c r="B3631" s="12" t="s">
        <v>464</v>
      </c>
      <c r="C3631" s="1">
        <f>IFERROR(VLOOKUP(1237,'PEDIDO 45'!$C$2:$E$230,3,0),0)</f>
        <v>0</v>
      </c>
      <c r="D3631" s="1">
        <f>IFERROR(VLOOKUP(1238,'PEDIDO 45'!$C$2:$E$230,3,0),0)</f>
        <v>0</v>
      </c>
      <c r="E3631" s="1">
        <f>IFERROR(VLOOKUP(1239,'PEDIDO 45'!$C$2:$E$230,3,0),0)</f>
        <v>0</v>
      </c>
      <c r="F3631" s="1">
        <f>IFERROR(VLOOKUP(1240,'PEDIDO 45'!$C$2:$E$230,3,0),0)</f>
        <v>0</v>
      </c>
      <c r="G3631" s="18">
        <f t="shared" ref="G3631:G3643" si="110">SUM(C3631+D3631+E3631+F3631)</f>
        <v>0</v>
      </c>
    </row>
    <row r="3632" spans="1:7" ht="15.75" x14ac:dyDescent="0.25">
      <c r="A3632" s="15">
        <f>'PEDIDO 45'!$B$2</f>
        <v>0</v>
      </c>
      <c r="B3632" s="12" t="s">
        <v>465</v>
      </c>
      <c r="C3632" s="1">
        <f>IFERROR(VLOOKUP(1241,'PEDIDO 45'!$C$2:$E$230,3,0),0)</f>
        <v>0</v>
      </c>
      <c r="D3632" s="1">
        <f>IFERROR(VLOOKUP(1242,'PEDIDO 45'!$C$2:$E$230,3,0),0)</f>
        <v>0</v>
      </c>
      <c r="E3632" s="1">
        <f>IFERROR(VLOOKUP(1243,'PEDIDO 45'!$C$2:$E$230,3,0),0)</f>
        <v>0</v>
      </c>
      <c r="F3632" s="1">
        <f>IFERROR(VLOOKUP(1244,'PEDIDO 45'!$C$2:$E$230,3,0),0)</f>
        <v>0</v>
      </c>
      <c r="G3632" s="18">
        <f t="shared" si="110"/>
        <v>0</v>
      </c>
    </row>
    <row r="3633" spans="1:7" ht="15.75" x14ac:dyDescent="0.25">
      <c r="A3633" s="15">
        <f>'PEDIDO 45'!$B$2</f>
        <v>0</v>
      </c>
      <c r="B3633" s="12" t="s">
        <v>466</v>
      </c>
      <c r="C3633" s="1">
        <f>IFERROR(VLOOKUP(1245,'PEDIDO 45'!$C$2:$E$230,3,0),0)</f>
        <v>0</v>
      </c>
      <c r="D3633" s="1">
        <f>IFERROR(VLOOKUP(1246,'PEDIDO 45'!$C$2:$E$230,3,0),0)</f>
        <v>0</v>
      </c>
      <c r="E3633" s="1">
        <f>IFERROR(VLOOKUP(1247,'PEDIDO 45'!$C$2:$E$230,3,0),0)</f>
        <v>0</v>
      </c>
      <c r="F3633" s="1">
        <f>IFERROR(VLOOKUP(1248,'PEDIDO 45'!$C$2:$E$230,3,0),0)</f>
        <v>0</v>
      </c>
      <c r="G3633" s="18">
        <f t="shared" si="110"/>
        <v>0</v>
      </c>
    </row>
    <row r="3634" spans="1:7" ht="15.75" x14ac:dyDescent="0.25">
      <c r="A3634" s="15">
        <f>'PEDIDO 45'!$B$2</f>
        <v>0</v>
      </c>
      <c r="B3634" s="12" t="s">
        <v>467</v>
      </c>
      <c r="C3634" s="1">
        <f>IFERROR(VLOOKUP(25714,'PEDIDO 45'!$C$2:$E$230,3,0),0)</f>
        <v>0</v>
      </c>
      <c r="D3634" s="1"/>
      <c r="E3634" s="1"/>
      <c r="F3634" s="1"/>
      <c r="G3634" s="18">
        <f t="shared" si="110"/>
        <v>0</v>
      </c>
    </row>
    <row r="3635" spans="1:7" ht="15.75" x14ac:dyDescent="0.25">
      <c r="A3635" s="15">
        <f>'PEDIDO 45'!$B$2</f>
        <v>0</v>
      </c>
      <c r="B3635" s="12" t="s">
        <v>468</v>
      </c>
      <c r="C3635" s="1">
        <f>IFERROR(VLOOKUP(25712,'PEDIDO 45'!$C$2:$E$230,3,0),0)</f>
        <v>0</v>
      </c>
      <c r="D3635" s="1"/>
      <c r="E3635" s="1"/>
      <c r="F3635" s="1"/>
      <c r="G3635" s="18">
        <f t="shared" si="110"/>
        <v>0</v>
      </c>
    </row>
    <row r="3636" spans="1:7" ht="15.75" x14ac:dyDescent="0.25">
      <c r="A3636" s="15">
        <f>'PEDIDO 45'!$B$2</f>
        <v>0</v>
      </c>
      <c r="B3636" s="12" t="s">
        <v>469</v>
      </c>
      <c r="C3636" s="1">
        <f>IFERROR(VLOOKUP(25713,'PEDIDO 45'!$C$2:$E$230,3,0),0)</f>
        <v>0</v>
      </c>
      <c r="D3636" s="1"/>
      <c r="E3636" s="1"/>
      <c r="F3636" s="1"/>
      <c r="G3636" s="18">
        <f t="shared" si="110"/>
        <v>0</v>
      </c>
    </row>
    <row r="3637" spans="1:7" ht="15.75" x14ac:dyDescent="0.25">
      <c r="A3637" s="15">
        <f>'PEDIDO 45'!$B$2</f>
        <v>0</v>
      </c>
      <c r="B3637" s="12" t="s">
        <v>470</v>
      </c>
      <c r="C3637" s="1">
        <f>IFERROR(VLOOKUP(1260,'PEDIDO 45'!$C$2:$E$230,3,0),0)</f>
        <v>0</v>
      </c>
      <c r="D3637" s="1"/>
      <c r="E3637" s="1"/>
      <c r="F3637" s="1"/>
      <c r="G3637" s="18">
        <f t="shared" si="110"/>
        <v>0</v>
      </c>
    </row>
    <row r="3638" spans="1:7" ht="15.75" x14ac:dyDescent="0.25">
      <c r="A3638" s="15">
        <f>'PEDIDO 45'!$B$2</f>
        <v>0</v>
      </c>
      <c r="B3638" s="12" t="s">
        <v>471</v>
      </c>
      <c r="C3638" s="1">
        <f>IFERROR(VLOOKUP(1261,'PEDIDO 45'!$C$2:$E$230,3,0),0)</f>
        <v>0</v>
      </c>
      <c r="D3638" s="1"/>
      <c r="E3638" s="1"/>
      <c r="F3638" s="1"/>
      <c r="G3638" s="18">
        <f t="shared" si="110"/>
        <v>0</v>
      </c>
    </row>
    <row r="3639" spans="1:7" ht="15.75" x14ac:dyDescent="0.25">
      <c r="A3639" s="15">
        <f>'PEDIDO 45'!$B$2</f>
        <v>0</v>
      </c>
      <c r="B3639" s="12" t="s">
        <v>472</v>
      </c>
      <c r="C3639" s="1">
        <f>IFERROR(VLOOKUP(1262,'PEDIDO 45'!$C$2:$E$230,3,0),0)</f>
        <v>0</v>
      </c>
      <c r="D3639" s="1"/>
      <c r="E3639" s="1"/>
      <c r="F3639" s="1"/>
      <c r="G3639" s="18">
        <f t="shared" si="110"/>
        <v>0</v>
      </c>
    </row>
    <row r="3640" spans="1:7" ht="15.75" x14ac:dyDescent="0.25">
      <c r="A3640" s="15">
        <f>'PEDIDO 45'!$B$2</f>
        <v>0</v>
      </c>
      <c r="B3640" s="12" t="s">
        <v>473</v>
      </c>
      <c r="C3640" s="1">
        <f>IFERROR(VLOOKUP(1263,'PEDIDO 45'!$C$2:$E$230,3,0),0)</f>
        <v>0</v>
      </c>
      <c r="D3640" s="1"/>
      <c r="E3640" s="1"/>
      <c r="F3640" s="1"/>
      <c r="G3640" s="18">
        <f t="shared" si="110"/>
        <v>0</v>
      </c>
    </row>
    <row r="3641" spans="1:7" ht="15.75" x14ac:dyDescent="0.25">
      <c r="A3641" s="15">
        <f>'PEDIDO 45'!$B$2</f>
        <v>0</v>
      </c>
      <c r="B3641" s="12" t="s">
        <v>474</v>
      </c>
      <c r="C3641" s="1">
        <f>IFERROR(VLOOKUP(1264,'PEDIDO 45'!$C$2:$E$230,3,0),0)</f>
        <v>0</v>
      </c>
      <c r="D3641" s="1"/>
      <c r="E3641" s="1"/>
      <c r="F3641" s="1"/>
      <c r="G3641" s="18">
        <f t="shared" si="110"/>
        <v>0</v>
      </c>
    </row>
    <row r="3642" spans="1:7" ht="15.75" x14ac:dyDescent="0.25">
      <c r="A3642" s="15">
        <f>'PEDIDO 45'!$B$2</f>
        <v>0</v>
      </c>
      <c r="B3642" s="12" t="s">
        <v>475</v>
      </c>
      <c r="C3642" s="1">
        <f>IFERROR(VLOOKUP(1265,'PEDIDO 45'!$C$2:$E$230,3,0),0)</f>
        <v>0</v>
      </c>
      <c r="D3642" s="1"/>
      <c r="E3642" s="1"/>
      <c r="F3642" s="1"/>
      <c r="G3642" s="18">
        <f t="shared" si="110"/>
        <v>0</v>
      </c>
    </row>
    <row r="3643" spans="1:7" ht="15.75" x14ac:dyDescent="0.25">
      <c r="A3643" s="15">
        <f>'PEDIDO 45'!$B$2</f>
        <v>0</v>
      </c>
      <c r="B3643" s="12" t="s">
        <v>476</v>
      </c>
      <c r="C3643" s="1">
        <f>IFERROR(VLOOKUP(1266,'PEDIDO 45'!$C$2:$E$230,3,0),0)</f>
        <v>0</v>
      </c>
      <c r="D3643" s="1"/>
      <c r="E3643" s="1"/>
      <c r="F3643" s="1"/>
      <c r="G3643" s="18">
        <f t="shared" si="110"/>
        <v>0</v>
      </c>
    </row>
    <row r="3644" spans="1:7" ht="15.75" x14ac:dyDescent="0.25">
      <c r="A3644" s="15">
        <f>'PEDIDO 45'!$B$2</f>
        <v>0</v>
      </c>
      <c r="B3644" s="12" t="s">
        <v>477</v>
      </c>
      <c r="C3644" s="1">
        <f>IFERROR(VLOOKUP(1268,'PEDIDO 45'!$C$2:$E$230,3,0),0)</f>
        <v>0</v>
      </c>
      <c r="D3644" s="1">
        <f>IFERROR(VLOOKUP(1269,'PEDIDO 45'!$C$2:$E$230,3,0),0)</f>
        <v>0</v>
      </c>
      <c r="E3644" s="1">
        <f>IFERROR(VLOOKUP(1270,'PEDIDO 45'!$C$2:$E$230,3,0),0)</f>
        <v>0</v>
      </c>
      <c r="F3644" s="1">
        <f>IFERROR(VLOOKUP(1271,'PEDIDO 45'!$C$2:$E$230,3,0),0)</f>
        <v>0</v>
      </c>
      <c r="G3644" s="18">
        <f t="shared" ref="G3644" si="111">SUM(C3644+D3644+E3644+F3644)</f>
        <v>0</v>
      </c>
    </row>
    <row r="3647" spans="1:7" ht="15.75" x14ac:dyDescent="0.25">
      <c r="A3647" s="15">
        <f>'PEDIDO 46'!$B$2</f>
        <v>0</v>
      </c>
      <c r="B3647" s="12" t="s">
        <v>399</v>
      </c>
      <c r="C3647" s="1">
        <f>IFERROR(VLOOKUP(1,'PEDIDO 46'!$C$2:$E$230,3,0),0)</f>
        <v>0</v>
      </c>
      <c r="D3647" s="1">
        <f>IFERROR(VLOOKUP(2,'PEDIDO 46'!$C$2:$E$230,3,0),0)</f>
        <v>0</v>
      </c>
      <c r="E3647" s="1">
        <f>IFERROR(VLOOKUP(3,'PEDIDO 46'!$C$2:$E$230,3,0),0)</f>
        <v>0</v>
      </c>
      <c r="F3647" s="1">
        <f>IFERROR(VLOOKUP(282,'PEDIDO 46'!$C$2:$E$230,3,0),0)</f>
        <v>0</v>
      </c>
      <c r="G3647" s="18">
        <f>SUM(C3647+D3647+E3647+F3647)</f>
        <v>0</v>
      </c>
    </row>
    <row r="3648" spans="1:7" ht="15.75" x14ac:dyDescent="0.25">
      <c r="A3648" s="15">
        <f>'PEDIDO 46'!$B$2</f>
        <v>0</v>
      </c>
      <c r="B3648" s="12" t="s">
        <v>400</v>
      </c>
      <c r="C3648" s="1">
        <f>IFERROR(VLOOKUP(5,'PEDIDO 46'!$C$2:$E$230,3,0),0)</f>
        <v>0</v>
      </c>
      <c r="D3648" s="1">
        <f>IFERROR(VLOOKUP(6,'PEDIDO 46'!$C$2:$E$230,3,0),0)</f>
        <v>0</v>
      </c>
      <c r="E3648" s="1">
        <f>IFERROR(VLOOKUP(7,'PEDIDO 46'!$C$2:$E$230,3,0),0)</f>
        <v>0</v>
      </c>
      <c r="F3648" s="1">
        <f>IFERROR(VLOOKUP(258,'PEDIDO 46'!$C$2:$E$230,3,0),0)</f>
        <v>0</v>
      </c>
      <c r="G3648" s="18">
        <f t="shared" ref="G3648:G3711" si="112">SUM(C3648+D3648+E3648+F3648)</f>
        <v>0</v>
      </c>
    </row>
    <row r="3649" spans="1:7" ht="15.75" x14ac:dyDescent="0.25">
      <c r="A3649" s="15">
        <f>'PEDIDO 46'!$B$2</f>
        <v>0</v>
      </c>
      <c r="B3649" s="12" t="s">
        <v>401</v>
      </c>
      <c r="C3649" s="1">
        <f>IFERROR(VLOOKUP(13,'PEDIDO 46'!$C$2:$E$230,3,0),0)</f>
        <v>0</v>
      </c>
      <c r="D3649" s="1">
        <f>IFERROR(VLOOKUP(14,'PEDIDO 46'!$C$2:$E$230,3,0),0)</f>
        <v>0</v>
      </c>
      <c r="E3649" s="1">
        <f>IFERROR(VLOOKUP(15,'PEDIDO 46'!$C$2:$E$230,3,0),0)</f>
        <v>0</v>
      </c>
      <c r="F3649" s="1">
        <f>IFERROR(VLOOKUP(289,'PEDIDO 46'!$C$2:$E$230,3,0),0)</f>
        <v>0</v>
      </c>
      <c r="G3649" s="18">
        <f t="shared" si="112"/>
        <v>0</v>
      </c>
    </row>
    <row r="3650" spans="1:7" ht="15.75" x14ac:dyDescent="0.25">
      <c r="A3650" s="15">
        <f>'PEDIDO 46'!$B$2</f>
        <v>0</v>
      </c>
      <c r="B3650" s="12" t="s">
        <v>402</v>
      </c>
      <c r="C3650" s="1">
        <f>IFERROR(VLOOKUP(267,'PEDIDO 46'!$C$2:$E$230,3,0),0)</f>
        <v>0</v>
      </c>
      <c r="D3650" s="1">
        <f>IFERROR(VLOOKUP(268,'PEDIDO 46'!$C$2:$E$230,3,0),0)</f>
        <v>0</v>
      </c>
      <c r="E3650" s="1">
        <f>IFERROR(VLOOKUP(270,'PEDIDO 46'!$C$2:$E$230,3,0),0)</f>
        <v>0</v>
      </c>
      <c r="F3650" s="1">
        <f>IFERROR(VLOOKUP(269,'PEDIDO 46'!$C$2:$E$230,3,0),0)</f>
        <v>0</v>
      </c>
      <c r="G3650" s="18">
        <f t="shared" si="112"/>
        <v>0</v>
      </c>
    </row>
    <row r="3651" spans="1:7" ht="15.75" x14ac:dyDescent="0.25">
      <c r="A3651" s="15">
        <f>'PEDIDO 46'!$B$2</f>
        <v>0</v>
      </c>
      <c r="B3651" s="12" t="s">
        <v>403</v>
      </c>
      <c r="C3651" s="1">
        <f>IFERROR(VLOOKUP(17,'PEDIDO 46'!$C$2:$E$230,3,0),0)</f>
        <v>0</v>
      </c>
      <c r="D3651" s="1">
        <f>IFERROR(VLOOKUP(18,'PEDIDO 46'!$C$2:$E$230,3,0),0)</f>
        <v>0</v>
      </c>
      <c r="E3651" s="1">
        <f>IFERROR(VLOOKUP(19,'PEDIDO 46'!$C$2:$E$230,3,0),0)</f>
        <v>0</v>
      </c>
      <c r="F3651" s="1">
        <f>IFERROR(VLOOKUP(290,'PEDIDO 46'!$C$2:$E$230,3,0),0)</f>
        <v>0</v>
      </c>
      <c r="G3651" s="18">
        <f t="shared" si="112"/>
        <v>0</v>
      </c>
    </row>
    <row r="3652" spans="1:7" ht="15.75" x14ac:dyDescent="0.25">
      <c r="A3652" s="15">
        <f>'PEDIDO 46'!$B$2</f>
        <v>0</v>
      </c>
      <c r="B3652" s="12" t="s">
        <v>404</v>
      </c>
      <c r="C3652" s="1">
        <f>IFERROR(VLOOKUP(23,'PEDIDO 46'!$C$2:$E$230,3,0),0)</f>
        <v>0</v>
      </c>
      <c r="D3652" s="1">
        <f>IFERROR(VLOOKUP(24,'PEDIDO 46'!$C$2:$E$230,3,0),0)</f>
        <v>0</v>
      </c>
      <c r="E3652" s="1">
        <f>IFERROR(VLOOKUP(25,'PEDIDO 46'!$C$2:$E$230,3,0),0)</f>
        <v>0</v>
      </c>
      <c r="F3652" s="1">
        <f>IFERROR(VLOOKUP(291,'PEDIDO 46'!$C$2:$E$230,3,0),0)</f>
        <v>0</v>
      </c>
      <c r="G3652" s="18">
        <f t="shared" si="112"/>
        <v>0</v>
      </c>
    </row>
    <row r="3653" spans="1:7" ht="15.75" x14ac:dyDescent="0.25">
      <c r="A3653" s="15">
        <f>'PEDIDO 46'!$B$2</f>
        <v>0</v>
      </c>
      <c r="B3653" s="12" t="s">
        <v>405</v>
      </c>
      <c r="C3653" s="1">
        <f>IFERROR(VLOOKUP(27,'PEDIDO 46'!$C$2:$E$230,3,0),0)</f>
        <v>0</v>
      </c>
      <c r="D3653" s="1">
        <f>IFERROR(VLOOKUP(28,'PEDIDO 46'!$C$2:$E$230,3,0),0)</f>
        <v>0</v>
      </c>
      <c r="E3653" s="1">
        <f>IFERROR(VLOOKUP(29,'PEDIDO 46'!$C$2:$E$230,3,0),0)</f>
        <v>0</v>
      </c>
      <c r="F3653" s="1">
        <f>IFERROR(VLOOKUP(292,'PEDIDO 46'!$C$2:$E$230,3,0),0)</f>
        <v>0</v>
      </c>
      <c r="G3653" s="18">
        <f t="shared" si="112"/>
        <v>0</v>
      </c>
    </row>
    <row r="3654" spans="1:7" ht="15.75" x14ac:dyDescent="0.25">
      <c r="A3654" s="15">
        <f>'PEDIDO 46'!$B$2</f>
        <v>0</v>
      </c>
      <c r="B3654" s="12" t="s">
        <v>406</v>
      </c>
      <c r="C3654" s="1">
        <f>IFERROR(VLOOKUP(227,'PEDIDO 46'!$C$2:$E$230,3,0),0)</f>
        <v>0</v>
      </c>
      <c r="D3654" s="1">
        <f>IFERROR(VLOOKUP(228,'PEDIDO 46'!$C$2:$E$230,3,0),0)</f>
        <v>0</v>
      </c>
      <c r="E3654" s="1">
        <f>IFERROR(VLOOKUP(229,'PEDIDO 46'!$C$2:$E$230,3,0),0)</f>
        <v>0</v>
      </c>
      <c r="F3654" s="1">
        <f>IFERROR(VLOOKUP(230,'PEDIDO 46'!$C$2:$E$230,3,0),0)</f>
        <v>0</v>
      </c>
      <c r="G3654" s="18">
        <f t="shared" si="112"/>
        <v>0</v>
      </c>
    </row>
    <row r="3655" spans="1:7" ht="15.75" x14ac:dyDescent="0.25">
      <c r="A3655" s="15">
        <f>'PEDIDO 46'!$B$2</f>
        <v>0</v>
      </c>
      <c r="B3655" s="12" t="s">
        <v>407</v>
      </c>
      <c r="C3655" s="1">
        <f>IFERROR(VLOOKUP(231,'PEDIDO 46'!$C$2:$E$230,3,0),0)</f>
        <v>0</v>
      </c>
      <c r="D3655" s="1">
        <f>IFERROR(VLOOKUP(232,'PEDIDO 46'!$C$2:$E$230,3,0),0)</f>
        <v>0</v>
      </c>
      <c r="E3655" s="1">
        <f>IFERROR(VLOOKUP(234,'PEDIDO 46'!$C$2:$E$230,3,0),0)</f>
        <v>0</v>
      </c>
      <c r="F3655" s="1">
        <f>IFERROR(VLOOKUP(233,'PEDIDO 46'!$C$2:$E$230,3,0),0)</f>
        <v>0</v>
      </c>
      <c r="G3655" s="18">
        <f t="shared" si="112"/>
        <v>0</v>
      </c>
    </row>
    <row r="3656" spans="1:7" ht="15.75" x14ac:dyDescent="0.25">
      <c r="A3656" s="15">
        <f>'PEDIDO 46'!$B$2</f>
        <v>0</v>
      </c>
      <c r="B3656" s="12" t="s">
        <v>408</v>
      </c>
      <c r="C3656" s="1">
        <f>IFERROR(VLOOKUP(237,'PEDIDO 46'!$C$2:$E$230,3,0),0)</f>
        <v>0</v>
      </c>
      <c r="D3656" s="1">
        <f>IFERROR(VLOOKUP(238,'PEDIDO 46'!$C$2:$E$230,3,0),0)</f>
        <v>0</v>
      </c>
      <c r="E3656" s="1">
        <f>IFERROR(VLOOKUP(240,'PEDIDO 46'!$C$2:$E$230,3,0),0)</f>
        <v>0</v>
      </c>
      <c r="F3656" s="1">
        <f>IFERROR(VLOOKUP(239,'PEDIDO 46'!$C$2:$E$230,3,0),0)</f>
        <v>0</v>
      </c>
      <c r="G3656" s="18">
        <f t="shared" si="112"/>
        <v>0</v>
      </c>
    </row>
    <row r="3657" spans="1:7" ht="15.75" x14ac:dyDescent="0.25">
      <c r="A3657" s="15">
        <f>'PEDIDO 46'!$B$2</f>
        <v>0</v>
      </c>
      <c r="B3657" s="12" t="s">
        <v>409</v>
      </c>
      <c r="C3657" s="1">
        <f>IFERROR(VLOOKUP(25707,'PEDIDO 46'!$C$2:$E$230,3,0),0)</f>
        <v>0</v>
      </c>
      <c r="D3657" s="1">
        <f>IFERROR(VLOOKUP(25708,'PEDIDO 46'!$C$2:$E$230,3,0),0)</f>
        <v>0</v>
      </c>
      <c r="E3657" s="1">
        <f>IFERROR(VLOOKUP(25710,'PEDIDO 46'!$C$2:$E$230,3,0),0)</f>
        <v>0</v>
      </c>
      <c r="F3657" s="1">
        <f>IFERROR(VLOOKUP(25709,'PEDIDO 46'!$C$2:$E$230,3,0),0)</f>
        <v>0</v>
      </c>
      <c r="G3657" s="18">
        <f t="shared" si="112"/>
        <v>0</v>
      </c>
    </row>
    <row r="3658" spans="1:7" ht="15.75" x14ac:dyDescent="0.25">
      <c r="A3658" s="15">
        <f>'PEDIDO 46'!$B$2</f>
        <v>0</v>
      </c>
      <c r="B3658" s="12" t="s">
        <v>410</v>
      </c>
      <c r="C3658" s="1">
        <f>IFERROR(VLOOKUP(25711,'PEDIDO 46'!$C$2:$E$230,3,0),0)</f>
        <v>0</v>
      </c>
      <c r="D3658" s="1"/>
      <c r="E3658" s="1"/>
      <c r="F3658" s="1"/>
      <c r="G3658" s="18">
        <f t="shared" si="112"/>
        <v>0</v>
      </c>
    </row>
    <row r="3659" spans="1:7" ht="15.75" x14ac:dyDescent="0.25">
      <c r="A3659" s="15">
        <f>'PEDIDO 46'!$B$2</f>
        <v>0</v>
      </c>
      <c r="B3659" s="12" t="s">
        <v>411</v>
      </c>
      <c r="C3659" s="1">
        <f>IFERROR(VLOOKUP(35,'PEDIDO 46'!$C$2:$E$230,3,0),0)</f>
        <v>0</v>
      </c>
      <c r="D3659" s="1">
        <f>IFERROR(VLOOKUP(36,'PEDIDO 46'!$C$2:$E$230,3,0),0)</f>
        <v>0</v>
      </c>
      <c r="E3659" s="1">
        <f>IFERROR(VLOOKUP(37,'PEDIDO 46'!$C$2:$E$230,3,0),0)</f>
        <v>0</v>
      </c>
      <c r="F3659" s="1">
        <f>IFERROR(VLOOKUP(294,'PEDIDO 46'!$C$2:$E$230,3,0),0)</f>
        <v>0</v>
      </c>
      <c r="G3659" s="18">
        <f t="shared" si="112"/>
        <v>0</v>
      </c>
    </row>
    <row r="3660" spans="1:7" ht="15.75" x14ac:dyDescent="0.25">
      <c r="A3660" s="15">
        <f>'PEDIDO 46'!$B$2</f>
        <v>0</v>
      </c>
      <c r="B3660" s="12" t="s">
        <v>412</v>
      </c>
      <c r="C3660" s="1">
        <f>IFERROR(VLOOKUP(39,'PEDIDO 46'!$C$2:$E$230,3,0),0)</f>
        <v>0</v>
      </c>
      <c r="D3660" s="1">
        <f>IFERROR(VLOOKUP(40,'PEDIDO 46'!$C$2:$E$230,3,0),0)</f>
        <v>0</v>
      </c>
      <c r="E3660" s="1">
        <f>IFERROR(VLOOKUP(42,'PEDIDO 46'!$C$2:$E$230,3,0),0)</f>
        <v>0</v>
      </c>
      <c r="F3660" s="1">
        <f>IFERROR(VLOOKUP(295,'PEDIDO 46'!$C$2:$E$230,3,0),0)</f>
        <v>0</v>
      </c>
      <c r="G3660" s="18">
        <f t="shared" si="112"/>
        <v>0</v>
      </c>
    </row>
    <row r="3661" spans="1:7" ht="15.75" x14ac:dyDescent="0.25">
      <c r="A3661" s="15">
        <f>'PEDIDO 46'!$B$2</f>
        <v>0</v>
      </c>
      <c r="B3661" s="12" t="s">
        <v>413</v>
      </c>
      <c r="C3661" s="1">
        <f>IFERROR(VLOOKUP(44,'PEDIDO 46'!$C$2:$E$230,3,0),0)</f>
        <v>0</v>
      </c>
      <c r="D3661" s="1">
        <f>IFERROR(VLOOKUP(45,'PEDIDO 46'!$C$2:$E$230,3,0),0)</f>
        <v>0</v>
      </c>
      <c r="E3661" s="1">
        <f>IFERROR(VLOOKUP(46,'PEDIDO 46'!$C$2:$E$230,3,0),0)</f>
        <v>0</v>
      </c>
      <c r="F3661" s="1">
        <f>IFERROR(VLOOKUP(283,'PEDIDO 46'!$C$2:$E$230,3,0),0)</f>
        <v>0</v>
      </c>
      <c r="G3661" s="18">
        <f t="shared" si="112"/>
        <v>0</v>
      </c>
    </row>
    <row r="3662" spans="1:7" ht="15.75" x14ac:dyDescent="0.25">
      <c r="A3662" s="15">
        <f>'PEDIDO 46'!$B$2</f>
        <v>0</v>
      </c>
      <c r="B3662" s="12" t="s">
        <v>414</v>
      </c>
      <c r="C3662" s="1">
        <f>IFERROR(VLOOKUP(48,'PEDIDO 46'!$C$2:$E$230,3,0),0)</f>
        <v>0</v>
      </c>
      <c r="D3662" s="1">
        <f>IFERROR(VLOOKUP(49,'PEDIDO 46'!$C$2:$E$230,3,0),0)</f>
        <v>0</v>
      </c>
      <c r="E3662" s="1">
        <f>IFERROR(VLOOKUP(50,'PEDIDO 46'!$C$2:$E$230,3,0),0)</f>
        <v>0</v>
      </c>
      <c r="F3662" s="1">
        <f>IFERROR(VLOOKUP(298,'PEDIDO 46'!$C$2:$E$230,3,0),0)</f>
        <v>0</v>
      </c>
      <c r="G3662" s="18">
        <f t="shared" si="112"/>
        <v>0</v>
      </c>
    </row>
    <row r="3663" spans="1:7" ht="15.75" x14ac:dyDescent="0.25">
      <c r="A3663" s="15">
        <f>'PEDIDO 46'!$B$2</f>
        <v>0</v>
      </c>
      <c r="B3663" s="12" t="s">
        <v>415</v>
      </c>
      <c r="C3663" s="1">
        <f>IFERROR(VLOOKUP(52,'PEDIDO 46'!$C$2:$E$230,3,0),0)</f>
        <v>0</v>
      </c>
      <c r="D3663" s="1">
        <f>IFERROR(VLOOKUP(53,'PEDIDO 46'!$C$2:$E$230,3,0),0)</f>
        <v>0</v>
      </c>
      <c r="E3663" s="1">
        <f>IFERROR(VLOOKUP(54,'PEDIDO 46'!$C$2:$E$230,3,0),0)</f>
        <v>0</v>
      </c>
      <c r="F3663" s="1">
        <f>IFERROR(VLOOKUP(299,'PEDIDO 46'!$C$2:$E$230,3,0),0)</f>
        <v>0</v>
      </c>
      <c r="G3663" s="18">
        <f t="shared" si="112"/>
        <v>0</v>
      </c>
    </row>
    <row r="3664" spans="1:7" ht="15.75" x14ac:dyDescent="0.25">
      <c r="A3664" s="15">
        <f>'PEDIDO 46'!$B$2</f>
        <v>0</v>
      </c>
      <c r="B3664" s="12" t="s">
        <v>416</v>
      </c>
      <c r="C3664" s="1">
        <f>IFERROR(VLOOKUP(56,'PEDIDO 46'!$C$2:$E$230,3,0),0)</f>
        <v>0</v>
      </c>
      <c r="D3664" s="1">
        <f>IFERROR(VLOOKUP(61,'PEDIDO 46'!$C$2:$E$230,3,0),0)</f>
        <v>0</v>
      </c>
      <c r="E3664" s="1">
        <f>IFERROR(VLOOKUP(58,'PEDIDO 46'!$C$2:$E$230,3,0),0)</f>
        <v>0</v>
      </c>
      <c r="F3664" s="1">
        <f>IFERROR(VLOOKUP(300,'PEDIDO 46'!$C$2:$E$230,3,0),0)</f>
        <v>0</v>
      </c>
      <c r="G3664" s="18">
        <f t="shared" si="112"/>
        <v>0</v>
      </c>
    </row>
    <row r="3665" spans="1:7" ht="15.75" x14ac:dyDescent="0.25">
      <c r="A3665" s="15">
        <f>'PEDIDO 46'!$B$2</f>
        <v>0</v>
      </c>
      <c r="B3665" s="12" t="s">
        <v>417</v>
      </c>
      <c r="C3665" s="1">
        <f>IFERROR(VLOOKUP(60,'PEDIDO 46'!$C$2:$E$230,3,0),0)</f>
        <v>0</v>
      </c>
      <c r="D3665" s="1">
        <f>IFERROR(VLOOKUP(120,'PEDIDO 46'!$C$2:$E$230,3,0),0)</f>
        <v>0</v>
      </c>
      <c r="E3665" s="1">
        <f>IFERROR(VLOOKUP(62,'PEDIDO 46'!$C$2:$E$230,3,0),0)</f>
        <v>0</v>
      </c>
      <c r="F3665" s="1">
        <f>IFERROR(VLOOKUP(301,'PEDIDO 46'!$C$2:$E$230,3,0),0)</f>
        <v>0</v>
      </c>
      <c r="G3665" s="18">
        <f t="shared" si="112"/>
        <v>0</v>
      </c>
    </row>
    <row r="3666" spans="1:7" ht="15.75" x14ac:dyDescent="0.25">
      <c r="A3666" s="15">
        <f>'PEDIDO 46'!$B$2</f>
        <v>0</v>
      </c>
      <c r="B3666" s="12" t="s">
        <v>426</v>
      </c>
      <c r="C3666" s="1">
        <f>IFERROR(VLOOKUP(112,'PEDIDO 46'!$C$2:$E$230,3,0),0)</f>
        <v>0</v>
      </c>
      <c r="D3666" s="1">
        <f>IFERROR(VLOOKUP(113,'PEDIDO 46'!$C$2:$E$230,3,0),0)</f>
        <v>0</v>
      </c>
      <c r="E3666" s="1">
        <f>IFERROR(VLOOKUP(114,'PEDIDO 46'!$C$2:$E$230,3,0),0)</f>
        <v>0</v>
      </c>
      <c r="F3666" s="1">
        <f>IFERROR(VLOOKUP(296,'PEDIDO 46'!$C$2:$E$230,3,0),0)</f>
        <v>0</v>
      </c>
      <c r="G3666" s="18">
        <f t="shared" si="112"/>
        <v>0</v>
      </c>
    </row>
    <row r="3667" spans="1:7" ht="15.75" x14ac:dyDescent="0.25">
      <c r="A3667" s="15">
        <f>'PEDIDO 46'!$B$2</f>
        <v>0</v>
      </c>
      <c r="B3667" s="12" t="s">
        <v>427</v>
      </c>
      <c r="C3667" s="1">
        <f>IFERROR(VLOOKUP(116,'PEDIDO 46'!$C$2:$E$230,3,0),0)</f>
        <v>0</v>
      </c>
      <c r="D3667" s="1">
        <f>IFERROR(VLOOKUP(117,'PEDIDO 46'!$C$2:$E$230,3,0),0)</f>
        <v>0</v>
      </c>
      <c r="E3667" s="1">
        <f>IFERROR(VLOOKUP(118,'PEDIDO 46'!$C$2:$E$230,3,0),0)</f>
        <v>0</v>
      </c>
      <c r="F3667" s="1">
        <f>IFERROR(VLOOKUP(293,'PEDIDO 46'!$C$2:$E$230,3,0),0)</f>
        <v>0</v>
      </c>
      <c r="G3667" s="18">
        <f t="shared" si="112"/>
        <v>0</v>
      </c>
    </row>
    <row r="3668" spans="1:7" ht="15.75" x14ac:dyDescent="0.25">
      <c r="A3668" s="15">
        <f>'PEDIDO 46'!$B$2</f>
        <v>0</v>
      </c>
      <c r="B3668" s="12" t="s">
        <v>418</v>
      </c>
      <c r="C3668" s="1">
        <f>IFERROR(VLOOKUP(963,'PEDIDO 46'!$C$2:$E$230,3,0),0)</f>
        <v>0</v>
      </c>
      <c r="D3668" s="1">
        <f>IFERROR(VLOOKUP(965,'PEDIDO 46'!$C$2:$E$230,3,0),0)</f>
        <v>0</v>
      </c>
      <c r="E3668" s="1">
        <f>IFERROR(VLOOKUP(966,'PEDIDO 46'!$C$2:$E$230,3,0),0)</f>
        <v>0</v>
      </c>
      <c r="F3668" s="1">
        <f>IFERROR(VLOOKUP(964,'PEDIDO 46'!$C$2:$E$230,3,0),0)</f>
        <v>0</v>
      </c>
      <c r="G3668" s="18">
        <f t="shared" si="112"/>
        <v>0</v>
      </c>
    </row>
    <row r="3669" spans="1:7" ht="15.75" x14ac:dyDescent="0.25">
      <c r="A3669" s="15">
        <f>'PEDIDO 46'!$B$2</f>
        <v>0</v>
      </c>
      <c r="B3669" s="12" t="s">
        <v>419</v>
      </c>
      <c r="C3669" s="1">
        <f>IFERROR(VLOOKUP(2042,'PEDIDO 46'!$C$2:$E$230,3,0),0)</f>
        <v>0</v>
      </c>
      <c r="D3669" s="1">
        <f>IFERROR(VLOOKUP(2041,'PEDIDO 46'!$C$2:$E$230,3,0),0)</f>
        <v>0</v>
      </c>
      <c r="E3669" s="1">
        <f>IFERROR(VLOOKUP(2043,'PEDIDO 46'!$C$2:$E$230,3,0),0)</f>
        <v>0</v>
      </c>
      <c r="F3669" s="1">
        <f>IFERROR(VLOOKUP(2040,'PEDIDO 46'!$C$2:$E$230,3,0),0)</f>
        <v>0</v>
      </c>
      <c r="G3669" s="18">
        <f t="shared" si="112"/>
        <v>0</v>
      </c>
    </row>
    <row r="3670" spans="1:7" ht="15.75" x14ac:dyDescent="0.25">
      <c r="A3670" s="15">
        <f>'PEDIDO 46'!$B$2</f>
        <v>0</v>
      </c>
      <c r="B3670" s="12" t="s">
        <v>420</v>
      </c>
      <c r="C3670" s="1">
        <f>IFERROR(VLOOKUP(2045,'PEDIDO 46'!$C$2:$E$230,3,0),0)</f>
        <v>0</v>
      </c>
      <c r="D3670" s="1">
        <f>IFERROR(VLOOKUP(2046,'PEDIDO 46'!$C$2:$E$230,3,0),0)</f>
        <v>0</v>
      </c>
      <c r="E3670" s="1">
        <f>IFERROR(VLOOKUP(2047,'PEDIDO 46'!$C$2:$E$230,3,0),0)</f>
        <v>0</v>
      </c>
      <c r="F3670" s="1">
        <f>IFERROR(VLOOKUP(2048,'PEDIDO 46'!$C$2:$E$230,3,0),0)</f>
        <v>0</v>
      </c>
      <c r="G3670" s="18">
        <f t="shared" si="112"/>
        <v>0</v>
      </c>
    </row>
    <row r="3671" spans="1:7" ht="15.75" x14ac:dyDescent="0.25">
      <c r="A3671" s="15">
        <f>'PEDIDO 46'!$B$2</f>
        <v>0</v>
      </c>
      <c r="B3671" s="12" t="s">
        <v>421</v>
      </c>
      <c r="C3671" s="1">
        <f>IFERROR(VLOOKUP(2050,'PEDIDO 46'!$C$2:$E$230,3,0),0)</f>
        <v>0</v>
      </c>
      <c r="D3671" s="1">
        <f>IFERROR(VLOOKUP(2051,'PEDIDO 46'!$C$2:$E$230,3,0),0)</f>
        <v>0</v>
      </c>
      <c r="E3671" s="1">
        <f>IFERROR(VLOOKUP(2052,'PEDIDO 46'!$C$2:$E$230,3,0),0)</f>
        <v>0</v>
      </c>
      <c r="F3671" s="1">
        <f>IFERROR(VLOOKUP(2053,'PEDIDO 46'!$C$2:$E$230,3,0),0)</f>
        <v>0</v>
      </c>
      <c r="G3671" s="18">
        <f t="shared" si="112"/>
        <v>0</v>
      </c>
    </row>
    <row r="3672" spans="1:7" ht="15.75" x14ac:dyDescent="0.25">
      <c r="A3672" s="15">
        <f>'PEDIDO 46'!$B$2</f>
        <v>0</v>
      </c>
      <c r="B3672" s="12" t="s">
        <v>422</v>
      </c>
      <c r="C3672" s="1">
        <f>IFERROR(VLOOKUP(216,'PEDIDO 46'!$C$2:$E$230,3,0),0)</f>
        <v>0</v>
      </c>
      <c r="D3672" s="1">
        <f>IFERROR(VLOOKUP(217,'PEDIDO 46'!$C$2:$E$230,3,0),0)</f>
        <v>0</v>
      </c>
      <c r="E3672" s="1">
        <f>IFERROR(VLOOKUP(218,'PEDIDO 46'!$C$2:$E$230,3,0),0)</f>
        <v>0</v>
      </c>
      <c r="F3672" s="1">
        <f>IFERROR(VLOOKUP(305,'PEDIDO 46'!$C$2:$E$230,3,0),0)</f>
        <v>0</v>
      </c>
      <c r="G3672" s="18">
        <f t="shared" si="112"/>
        <v>0</v>
      </c>
    </row>
    <row r="3673" spans="1:7" ht="15.75" x14ac:dyDescent="0.25">
      <c r="A3673" s="15">
        <f>'PEDIDO 46'!$B$2</f>
        <v>0</v>
      </c>
      <c r="B3673" s="12" t="s">
        <v>423</v>
      </c>
      <c r="C3673" s="1">
        <f>IFERROR(VLOOKUP(100,'PEDIDO 46'!$C$2:$E$230,3,0),0)</f>
        <v>0</v>
      </c>
      <c r="D3673" s="1">
        <f>IFERROR(VLOOKUP(101,'PEDIDO 46'!$C$2:$E$230,3,0),0)</f>
        <v>0</v>
      </c>
      <c r="E3673" s="1">
        <f>IFERROR(VLOOKUP(102,'PEDIDO 46'!$C$2:$E$230,3,0),0)</f>
        <v>0</v>
      </c>
      <c r="F3673" s="1">
        <f>IFERROR(VLOOKUP(306,'PEDIDO 46'!$C$2:$E$230,3,0),0)</f>
        <v>0</v>
      </c>
      <c r="G3673" s="18">
        <f t="shared" si="112"/>
        <v>0</v>
      </c>
    </row>
    <row r="3674" spans="1:7" ht="15.75" x14ac:dyDescent="0.25">
      <c r="A3674" s="15">
        <f>'PEDIDO 46'!$B$2</f>
        <v>0</v>
      </c>
      <c r="B3674" s="12" t="s">
        <v>424</v>
      </c>
      <c r="C3674" s="1">
        <f>IFERROR(VLOOKUP(104,'PEDIDO 46'!$C$2:$E$230,3,0),0)</f>
        <v>0</v>
      </c>
      <c r="D3674" s="1">
        <f>IFERROR(VLOOKUP(105,'PEDIDO 46'!$C$2:$E$230,3,0),0)</f>
        <v>0</v>
      </c>
      <c r="E3674" s="1">
        <f>IFERROR(VLOOKUP(106,'PEDIDO 46'!$C$2:$E$230,3,0),0)</f>
        <v>0</v>
      </c>
      <c r="F3674" s="1">
        <f>IFERROR(VLOOKUP(307,'PEDIDO 46'!$C$2:$E$230,3,0),0)</f>
        <v>0</v>
      </c>
      <c r="G3674" s="18">
        <f t="shared" si="112"/>
        <v>0</v>
      </c>
    </row>
    <row r="3675" spans="1:7" ht="15.75" x14ac:dyDescent="0.25">
      <c r="A3675" s="15">
        <f>'PEDIDO 46'!$B$2</f>
        <v>0</v>
      </c>
      <c r="B3675" s="12" t="s">
        <v>425</v>
      </c>
      <c r="C3675" s="1">
        <f>IFERROR(VLOOKUP(400,'PEDIDO 46'!$C$2:$E$230,3,0),0)</f>
        <v>0</v>
      </c>
      <c r="D3675" s="1">
        <f>IFERROR(VLOOKUP(401,'PEDIDO 46'!$C$2:$E$230,3,0),0)</f>
        <v>0</v>
      </c>
      <c r="E3675" s="1">
        <f>IFERROR(VLOOKUP(402,'PEDIDO 46'!$C$2:$E$230,3,0),0)</f>
        <v>0</v>
      </c>
      <c r="F3675" s="1">
        <f>IFERROR(VLOOKUP(403,'PEDIDO 46'!$C$2:$E$230,3,0),0)</f>
        <v>0</v>
      </c>
      <c r="G3675" s="18">
        <f t="shared" si="112"/>
        <v>0</v>
      </c>
    </row>
    <row r="3676" spans="1:7" ht="15.75" x14ac:dyDescent="0.25">
      <c r="A3676" s="15">
        <f>'PEDIDO 46'!$B$2</f>
        <v>0</v>
      </c>
      <c r="B3676" s="12" t="s">
        <v>428</v>
      </c>
      <c r="C3676" s="1">
        <f>IFERROR(VLOOKUP(22,'PEDIDO 46'!$C$2:$E$230,3,0),0)</f>
        <v>0</v>
      </c>
      <c r="D3676" s="1"/>
      <c r="E3676" s="1"/>
      <c r="F3676" s="1"/>
      <c r="G3676" s="18">
        <f t="shared" si="112"/>
        <v>0</v>
      </c>
    </row>
    <row r="3677" spans="1:7" ht="15.75" x14ac:dyDescent="0.25">
      <c r="A3677" s="15">
        <f>'PEDIDO 46'!$B$2</f>
        <v>0</v>
      </c>
      <c r="B3677" s="12" t="s">
        <v>429</v>
      </c>
      <c r="C3677" s="1">
        <f>IFERROR(VLOOKUP(21,'PEDIDO 46'!$C$2:$E$230,3,0),0)</f>
        <v>0</v>
      </c>
      <c r="D3677" s="1"/>
      <c r="E3677" s="1"/>
      <c r="F3677" s="1"/>
      <c r="G3677" s="18">
        <f t="shared" si="112"/>
        <v>0</v>
      </c>
    </row>
    <row r="3678" spans="1:7" ht="15.75" x14ac:dyDescent="0.25">
      <c r="A3678" s="15">
        <f>'PEDIDO 46'!$B$2</f>
        <v>0</v>
      </c>
      <c r="B3678" s="12" t="s">
        <v>430</v>
      </c>
      <c r="C3678" s="1">
        <f>IFERROR(VLOOKUP(1125,'PEDIDO 46'!$C$2:$E$230,3,0),0)</f>
        <v>0</v>
      </c>
      <c r="D3678" s="1">
        <f>IFERROR(VLOOKUP(1126,'PEDIDO 46'!$C$2:$E$230,3,0),0)</f>
        <v>0</v>
      </c>
      <c r="E3678" s="1">
        <f>IFERROR(VLOOKUP(1127,'PEDIDO 46'!$C$2:$E$230,3,0),0)</f>
        <v>0</v>
      </c>
      <c r="F3678" s="1">
        <f>IFERROR(VLOOKUP(1128,'PEDIDO 46'!$C$2:$E$230,3,0),0)</f>
        <v>0</v>
      </c>
      <c r="G3678" s="18">
        <f t="shared" si="112"/>
        <v>0</v>
      </c>
    </row>
    <row r="3679" spans="1:7" ht="15.75" x14ac:dyDescent="0.25">
      <c r="A3679" s="15">
        <f>'PEDIDO 46'!$B$2</f>
        <v>0</v>
      </c>
      <c r="B3679" s="12" t="s">
        <v>431</v>
      </c>
      <c r="C3679" s="1">
        <f>IFERROR(VLOOKUP(1133,'PEDIDO 46'!$C$2:$E$230,3,0),0)</f>
        <v>0</v>
      </c>
      <c r="D3679" s="1">
        <f>IFERROR(VLOOKUP(1134,'PEDIDO 46'!$C$2:$E$230,3,0),0)</f>
        <v>0</v>
      </c>
      <c r="E3679" s="1">
        <f>IFERROR(VLOOKUP(1135,'PEDIDO 46'!$C$2:$E$230,3,0),0)</f>
        <v>0</v>
      </c>
      <c r="F3679" s="1">
        <f>IFERROR(VLOOKUP(1136,'PEDIDO 46'!$C$2:$E$230,3,0),0)</f>
        <v>0</v>
      </c>
      <c r="G3679" s="18">
        <f t="shared" si="112"/>
        <v>0</v>
      </c>
    </row>
    <row r="3680" spans="1:7" ht="15.75" x14ac:dyDescent="0.25">
      <c r="A3680" s="15">
        <f>'PEDIDO 46'!$B$2</f>
        <v>0</v>
      </c>
      <c r="B3680" s="12" t="s">
        <v>432</v>
      </c>
      <c r="C3680" s="1">
        <f>IFERROR(VLOOKUP(1105,'PEDIDO 46'!$C$2:$E$230,3,0),0)</f>
        <v>0</v>
      </c>
      <c r="D3680" s="1">
        <f>IFERROR(VLOOKUP(1106,'PEDIDO 46'!$C$2:$E$230,3,0),0)</f>
        <v>0</v>
      </c>
      <c r="E3680" s="1">
        <f>IFERROR(VLOOKUP(1107,'PEDIDO 46'!$C$2:$E$230,3,0),0)</f>
        <v>0</v>
      </c>
      <c r="F3680" s="1">
        <f>IFERROR(VLOOKUP(1108,'PEDIDO 46'!$C$2:$E$230,3,0),0)</f>
        <v>0</v>
      </c>
      <c r="G3680" s="18">
        <f t="shared" si="112"/>
        <v>0</v>
      </c>
    </row>
    <row r="3681" spans="1:7" ht="15.75" x14ac:dyDescent="0.25">
      <c r="A3681" s="15">
        <f>'PEDIDO 46'!$B$2</f>
        <v>0</v>
      </c>
      <c r="B3681" s="12" t="s">
        <v>433</v>
      </c>
      <c r="C3681" s="1">
        <f>IFERROR(VLOOKUP(1109,'PEDIDO 46'!$C$2:$E$230,3,0),0)</f>
        <v>0</v>
      </c>
      <c r="D3681" s="1">
        <f>IFERROR(VLOOKUP(1110,'PEDIDO 46'!$C$2:$E$230,3,0),0)</f>
        <v>0</v>
      </c>
      <c r="E3681" s="1">
        <f>IFERROR(VLOOKUP(1111,'PEDIDO 46'!$C$2:$E$230,3,0),0)</f>
        <v>0</v>
      </c>
      <c r="F3681" s="1">
        <f>IFERROR(VLOOKUP(1112,'PEDIDO 46'!$C$2:$E$230,3,0),0)</f>
        <v>0</v>
      </c>
      <c r="G3681" s="18">
        <f t="shared" si="112"/>
        <v>0</v>
      </c>
    </row>
    <row r="3682" spans="1:7" ht="15.75" x14ac:dyDescent="0.25">
      <c r="A3682" s="15">
        <f>'PEDIDO 46'!$B$2</f>
        <v>0</v>
      </c>
      <c r="B3682" s="12" t="s">
        <v>434</v>
      </c>
      <c r="C3682" s="1">
        <f>IFERROR(VLOOKUP(1113,'PEDIDO 46'!$C$2:$E$230,3,0),0)</f>
        <v>0</v>
      </c>
      <c r="D3682" s="1">
        <f>IFERROR(VLOOKUP(1114,'PEDIDO 46'!$C$2:$E$230,3,0),0)</f>
        <v>0</v>
      </c>
      <c r="E3682" s="1">
        <f>IFERROR(VLOOKUP(1115,'PEDIDO 46'!$C$2:$E$230,3,0),0)</f>
        <v>0</v>
      </c>
      <c r="F3682" s="1">
        <f>IFERROR(VLOOKUP(1116,'PEDIDO 46'!$C$2:$E$230,3,0),0)</f>
        <v>0</v>
      </c>
      <c r="G3682" s="18">
        <f t="shared" si="112"/>
        <v>0</v>
      </c>
    </row>
    <row r="3683" spans="1:7" ht="15.75" x14ac:dyDescent="0.25">
      <c r="A3683" s="15">
        <f>'PEDIDO 46'!$B$2</f>
        <v>0</v>
      </c>
      <c r="B3683" s="12" t="s">
        <v>435</v>
      </c>
      <c r="C3683" s="1">
        <f>IFERROR(VLOOKUP(1117,'PEDIDO 46'!$C$2:$E$230,3,0),0)</f>
        <v>0</v>
      </c>
      <c r="D3683" s="1">
        <f>IFERROR(VLOOKUP(1118,'PEDIDO 46'!$C$2:$E$230,3,0),0)</f>
        <v>0</v>
      </c>
      <c r="E3683" s="1">
        <f>IFERROR(VLOOKUP(1119,'PEDIDO 46'!$C$2:$E$230,3,0),0)</f>
        <v>0</v>
      </c>
      <c r="F3683" s="1">
        <f>IFERROR(VLOOKUP(1120,'PEDIDO 46'!$C$2:$E$230,3,0),0)</f>
        <v>0</v>
      </c>
      <c r="G3683" s="18">
        <f t="shared" si="112"/>
        <v>0</v>
      </c>
    </row>
    <row r="3684" spans="1:7" ht="15.75" x14ac:dyDescent="0.25">
      <c r="A3684" s="15">
        <f>'PEDIDO 46'!$B$2</f>
        <v>0</v>
      </c>
      <c r="B3684" s="12" t="s">
        <v>436</v>
      </c>
      <c r="C3684" s="1">
        <f>IFERROR(VLOOKUP(1121,'PEDIDO 46'!$C$2:$E$230,3,0),0)</f>
        <v>0</v>
      </c>
      <c r="D3684" s="1">
        <f>IFERROR(VLOOKUP(1122,'PEDIDO 46'!$C$2:$E$230,3,0),0)</f>
        <v>0</v>
      </c>
      <c r="E3684" s="1">
        <f>IFERROR(VLOOKUP(1123,'PEDIDO 46'!$C$2:$E$230,3,0),0)</f>
        <v>0</v>
      </c>
      <c r="F3684" s="1">
        <f>IFERROR(VLOOKUP(1124,'PEDIDO 46'!$C$2:$E$230,3,0),0)</f>
        <v>0</v>
      </c>
      <c r="G3684" s="18">
        <f t="shared" si="112"/>
        <v>0</v>
      </c>
    </row>
    <row r="3685" spans="1:7" ht="15.75" x14ac:dyDescent="0.25">
      <c r="A3685" s="15">
        <f>'PEDIDO 46'!$B$2</f>
        <v>0</v>
      </c>
      <c r="B3685" s="12" t="s">
        <v>437</v>
      </c>
      <c r="C3685" s="1">
        <f>IFERROR(VLOOKUP(1129,'PEDIDO 46'!$C$2:$E$230,3,0),0)</f>
        <v>0</v>
      </c>
      <c r="D3685" s="1">
        <f>IFERROR(VLOOKUP(1130,'PEDIDO 46'!$C$2:$E$230,3,0),0)</f>
        <v>0</v>
      </c>
      <c r="E3685" s="1">
        <f>IFERROR(VLOOKUP(1131,'PEDIDO 46'!$C$2:$E$230,3,0),0)</f>
        <v>0</v>
      </c>
      <c r="F3685" s="1">
        <f>IFERROR(VLOOKUP(1132,'PEDIDO 46'!$C$2:$E$230,3,0),0)</f>
        <v>0</v>
      </c>
      <c r="G3685" s="18">
        <f t="shared" si="112"/>
        <v>0</v>
      </c>
    </row>
    <row r="3686" spans="1:7" ht="15.75" x14ac:dyDescent="0.25">
      <c r="A3686" s="15">
        <f>'PEDIDO 46'!$B$2</f>
        <v>0</v>
      </c>
      <c r="B3686" s="12" t="s">
        <v>438</v>
      </c>
      <c r="C3686" s="1">
        <f>IFERROR(VLOOKUP(1137,'PEDIDO 46'!$C$2:$E$230,3,0),0)</f>
        <v>0</v>
      </c>
      <c r="D3686" s="1">
        <f>IFERROR(VLOOKUP(1138,'PEDIDO 46'!$C$2:$E$230,3,0),0)</f>
        <v>0</v>
      </c>
      <c r="E3686" s="1">
        <f>IFERROR(VLOOKUP(1139,'PEDIDO 46'!$C$2:$E$230,3,0),0)</f>
        <v>0</v>
      </c>
      <c r="F3686" s="1">
        <f>IFERROR(VLOOKUP(1140,'PEDIDO 46'!$C$2:$E$230,3,0),0)</f>
        <v>0</v>
      </c>
      <c r="G3686" s="18">
        <f t="shared" si="112"/>
        <v>0</v>
      </c>
    </row>
    <row r="3687" spans="1:7" ht="15.75" x14ac:dyDescent="0.25">
      <c r="A3687" s="15">
        <f>'PEDIDO 46'!$B$2</f>
        <v>0</v>
      </c>
      <c r="B3687" s="12" t="s">
        <v>439</v>
      </c>
      <c r="C3687" s="1">
        <f>IFERROR(VLOOKUP(1141,'PEDIDO 46'!$C$2:$E$230,3,0),0)</f>
        <v>0</v>
      </c>
      <c r="D3687" s="1">
        <f>IFERROR(VLOOKUP(1142,'PEDIDO 46'!$C$2:$E$230,3,0),0)</f>
        <v>0</v>
      </c>
      <c r="E3687" s="1">
        <f>IFERROR(VLOOKUP(1143,'PEDIDO 46'!$C$2:$E$230,3,0),0)</f>
        <v>0</v>
      </c>
      <c r="F3687" s="1">
        <f>IFERROR(VLOOKUP(1144,'PEDIDO 46'!$C$2:$E$230,3,0),0)</f>
        <v>0</v>
      </c>
      <c r="G3687" s="18">
        <f t="shared" si="112"/>
        <v>0</v>
      </c>
    </row>
    <row r="3688" spans="1:7" ht="15.75" x14ac:dyDescent="0.25">
      <c r="A3688" s="15">
        <f>'PEDIDO 46'!$B$2</f>
        <v>0</v>
      </c>
      <c r="B3688" s="12" t="s">
        <v>440</v>
      </c>
      <c r="C3688" s="1">
        <f>IFERROR(VLOOKUP(1145,'PEDIDO 46'!$C$2:$E$230,3,0),0)</f>
        <v>0</v>
      </c>
      <c r="D3688" s="1">
        <f>IFERROR(VLOOKUP(1146,'PEDIDO 46'!$C$2:$E$230,3,0),0)</f>
        <v>0</v>
      </c>
      <c r="E3688" s="1">
        <f>IFERROR(VLOOKUP(1147,'PEDIDO 46'!$C$2:$E$230,3,0),0)</f>
        <v>0</v>
      </c>
      <c r="F3688" s="1">
        <f>IFERROR(VLOOKUP(1148,'PEDIDO 46'!$C$2:$E$230,3,0),0)</f>
        <v>0</v>
      </c>
      <c r="G3688" s="18">
        <f t="shared" si="112"/>
        <v>0</v>
      </c>
    </row>
    <row r="3689" spans="1:7" ht="15.75" x14ac:dyDescent="0.25">
      <c r="A3689" s="15">
        <f>'PEDIDO 46'!$B$2</f>
        <v>0</v>
      </c>
      <c r="B3689" s="12" t="s">
        <v>441</v>
      </c>
      <c r="C3689" s="1">
        <f>IFERROR(VLOOKUP(1149,'PEDIDO 46'!$C$2:$E$230,3,0),0)</f>
        <v>0</v>
      </c>
      <c r="D3689" s="1">
        <f>IFERROR(VLOOKUP(1150,'PEDIDO 46'!$C$2:$E$230,3,0),0)</f>
        <v>0</v>
      </c>
      <c r="E3689" s="1">
        <f>IFERROR(VLOOKUP(1151,'PEDIDO 46'!$C$2:$E$230,3,0),0)</f>
        <v>0</v>
      </c>
      <c r="F3689" s="1">
        <f>IFERROR(VLOOKUP(1152,'PEDIDO 46'!$C$2:$E$230,3,0),0)</f>
        <v>0</v>
      </c>
      <c r="G3689" s="18">
        <f t="shared" si="112"/>
        <v>0</v>
      </c>
    </row>
    <row r="3690" spans="1:7" ht="15.75" x14ac:dyDescent="0.25">
      <c r="A3690" s="15">
        <f>'PEDIDO 46'!$B$2</f>
        <v>0</v>
      </c>
      <c r="B3690" s="12" t="s">
        <v>442</v>
      </c>
      <c r="C3690" s="1">
        <f>IFERROR(VLOOKUP(1153,'PEDIDO 46'!$C$2:$E$230,3,0),0)</f>
        <v>0</v>
      </c>
      <c r="D3690" s="1">
        <f>IFERROR(VLOOKUP(1154,'PEDIDO 46'!$C$2:$E$230,3,0),0)</f>
        <v>0</v>
      </c>
      <c r="E3690" s="1">
        <f>IFERROR(VLOOKUP(1155,'PEDIDO 46'!$C$2:$E$230,3,0),0)</f>
        <v>0</v>
      </c>
      <c r="F3690" s="1">
        <f>IFERROR(VLOOKUP(1156,'PEDIDO 46'!$C$2:$E$230,3,0),0)</f>
        <v>0</v>
      </c>
      <c r="G3690" s="18">
        <f t="shared" si="112"/>
        <v>0</v>
      </c>
    </row>
    <row r="3691" spans="1:7" ht="15.75" x14ac:dyDescent="0.25">
      <c r="A3691" s="15">
        <f>'PEDIDO 46'!$B$2</f>
        <v>0</v>
      </c>
      <c r="B3691" s="12" t="s">
        <v>443</v>
      </c>
      <c r="C3691" s="1">
        <f>IFERROR(VLOOKUP(1157,'PEDIDO 46'!$C$2:$E$230,3,0),0)</f>
        <v>0</v>
      </c>
      <c r="D3691" s="1">
        <f>IFERROR(VLOOKUP(1158,'PEDIDO 46'!$C$2:$E$230,3,0),0)</f>
        <v>0</v>
      </c>
      <c r="E3691" s="1">
        <f>IFERROR(VLOOKUP(1159,'PEDIDO 46'!$C$2:$E$230,3,0),0)</f>
        <v>0</v>
      </c>
      <c r="F3691" s="1">
        <f>IFERROR(VLOOKUP(1160,'PEDIDO 46'!$C$2:$E$230,3,0),0)</f>
        <v>0</v>
      </c>
      <c r="G3691" s="18">
        <f t="shared" si="112"/>
        <v>0</v>
      </c>
    </row>
    <row r="3692" spans="1:7" ht="15.75" x14ac:dyDescent="0.25">
      <c r="A3692" s="15">
        <f>'PEDIDO 46'!$B$2</f>
        <v>0</v>
      </c>
      <c r="B3692" s="12" t="s">
        <v>444</v>
      </c>
      <c r="C3692" s="1">
        <f>IFERROR(VLOOKUP(1161,'PEDIDO 46'!$C$2:$E$230,3,0),0)</f>
        <v>0</v>
      </c>
      <c r="D3692" s="1">
        <f>IFERROR(VLOOKUP(1162,'PEDIDO 46'!$C$2:$E$230,3,0),0)</f>
        <v>0</v>
      </c>
      <c r="E3692" s="1">
        <f>IFERROR(VLOOKUP(1163,'PEDIDO 46'!$C$2:$E$230,3,0),0)</f>
        <v>0</v>
      </c>
      <c r="F3692" s="1">
        <f>IFERROR(VLOOKUP(1164,'PEDIDO 46'!$C$2:$E$230,3,0),0)</f>
        <v>0</v>
      </c>
      <c r="G3692" s="18">
        <f t="shared" si="112"/>
        <v>0</v>
      </c>
    </row>
    <row r="3693" spans="1:7" ht="15.75" x14ac:dyDescent="0.25">
      <c r="A3693" s="15">
        <f>'PEDIDO 46'!$B$2</f>
        <v>0</v>
      </c>
      <c r="B3693" s="12" t="s">
        <v>445</v>
      </c>
      <c r="C3693" s="1">
        <f>IFERROR(VLOOKUP(1165,'PEDIDO 46'!$C$2:$E$230,3,0),0)</f>
        <v>0</v>
      </c>
      <c r="D3693" s="1">
        <f>IFERROR(VLOOKUP(1166,'PEDIDO 46'!$C$2:$E$230,3,0),0)</f>
        <v>0</v>
      </c>
      <c r="E3693" s="1">
        <f>IFERROR(VLOOKUP(1167,'PEDIDO 46'!$C$2:$E$230,3,0),0)</f>
        <v>0</v>
      </c>
      <c r="F3693" s="1">
        <f>IFERROR(VLOOKUP(1168,'PEDIDO 46'!$C$2:$E$230,3,0),0)</f>
        <v>0</v>
      </c>
      <c r="G3693" s="18">
        <f t="shared" si="112"/>
        <v>0</v>
      </c>
    </row>
    <row r="3694" spans="1:7" ht="15.75" x14ac:dyDescent="0.25">
      <c r="A3694" s="15">
        <f>'PEDIDO 46'!$B$2</f>
        <v>0</v>
      </c>
      <c r="B3694" s="12" t="s">
        <v>446</v>
      </c>
      <c r="C3694" s="1">
        <f>IFERROR(VLOOKUP(1169,'PEDIDO 46'!$C$2:$E$230,3,0),0)</f>
        <v>0</v>
      </c>
      <c r="D3694" s="1">
        <f>IFERROR(VLOOKUP(1170,'PEDIDO 46'!$C$2:$E$230,3,0),0)</f>
        <v>0</v>
      </c>
      <c r="E3694" s="1">
        <f>IFERROR(VLOOKUP(1171,'PEDIDO 46'!$C$2:$E$230,3,0),0)</f>
        <v>0</v>
      </c>
      <c r="F3694" s="1">
        <f>IFERROR(VLOOKUP(1172,'PEDIDO 46'!$C$2:$E$230,3,0),0)</f>
        <v>0</v>
      </c>
      <c r="G3694" s="18">
        <f t="shared" si="112"/>
        <v>0</v>
      </c>
    </row>
    <row r="3695" spans="1:7" ht="15.75" x14ac:dyDescent="0.25">
      <c r="A3695" s="15">
        <f>'PEDIDO 46'!$B$2</f>
        <v>0</v>
      </c>
      <c r="B3695" s="12" t="s">
        <v>447</v>
      </c>
      <c r="C3695" s="1">
        <f>IFERROR(VLOOKUP(1173,'PEDIDO 46'!$C$2:$E$230,3,0),0)</f>
        <v>0</v>
      </c>
      <c r="D3695" s="1">
        <f>IFERROR(VLOOKUP(1174,'PEDIDO 46'!$C$2:$E$230,3,0),0)</f>
        <v>0</v>
      </c>
      <c r="E3695" s="1">
        <f>IFERROR(VLOOKUP(1175,'PEDIDO 46'!$C$2:$E$230,3,0),0)</f>
        <v>0</v>
      </c>
      <c r="F3695" s="1">
        <f>IFERROR(VLOOKUP(1176,'PEDIDO 46'!$C$2:$E$230,3,0),0)</f>
        <v>0</v>
      </c>
      <c r="G3695" s="18">
        <f t="shared" si="112"/>
        <v>0</v>
      </c>
    </row>
    <row r="3696" spans="1:7" ht="15.75" x14ac:dyDescent="0.25">
      <c r="A3696" s="15">
        <f>'PEDIDO 46'!$B$2</f>
        <v>0</v>
      </c>
      <c r="B3696" s="12" t="s">
        <v>448</v>
      </c>
      <c r="C3696" s="1">
        <f>IFERROR(VLOOKUP(1249,'PEDIDO 46'!$C$2:$E$230,3,0),0)</f>
        <v>0</v>
      </c>
      <c r="D3696" s="1">
        <f>IFERROR(VLOOKUP(1250,'PEDIDO 46'!$C$2:$E$230,3,0),0)</f>
        <v>0</v>
      </c>
      <c r="E3696" s="1">
        <f>IFERROR(VLOOKUP(1251,'PEDIDO 46'!$C$2:$E$230,3,0),0)</f>
        <v>0</v>
      </c>
      <c r="F3696" s="1">
        <f>IFERROR(VLOOKUP(1252,'PEDIDO 46'!$C$2:$E$230,3,0),0)</f>
        <v>0</v>
      </c>
      <c r="G3696" s="18">
        <f t="shared" si="112"/>
        <v>0</v>
      </c>
    </row>
    <row r="3697" spans="1:7" ht="15.75" x14ac:dyDescent="0.25">
      <c r="A3697" s="15">
        <f>'PEDIDO 46'!$B$2</f>
        <v>0</v>
      </c>
      <c r="B3697" s="12" t="s">
        <v>449</v>
      </c>
      <c r="C3697" s="1">
        <f>IFERROR(VLOOKUP(1177,'PEDIDO 46'!$C$2:$E$230,3,0),0)</f>
        <v>0</v>
      </c>
      <c r="D3697" s="1">
        <f>IFERROR(VLOOKUP(1178,'PEDIDO 46'!$C$2:$E$230,3,0),0)</f>
        <v>0</v>
      </c>
      <c r="E3697" s="1">
        <f>IFERROR(VLOOKUP(1179,'PEDIDO 46'!$C$2:$E$230,3,0),0)</f>
        <v>0</v>
      </c>
      <c r="F3697" s="1">
        <f>IFERROR(VLOOKUP(1180,'PEDIDO 46'!$C$2:$E$230,3,0),0)</f>
        <v>0</v>
      </c>
      <c r="G3697" s="18">
        <f t="shared" si="112"/>
        <v>0</v>
      </c>
    </row>
    <row r="3698" spans="1:7" ht="15.75" x14ac:dyDescent="0.25">
      <c r="A3698" s="15">
        <f>'PEDIDO 46'!$B$2</f>
        <v>0</v>
      </c>
      <c r="B3698" s="12" t="s">
        <v>450</v>
      </c>
      <c r="C3698" s="1">
        <f>IFERROR(VLOOKUP(1181,'PEDIDO 46'!$C$2:$E$230,3,0),0)</f>
        <v>0</v>
      </c>
      <c r="D3698" s="1">
        <f>IFERROR(VLOOKUP(1182,'PEDIDO 46'!$C$2:$E$230,3,0),0)</f>
        <v>0</v>
      </c>
      <c r="E3698" s="1">
        <f>IFERROR(VLOOKUP(1183,'PEDIDO 46'!$C$2:$E$230,3,0),0)</f>
        <v>0</v>
      </c>
      <c r="F3698" s="1">
        <f>IFERROR(VLOOKUP(1184,'PEDIDO 46'!$C$2:$E$230,3,0),0)</f>
        <v>0</v>
      </c>
      <c r="G3698" s="18">
        <f t="shared" si="112"/>
        <v>0</v>
      </c>
    </row>
    <row r="3699" spans="1:7" ht="15.75" x14ac:dyDescent="0.25">
      <c r="A3699" s="15">
        <f>'PEDIDO 46'!$B$2</f>
        <v>0</v>
      </c>
      <c r="B3699" s="12" t="s">
        <v>451</v>
      </c>
      <c r="C3699" s="1">
        <f>IFERROR(VLOOKUP(1185,'PEDIDO 46'!$C$2:$E$230,3,0),0)</f>
        <v>0</v>
      </c>
      <c r="D3699" s="1">
        <f>IFERROR(VLOOKUP(1186,'PEDIDO 46'!$C$2:$E$230,3,0),0)</f>
        <v>0</v>
      </c>
      <c r="E3699" s="1">
        <f>IFERROR(VLOOKUP(1187,'PEDIDO 46'!$C$2:$E$230,3,0),0)</f>
        <v>0</v>
      </c>
      <c r="F3699" s="1">
        <f>IFERROR(VLOOKUP(1188,'PEDIDO 46'!$C$2:$E$230,3,0),0)</f>
        <v>0</v>
      </c>
      <c r="G3699" s="18">
        <f t="shared" si="112"/>
        <v>0</v>
      </c>
    </row>
    <row r="3700" spans="1:7" ht="15.75" x14ac:dyDescent="0.25">
      <c r="A3700" s="15">
        <f>'PEDIDO 46'!$B$2</f>
        <v>0</v>
      </c>
      <c r="B3700" s="12" t="s">
        <v>452</v>
      </c>
      <c r="C3700" s="1">
        <f>IFERROR(VLOOKUP(1189,'PEDIDO 46'!$C$2:$E$230,3,0),0)</f>
        <v>0</v>
      </c>
      <c r="D3700" s="1">
        <f>IFERROR(VLOOKUP(1190,'PEDIDO 46'!$C$2:$E$230,3,0),0)</f>
        <v>0</v>
      </c>
      <c r="E3700" s="1">
        <f>IFERROR(VLOOKUP(1191,'PEDIDO 46'!$C$2:$E$230,3,0),0)</f>
        <v>0</v>
      </c>
      <c r="F3700" s="1">
        <f>IFERROR(VLOOKUP(1192,'PEDIDO 46'!$C$2:$E$230,3,0),0)</f>
        <v>0</v>
      </c>
      <c r="G3700" s="18">
        <f t="shared" si="112"/>
        <v>0</v>
      </c>
    </row>
    <row r="3701" spans="1:7" ht="15.75" x14ac:dyDescent="0.25">
      <c r="A3701" s="15">
        <f>'PEDIDO 46'!$B$2</f>
        <v>0</v>
      </c>
      <c r="B3701" s="12" t="s">
        <v>453</v>
      </c>
      <c r="C3701" s="1">
        <f>IFERROR(VLOOKUP(1193,'PEDIDO 46'!$C$2:$E$230,3,0),0)</f>
        <v>0</v>
      </c>
      <c r="D3701" s="1">
        <f>IFERROR(VLOOKUP(1194,'PEDIDO 46'!$C$2:$E$230,3,0),0)</f>
        <v>0</v>
      </c>
      <c r="E3701" s="1">
        <f>IFERROR(VLOOKUP(1195,'PEDIDO 46'!$C$2:$E$230,3,0),0)</f>
        <v>0</v>
      </c>
      <c r="F3701" s="1">
        <f>IFERROR(VLOOKUP(1196,'PEDIDO 46'!$C$2:$E$230,3,0),0)</f>
        <v>0</v>
      </c>
      <c r="G3701" s="18">
        <f t="shared" si="112"/>
        <v>0</v>
      </c>
    </row>
    <row r="3702" spans="1:7" ht="15.75" x14ac:dyDescent="0.25">
      <c r="A3702" s="15">
        <f>'PEDIDO 46'!$B$2</f>
        <v>0</v>
      </c>
      <c r="B3702" s="12" t="s">
        <v>454</v>
      </c>
      <c r="C3702" s="1">
        <f>IFERROR(VLOOKUP(1197,'PEDIDO 46'!$C$2:$E$230,3,0),0)</f>
        <v>0</v>
      </c>
      <c r="D3702" s="1">
        <f>IFERROR(VLOOKUP(1198,'PEDIDO 46'!$C$2:$E$230,3,0),0)</f>
        <v>0</v>
      </c>
      <c r="E3702" s="1">
        <f>IFERROR(VLOOKUP(1199,'PEDIDO 46'!$C$2:$E$230,3,0),0)</f>
        <v>0</v>
      </c>
      <c r="F3702" s="1">
        <f>IFERROR(VLOOKUP(1200,'PEDIDO 46'!$C$2:$E$230,3,0),0)</f>
        <v>0</v>
      </c>
      <c r="G3702" s="18">
        <f t="shared" si="112"/>
        <v>0</v>
      </c>
    </row>
    <row r="3703" spans="1:7" ht="15.75" x14ac:dyDescent="0.25">
      <c r="A3703" s="15">
        <f>'PEDIDO 46'!$B$2</f>
        <v>0</v>
      </c>
      <c r="B3703" s="12" t="s">
        <v>455</v>
      </c>
      <c r="C3703" s="1">
        <f>IFERROR(VLOOKUP(1201,'PEDIDO 46'!$C$2:$E$230,3,0),0)</f>
        <v>0</v>
      </c>
      <c r="D3703" s="1">
        <f>IFERROR(VLOOKUP(1202,'PEDIDO 46'!$C$2:$E$230,3,0),0)</f>
        <v>0</v>
      </c>
      <c r="E3703" s="1">
        <f>IFERROR(VLOOKUP(1203,'PEDIDO 46'!$C$2:$E$230,3,0),0)</f>
        <v>0</v>
      </c>
      <c r="F3703" s="1">
        <f>IFERROR(VLOOKUP(1204,'PEDIDO 46'!$C$2:$E$230,3,0),0)</f>
        <v>0</v>
      </c>
      <c r="G3703" s="18">
        <f t="shared" si="112"/>
        <v>0</v>
      </c>
    </row>
    <row r="3704" spans="1:7" ht="15.75" x14ac:dyDescent="0.25">
      <c r="A3704" s="15">
        <f>'PEDIDO 46'!$B$2</f>
        <v>0</v>
      </c>
      <c r="B3704" s="12" t="s">
        <v>456</v>
      </c>
      <c r="C3704" s="1">
        <f>IFERROR(VLOOKUP(1205,'PEDIDO 46'!$C$2:$E$230,3,0),0)</f>
        <v>0</v>
      </c>
      <c r="D3704" s="1">
        <f>IFERROR(VLOOKUP(1206,'PEDIDO 46'!$C$2:$E$230,3,0),0)</f>
        <v>0</v>
      </c>
      <c r="E3704" s="1">
        <f>IFERROR(VLOOKUP(1207,'PEDIDO 46'!$C$2:$E$230,3,0),0)</f>
        <v>0</v>
      </c>
      <c r="F3704" s="1">
        <f>IFERROR(VLOOKUP(1208,'PEDIDO 46'!$C$2:$E$230,3,0),0)</f>
        <v>0</v>
      </c>
      <c r="G3704" s="18">
        <f t="shared" si="112"/>
        <v>0</v>
      </c>
    </row>
    <row r="3705" spans="1:7" ht="15.75" x14ac:dyDescent="0.25">
      <c r="A3705" s="15">
        <f>'PEDIDO 46'!$B$2</f>
        <v>0</v>
      </c>
      <c r="B3705" s="12" t="s">
        <v>457</v>
      </c>
      <c r="C3705" s="1">
        <f>IFERROR(VLOOKUP(1213,'PEDIDO 46'!$C$2:$E$230,3,0),0)</f>
        <v>0</v>
      </c>
      <c r="D3705" s="1">
        <f>IFERROR(VLOOKUP(1214,'PEDIDO 46'!$C$2:$E$230,3,0),0)</f>
        <v>0</v>
      </c>
      <c r="E3705" s="1">
        <f>IFERROR(VLOOKUP(1215,'PEDIDO 46'!$C$2:$E$230,3,0),0)</f>
        <v>0</v>
      </c>
      <c r="F3705" s="10">
        <f>IFERROR(VLOOKUP(1216,'PEDIDO 46'!$C$2:$E$230,3,0),0)</f>
        <v>0</v>
      </c>
      <c r="G3705" s="18">
        <f t="shared" si="112"/>
        <v>0</v>
      </c>
    </row>
    <row r="3706" spans="1:7" ht="15.75" x14ac:dyDescent="0.25">
      <c r="A3706" s="15">
        <f>'PEDIDO 46'!$B$2</f>
        <v>0</v>
      </c>
      <c r="B3706" s="12" t="s">
        <v>458</v>
      </c>
      <c r="C3706" s="1">
        <f>IFERROR(VLOOKUP(1209,'PEDIDO 46'!$C$2:$E$230,3,0),0)</f>
        <v>0</v>
      </c>
      <c r="D3706" s="1">
        <f>IFERROR(VLOOKUP(1210,'PEDIDO 46'!$C$2:$E$230,3,0),0)</f>
        <v>0</v>
      </c>
      <c r="E3706" s="1">
        <f>IFERROR(VLOOKUP(1211,'PEDIDO 46'!$C$2:$E$230,3,0),0)</f>
        <v>0</v>
      </c>
      <c r="F3706" s="1">
        <f>IFERROR(VLOOKUP(1212,'PEDIDO 46'!$C$2:$E$230,3,0),0)</f>
        <v>0</v>
      </c>
      <c r="G3706" s="18">
        <f t="shared" si="112"/>
        <v>0</v>
      </c>
    </row>
    <row r="3707" spans="1:7" ht="15.75" x14ac:dyDescent="0.25">
      <c r="A3707" s="15">
        <f>'PEDIDO 46'!$B$2</f>
        <v>0</v>
      </c>
      <c r="B3707" s="12" t="s">
        <v>459</v>
      </c>
      <c r="C3707" s="1">
        <f>IFERROR(VLOOKUP(1217,'PEDIDO 46'!$C$2:$E$230,3,0),0)</f>
        <v>0</v>
      </c>
      <c r="D3707" s="1">
        <f>IFERROR(VLOOKUP(1218,'PEDIDO 46'!$C$2:$E$230,3,0),0)</f>
        <v>0</v>
      </c>
      <c r="E3707" s="1">
        <f>IFERROR(VLOOKUP(1219,'PEDIDO 46'!$C$2:$E$230,3,0),0)</f>
        <v>0</v>
      </c>
      <c r="F3707" s="1">
        <f>IFERROR(VLOOKUP(1220,'PEDIDO 46'!$C$2:$E$230,3,0),0)</f>
        <v>0</v>
      </c>
      <c r="G3707" s="18">
        <f t="shared" si="112"/>
        <v>0</v>
      </c>
    </row>
    <row r="3708" spans="1:7" ht="15.75" x14ac:dyDescent="0.25">
      <c r="A3708" s="15">
        <f>'PEDIDO 46'!$B$2</f>
        <v>0</v>
      </c>
      <c r="B3708" s="12" t="s">
        <v>461</v>
      </c>
      <c r="C3708" s="1">
        <f>IFERROR(VLOOKUP(1225,'PEDIDO 46'!$C$2:$E$230,3,0),0)</f>
        <v>0</v>
      </c>
      <c r="D3708" s="1">
        <f>IFERROR(VLOOKUP(1226,'PEDIDO 46'!$C$2:$E$230,3,0),0)</f>
        <v>0</v>
      </c>
      <c r="E3708" s="1">
        <f>IFERROR(VLOOKUP(1227,'PEDIDO 46'!$C$2:$E$230,3,0),0)</f>
        <v>0</v>
      </c>
      <c r="F3708" s="1">
        <f>IFERROR(VLOOKUP(1228,'PEDIDO 46'!$C$2:$E$230,3,0),0)</f>
        <v>0</v>
      </c>
      <c r="G3708" s="18">
        <f t="shared" si="112"/>
        <v>0</v>
      </c>
    </row>
    <row r="3709" spans="1:7" ht="15.75" x14ac:dyDescent="0.25">
      <c r="A3709" s="15">
        <f>'PEDIDO 46'!$B$2</f>
        <v>0</v>
      </c>
      <c r="B3709" s="12" t="s">
        <v>462</v>
      </c>
      <c r="C3709" s="1">
        <f>IFERROR(VLOOKUP(1221,'PEDIDO 46'!$C$2:$E$230,3,0),0)</f>
        <v>0</v>
      </c>
      <c r="D3709" s="1">
        <f>IFERROR(VLOOKUP(1222,'PEDIDO 46'!$C$2:$E$230,3,0),0)</f>
        <v>0</v>
      </c>
      <c r="E3709" s="1">
        <f>IFERROR(VLOOKUP(1223,'PEDIDO 46'!$C$2:$E$230,3,0),0)</f>
        <v>0</v>
      </c>
      <c r="F3709" s="1">
        <f>IFERROR(VLOOKUP(1224,'PEDIDO 46'!$C$2:$E$230,3,0),0)</f>
        <v>0</v>
      </c>
      <c r="G3709" s="18">
        <f t="shared" si="112"/>
        <v>0</v>
      </c>
    </row>
    <row r="3710" spans="1:7" ht="15.75" x14ac:dyDescent="0.25">
      <c r="A3710" s="15">
        <f>'PEDIDO 46'!$B$2</f>
        <v>0</v>
      </c>
      <c r="B3710" s="12" t="s">
        <v>460</v>
      </c>
      <c r="C3710" s="1">
        <f>IFERROR(VLOOKUP(1229,'PEDIDO 46'!$C$2:$E$230,3,0),0)</f>
        <v>0</v>
      </c>
      <c r="D3710" s="1">
        <f>IFERROR(VLOOKUP(1230,'PEDIDO 46'!$C$2:$E$230,3,0),0)</f>
        <v>0</v>
      </c>
      <c r="E3710" s="1">
        <f>IFERROR(VLOOKUP(1231,'PEDIDO 46'!$C$2:$E$230,3,0),0)</f>
        <v>0</v>
      </c>
      <c r="F3710" s="1">
        <f>IFERROR(VLOOKUP(1232,'PEDIDO 46'!$C$2:$E$230,3,0),0)</f>
        <v>0</v>
      </c>
      <c r="G3710" s="18">
        <f t="shared" si="112"/>
        <v>0</v>
      </c>
    </row>
    <row r="3711" spans="1:7" ht="15.75" x14ac:dyDescent="0.25">
      <c r="A3711" s="15">
        <f>'PEDIDO 46'!$B$2</f>
        <v>0</v>
      </c>
      <c r="B3711" s="12" t="s">
        <v>463</v>
      </c>
      <c r="C3711" s="1">
        <f>IFERROR(VLOOKUP(1233,'PEDIDO 46'!$C$2:$E$230,3,0),0)</f>
        <v>0</v>
      </c>
      <c r="D3711" s="1">
        <f>IFERROR(VLOOKUP(1234,'PEDIDO 46'!$C$2:$E$230,3,0),0)</f>
        <v>0</v>
      </c>
      <c r="E3711" s="1">
        <f>IFERROR(VLOOKUP(1235,'PEDIDO 46'!$C$2:$E$230,3,0),0)</f>
        <v>0</v>
      </c>
      <c r="F3711" s="1">
        <f>IFERROR(VLOOKUP(1236,'PEDIDO 46'!$C$2:$E$230,3,0),0)</f>
        <v>0</v>
      </c>
      <c r="G3711" s="18">
        <f t="shared" si="112"/>
        <v>0</v>
      </c>
    </row>
    <row r="3712" spans="1:7" ht="15.75" x14ac:dyDescent="0.25">
      <c r="A3712" s="15">
        <f>'PEDIDO 46'!$B$2</f>
        <v>0</v>
      </c>
      <c r="B3712" s="12" t="s">
        <v>464</v>
      </c>
      <c r="C3712" s="1">
        <f>IFERROR(VLOOKUP(1237,'PEDIDO 46'!$C$2:$E$230,3,0),0)</f>
        <v>0</v>
      </c>
      <c r="D3712" s="1">
        <f>IFERROR(VLOOKUP(1238,'PEDIDO 46'!$C$2:$E$230,3,0),0)</f>
        <v>0</v>
      </c>
      <c r="E3712" s="1">
        <f>IFERROR(VLOOKUP(1239,'PEDIDO 46'!$C$2:$E$230,3,0),0)</f>
        <v>0</v>
      </c>
      <c r="F3712" s="1">
        <f>IFERROR(VLOOKUP(1240,'PEDIDO 46'!$C$2:$E$230,3,0),0)</f>
        <v>0</v>
      </c>
      <c r="G3712" s="18">
        <f t="shared" ref="G3712:G3724" si="113">SUM(C3712+D3712+E3712+F3712)</f>
        <v>0</v>
      </c>
    </row>
    <row r="3713" spans="1:7" ht="15.75" x14ac:dyDescent="0.25">
      <c r="A3713" s="15">
        <f>'PEDIDO 46'!$B$2</f>
        <v>0</v>
      </c>
      <c r="B3713" s="12" t="s">
        <v>465</v>
      </c>
      <c r="C3713" s="1">
        <f>IFERROR(VLOOKUP(1241,'PEDIDO 46'!$C$2:$E$230,3,0),0)</f>
        <v>0</v>
      </c>
      <c r="D3713" s="1">
        <f>IFERROR(VLOOKUP(1242,'PEDIDO 46'!$C$2:$E$230,3,0),0)</f>
        <v>0</v>
      </c>
      <c r="E3713" s="1">
        <f>IFERROR(VLOOKUP(1243,'PEDIDO 46'!$C$2:$E$230,3,0),0)</f>
        <v>0</v>
      </c>
      <c r="F3713" s="1">
        <f>IFERROR(VLOOKUP(1244,'PEDIDO 46'!$C$2:$E$230,3,0),0)</f>
        <v>0</v>
      </c>
      <c r="G3713" s="18">
        <f t="shared" si="113"/>
        <v>0</v>
      </c>
    </row>
    <row r="3714" spans="1:7" ht="15.75" x14ac:dyDescent="0.25">
      <c r="A3714" s="15">
        <f>'PEDIDO 46'!$B$2</f>
        <v>0</v>
      </c>
      <c r="B3714" s="12" t="s">
        <v>466</v>
      </c>
      <c r="C3714" s="1">
        <f>IFERROR(VLOOKUP(1245,'PEDIDO 46'!$C$2:$E$230,3,0),0)</f>
        <v>0</v>
      </c>
      <c r="D3714" s="1">
        <f>IFERROR(VLOOKUP(1246,'PEDIDO 46'!$C$2:$E$230,3,0),0)</f>
        <v>0</v>
      </c>
      <c r="E3714" s="1">
        <f>IFERROR(VLOOKUP(1247,'PEDIDO 46'!$C$2:$E$230,3,0),0)</f>
        <v>0</v>
      </c>
      <c r="F3714" s="1">
        <f>IFERROR(VLOOKUP(1248,'PEDIDO 46'!$C$2:$E$230,3,0),0)</f>
        <v>0</v>
      </c>
      <c r="G3714" s="18">
        <f t="shared" si="113"/>
        <v>0</v>
      </c>
    </row>
    <row r="3715" spans="1:7" ht="15.75" x14ac:dyDescent="0.25">
      <c r="A3715" s="15">
        <f>'PEDIDO 46'!$B$2</f>
        <v>0</v>
      </c>
      <c r="B3715" s="12" t="s">
        <v>467</v>
      </c>
      <c r="C3715" s="1">
        <f>IFERROR(VLOOKUP(25714,'PEDIDO 46'!$C$2:$E$230,3,0),0)</f>
        <v>0</v>
      </c>
      <c r="D3715" s="1"/>
      <c r="E3715" s="1"/>
      <c r="F3715" s="1"/>
      <c r="G3715" s="18">
        <f t="shared" si="113"/>
        <v>0</v>
      </c>
    </row>
    <row r="3716" spans="1:7" ht="15.75" x14ac:dyDescent="0.25">
      <c r="A3716" s="15">
        <f>'PEDIDO 46'!$B$2</f>
        <v>0</v>
      </c>
      <c r="B3716" s="12" t="s">
        <v>468</v>
      </c>
      <c r="C3716" s="1">
        <f>IFERROR(VLOOKUP(25712,'PEDIDO 46'!$C$2:$E$230,3,0),0)</f>
        <v>0</v>
      </c>
      <c r="D3716" s="1"/>
      <c r="E3716" s="1"/>
      <c r="F3716" s="1"/>
      <c r="G3716" s="18">
        <f t="shared" si="113"/>
        <v>0</v>
      </c>
    </row>
    <row r="3717" spans="1:7" ht="15.75" x14ac:dyDescent="0.25">
      <c r="A3717" s="15">
        <f>'PEDIDO 46'!$B$2</f>
        <v>0</v>
      </c>
      <c r="B3717" s="12" t="s">
        <v>469</v>
      </c>
      <c r="C3717" s="1">
        <f>IFERROR(VLOOKUP(25713,'PEDIDO 46'!$C$2:$E$230,3,0),0)</f>
        <v>0</v>
      </c>
      <c r="D3717" s="1"/>
      <c r="E3717" s="1"/>
      <c r="F3717" s="1"/>
      <c r="G3717" s="18">
        <f t="shared" si="113"/>
        <v>0</v>
      </c>
    </row>
    <row r="3718" spans="1:7" ht="15.75" x14ac:dyDescent="0.25">
      <c r="A3718" s="15">
        <f>'PEDIDO 46'!$B$2</f>
        <v>0</v>
      </c>
      <c r="B3718" s="12" t="s">
        <v>470</v>
      </c>
      <c r="C3718" s="1">
        <f>IFERROR(VLOOKUP(1260,'PEDIDO 46'!$C$2:$E$230,3,0),0)</f>
        <v>0</v>
      </c>
      <c r="D3718" s="1"/>
      <c r="E3718" s="1"/>
      <c r="F3718" s="1"/>
      <c r="G3718" s="18">
        <f t="shared" si="113"/>
        <v>0</v>
      </c>
    </row>
    <row r="3719" spans="1:7" ht="15.75" x14ac:dyDescent="0.25">
      <c r="A3719" s="15">
        <f>'PEDIDO 46'!$B$2</f>
        <v>0</v>
      </c>
      <c r="B3719" s="12" t="s">
        <v>471</v>
      </c>
      <c r="C3719" s="1">
        <f>IFERROR(VLOOKUP(1261,'PEDIDO 46'!$C$2:$E$230,3,0),0)</f>
        <v>0</v>
      </c>
      <c r="D3719" s="1"/>
      <c r="E3719" s="1"/>
      <c r="F3719" s="1"/>
      <c r="G3719" s="18">
        <f t="shared" si="113"/>
        <v>0</v>
      </c>
    </row>
    <row r="3720" spans="1:7" ht="15.75" x14ac:dyDescent="0.25">
      <c r="A3720" s="15">
        <f>'PEDIDO 46'!$B$2</f>
        <v>0</v>
      </c>
      <c r="B3720" s="12" t="s">
        <v>472</v>
      </c>
      <c r="C3720" s="1">
        <f>IFERROR(VLOOKUP(1262,'PEDIDO 46'!$C$2:$E$230,3,0),0)</f>
        <v>0</v>
      </c>
      <c r="D3720" s="1"/>
      <c r="E3720" s="1"/>
      <c r="F3720" s="1"/>
      <c r="G3720" s="18">
        <f t="shared" si="113"/>
        <v>0</v>
      </c>
    </row>
    <row r="3721" spans="1:7" ht="15.75" x14ac:dyDescent="0.25">
      <c r="A3721" s="15">
        <f>'PEDIDO 46'!$B$2</f>
        <v>0</v>
      </c>
      <c r="B3721" s="12" t="s">
        <v>473</v>
      </c>
      <c r="C3721" s="1">
        <f>IFERROR(VLOOKUP(1263,'PEDIDO 46'!$C$2:$E$230,3,0),0)</f>
        <v>0</v>
      </c>
      <c r="D3721" s="1"/>
      <c r="E3721" s="1"/>
      <c r="F3721" s="1"/>
      <c r="G3721" s="18">
        <f t="shared" si="113"/>
        <v>0</v>
      </c>
    </row>
    <row r="3722" spans="1:7" ht="15.75" x14ac:dyDescent="0.25">
      <c r="A3722" s="15">
        <f>'PEDIDO 46'!$B$2</f>
        <v>0</v>
      </c>
      <c r="B3722" s="12" t="s">
        <v>474</v>
      </c>
      <c r="C3722" s="1">
        <f>IFERROR(VLOOKUP(1264,'PEDIDO 46'!$C$2:$E$230,3,0),0)</f>
        <v>0</v>
      </c>
      <c r="D3722" s="1"/>
      <c r="E3722" s="1"/>
      <c r="F3722" s="1"/>
      <c r="G3722" s="18">
        <f t="shared" si="113"/>
        <v>0</v>
      </c>
    </row>
    <row r="3723" spans="1:7" ht="15.75" x14ac:dyDescent="0.25">
      <c r="A3723" s="15">
        <f>'PEDIDO 46'!$B$2</f>
        <v>0</v>
      </c>
      <c r="B3723" s="12" t="s">
        <v>475</v>
      </c>
      <c r="C3723" s="1">
        <f>IFERROR(VLOOKUP(1265,'PEDIDO 46'!$C$2:$E$230,3,0),0)</f>
        <v>0</v>
      </c>
      <c r="D3723" s="1"/>
      <c r="E3723" s="1"/>
      <c r="F3723" s="1"/>
      <c r="G3723" s="18">
        <f t="shared" si="113"/>
        <v>0</v>
      </c>
    </row>
    <row r="3724" spans="1:7" ht="15.75" x14ac:dyDescent="0.25">
      <c r="A3724" s="15">
        <f>'PEDIDO 46'!$B$2</f>
        <v>0</v>
      </c>
      <c r="B3724" s="12" t="s">
        <v>476</v>
      </c>
      <c r="C3724" s="1">
        <f>IFERROR(VLOOKUP(1266,'PEDIDO 46'!$C$2:$E$230,3,0),0)</f>
        <v>0</v>
      </c>
      <c r="D3724" s="1"/>
      <c r="E3724" s="1"/>
      <c r="F3724" s="1"/>
      <c r="G3724" s="18">
        <f t="shared" si="113"/>
        <v>0</v>
      </c>
    </row>
    <row r="3725" spans="1:7" ht="15.75" x14ac:dyDescent="0.25">
      <c r="A3725" s="15">
        <f>'PEDIDO 46'!$B$2</f>
        <v>0</v>
      </c>
      <c r="B3725" s="12" t="s">
        <v>477</v>
      </c>
      <c r="C3725" s="1">
        <f>IFERROR(VLOOKUP(1268,'PEDIDO 46'!$C$2:$E$230,3,0),0)</f>
        <v>0</v>
      </c>
      <c r="D3725" s="1">
        <f>IFERROR(VLOOKUP(1269,'PEDIDO 46'!$C$2:$E$230,3,0),0)</f>
        <v>0</v>
      </c>
      <c r="E3725" s="1">
        <f>IFERROR(VLOOKUP(1270,'PEDIDO 46'!$C$2:$E$230,3,0),0)</f>
        <v>0</v>
      </c>
      <c r="F3725" s="1">
        <f>IFERROR(VLOOKUP(1271,'PEDIDO 46'!$C$2:$E$230,3,0),0)</f>
        <v>0</v>
      </c>
      <c r="G3725" s="18">
        <f t="shared" ref="G3725" si="114">SUM(C3725+D3725+E3725+F3725)</f>
        <v>0</v>
      </c>
    </row>
    <row r="3728" spans="1:7" ht="15.75" x14ac:dyDescent="0.25">
      <c r="A3728" s="15">
        <f>'PEDIDO 47'!$B$2</f>
        <v>0</v>
      </c>
      <c r="B3728" s="12" t="s">
        <v>399</v>
      </c>
      <c r="C3728" s="1">
        <f>IFERROR(VLOOKUP(1,'PEDIDO 47'!$C$2:$E$230,3,0),0)</f>
        <v>0</v>
      </c>
      <c r="D3728" s="1">
        <f>IFERROR(VLOOKUP(2,'PEDIDO 47'!$C$2:$E$230,3,0),0)</f>
        <v>0</v>
      </c>
      <c r="E3728" s="1">
        <f>IFERROR(VLOOKUP(3,'PEDIDO 47'!$C$2:$E$230,3,0),0)</f>
        <v>0</v>
      </c>
      <c r="F3728" s="1">
        <f>IFERROR(VLOOKUP(282,'PEDIDO 47'!$C$2:$E$230,3,0),0)</f>
        <v>0</v>
      </c>
      <c r="G3728" s="18">
        <f>SUM(C3728+D3728+E3728+F3728)</f>
        <v>0</v>
      </c>
    </row>
    <row r="3729" spans="1:7" ht="15.75" x14ac:dyDescent="0.25">
      <c r="A3729" s="15">
        <f>'PEDIDO 47'!$B$2</f>
        <v>0</v>
      </c>
      <c r="B3729" s="12" t="s">
        <v>400</v>
      </c>
      <c r="C3729" s="1">
        <f>IFERROR(VLOOKUP(5,'PEDIDO 47'!$C$2:$E$230,3,0),0)</f>
        <v>0</v>
      </c>
      <c r="D3729" s="1">
        <f>IFERROR(VLOOKUP(6,'PEDIDO 47'!$C$2:$E$230,3,0),0)</f>
        <v>0</v>
      </c>
      <c r="E3729" s="1">
        <f>IFERROR(VLOOKUP(7,'PEDIDO 47'!$C$2:$E$230,3,0),0)</f>
        <v>0</v>
      </c>
      <c r="F3729" s="1">
        <f>IFERROR(VLOOKUP(258,'PEDIDO 47'!$C$2:$E$230,3,0),0)</f>
        <v>0</v>
      </c>
      <c r="G3729" s="18">
        <f t="shared" ref="G3729:G3792" si="115">SUM(C3729+D3729+E3729+F3729)</f>
        <v>0</v>
      </c>
    </row>
    <row r="3730" spans="1:7" ht="15.75" x14ac:dyDescent="0.25">
      <c r="A3730" s="15">
        <f>'PEDIDO 47'!$B$2</f>
        <v>0</v>
      </c>
      <c r="B3730" s="12" t="s">
        <v>401</v>
      </c>
      <c r="C3730" s="1">
        <f>IFERROR(VLOOKUP(13,'PEDIDO 47'!$C$2:$E$230,3,0),0)</f>
        <v>0</v>
      </c>
      <c r="D3730" s="1">
        <f>IFERROR(VLOOKUP(14,'PEDIDO 47'!$C$2:$E$230,3,0),0)</f>
        <v>0</v>
      </c>
      <c r="E3730" s="1">
        <f>IFERROR(VLOOKUP(15,'PEDIDO 47'!$C$2:$E$230,3,0),0)</f>
        <v>0</v>
      </c>
      <c r="F3730" s="1">
        <f>IFERROR(VLOOKUP(289,'PEDIDO 47'!$C$2:$E$230,3,0),0)</f>
        <v>0</v>
      </c>
      <c r="G3730" s="18">
        <f t="shared" si="115"/>
        <v>0</v>
      </c>
    </row>
    <row r="3731" spans="1:7" ht="15.75" x14ac:dyDescent="0.25">
      <c r="A3731" s="15">
        <f>'PEDIDO 47'!$B$2</f>
        <v>0</v>
      </c>
      <c r="B3731" s="12" t="s">
        <v>402</v>
      </c>
      <c r="C3731" s="1">
        <f>IFERROR(VLOOKUP(267,'PEDIDO 47'!$C$2:$E$230,3,0),0)</f>
        <v>0</v>
      </c>
      <c r="D3731" s="1">
        <f>IFERROR(VLOOKUP(268,'PEDIDO 47'!$C$2:$E$230,3,0),0)</f>
        <v>0</v>
      </c>
      <c r="E3731" s="1">
        <f>IFERROR(VLOOKUP(270,'PEDIDO 47'!$C$2:$E$230,3,0),0)</f>
        <v>0</v>
      </c>
      <c r="F3731" s="1">
        <f>IFERROR(VLOOKUP(269,'PEDIDO 47'!$C$2:$E$230,3,0),0)</f>
        <v>0</v>
      </c>
      <c r="G3731" s="18">
        <f t="shared" si="115"/>
        <v>0</v>
      </c>
    </row>
    <row r="3732" spans="1:7" ht="15.75" x14ac:dyDescent="0.25">
      <c r="A3732" s="15">
        <f>'PEDIDO 47'!$B$2</f>
        <v>0</v>
      </c>
      <c r="B3732" s="12" t="s">
        <v>403</v>
      </c>
      <c r="C3732" s="1">
        <f>IFERROR(VLOOKUP(17,'PEDIDO 47'!$C$2:$E$230,3,0),0)</f>
        <v>0</v>
      </c>
      <c r="D3732" s="1">
        <f>IFERROR(VLOOKUP(18,'PEDIDO 47'!$C$2:$E$230,3,0),0)</f>
        <v>0</v>
      </c>
      <c r="E3732" s="1">
        <f>IFERROR(VLOOKUP(19,'PEDIDO 47'!$C$2:$E$230,3,0),0)</f>
        <v>0</v>
      </c>
      <c r="F3732" s="1">
        <f>IFERROR(VLOOKUP(290,'PEDIDO 47'!$C$2:$E$230,3,0),0)</f>
        <v>0</v>
      </c>
      <c r="G3732" s="18">
        <f t="shared" si="115"/>
        <v>0</v>
      </c>
    </row>
    <row r="3733" spans="1:7" ht="15.75" x14ac:dyDescent="0.25">
      <c r="A3733" s="15">
        <f>'PEDIDO 47'!$B$2</f>
        <v>0</v>
      </c>
      <c r="B3733" s="12" t="s">
        <v>404</v>
      </c>
      <c r="C3733" s="1">
        <f>IFERROR(VLOOKUP(23,'PEDIDO 47'!$C$2:$E$230,3,0),0)</f>
        <v>0</v>
      </c>
      <c r="D3733" s="1">
        <f>IFERROR(VLOOKUP(24,'PEDIDO 47'!$C$2:$E$230,3,0),0)</f>
        <v>0</v>
      </c>
      <c r="E3733" s="1">
        <f>IFERROR(VLOOKUP(25,'PEDIDO 47'!$C$2:$E$230,3,0),0)</f>
        <v>0</v>
      </c>
      <c r="F3733" s="1">
        <f>IFERROR(VLOOKUP(291,'PEDIDO 47'!$C$2:$E$230,3,0),0)</f>
        <v>0</v>
      </c>
      <c r="G3733" s="18">
        <f t="shared" si="115"/>
        <v>0</v>
      </c>
    </row>
    <row r="3734" spans="1:7" ht="15.75" x14ac:dyDescent="0.25">
      <c r="A3734" s="15">
        <f>'PEDIDO 47'!$B$2</f>
        <v>0</v>
      </c>
      <c r="B3734" s="12" t="s">
        <v>405</v>
      </c>
      <c r="C3734" s="1">
        <f>IFERROR(VLOOKUP(27,'PEDIDO 47'!$C$2:$E$230,3,0),0)</f>
        <v>0</v>
      </c>
      <c r="D3734" s="1">
        <f>IFERROR(VLOOKUP(28,'PEDIDO 47'!$C$2:$E$230,3,0),0)</f>
        <v>0</v>
      </c>
      <c r="E3734" s="1">
        <f>IFERROR(VLOOKUP(29,'PEDIDO 47'!$C$2:$E$230,3,0),0)</f>
        <v>0</v>
      </c>
      <c r="F3734" s="1">
        <f>IFERROR(VLOOKUP(292,'PEDIDO 47'!$C$2:$E$230,3,0),0)</f>
        <v>0</v>
      </c>
      <c r="G3734" s="18">
        <f t="shared" si="115"/>
        <v>0</v>
      </c>
    </row>
    <row r="3735" spans="1:7" ht="15.75" x14ac:dyDescent="0.25">
      <c r="A3735" s="15">
        <f>'PEDIDO 47'!$B$2</f>
        <v>0</v>
      </c>
      <c r="B3735" s="12" t="s">
        <v>406</v>
      </c>
      <c r="C3735" s="1">
        <f>IFERROR(VLOOKUP(227,'PEDIDO 47'!$C$2:$E$230,3,0),0)</f>
        <v>0</v>
      </c>
      <c r="D3735" s="1">
        <f>IFERROR(VLOOKUP(228,'PEDIDO 47'!$C$2:$E$230,3,0),0)</f>
        <v>0</v>
      </c>
      <c r="E3735" s="1">
        <f>IFERROR(VLOOKUP(229,'PEDIDO 47'!$C$2:$E$230,3,0),0)</f>
        <v>0</v>
      </c>
      <c r="F3735" s="1">
        <f>IFERROR(VLOOKUP(230,'PEDIDO 47'!$C$2:$E$230,3,0),0)</f>
        <v>0</v>
      </c>
      <c r="G3735" s="18">
        <f t="shared" si="115"/>
        <v>0</v>
      </c>
    </row>
    <row r="3736" spans="1:7" ht="15.75" x14ac:dyDescent="0.25">
      <c r="A3736" s="15">
        <f>'PEDIDO 47'!$B$2</f>
        <v>0</v>
      </c>
      <c r="B3736" s="12" t="s">
        <v>407</v>
      </c>
      <c r="C3736" s="1">
        <f>IFERROR(VLOOKUP(231,'PEDIDO 47'!$C$2:$E$230,3,0),0)</f>
        <v>0</v>
      </c>
      <c r="D3736" s="1">
        <f>IFERROR(VLOOKUP(232,'PEDIDO 47'!$C$2:$E$230,3,0),0)</f>
        <v>0</v>
      </c>
      <c r="E3736" s="1">
        <f>IFERROR(VLOOKUP(234,'PEDIDO 47'!$C$2:$E$230,3,0),0)</f>
        <v>0</v>
      </c>
      <c r="F3736" s="1">
        <f>IFERROR(VLOOKUP(233,'PEDIDO 47'!$C$2:$E$230,3,0),0)</f>
        <v>0</v>
      </c>
      <c r="G3736" s="18">
        <f t="shared" si="115"/>
        <v>0</v>
      </c>
    </row>
    <row r="3737" spans="1:7" ht="15.75" x14ac:dyDescent="0.25">
      <c r="A3737" s="15">
        <f>'PEDIDO 47'!$B$2</f>
        <v>0</v>
      </c>
      <c r="B3737" s="12" t="s">
        <v>408</v>
      </c>
      <c r="C3737" s="1">
        <f>IFERROR(VLOOKUP(237,'PEDIDO 47'!$C$2:$E$230,3,0),0)</f>
        <v>0</v>
      </c>
      <c r="D3737" s="1">
        <f>IFERROR(VLOOKUP(238,'PEDIDO 47'!$C$2:$E$230,3,0),0)</f>
        <v>0</v>
      </c>
      <c r="E3737" s="1">
        <f>IFERROR(VLOOKUP(240,'PEDIDO 47'!$C$2:$E$230,3,0),0)</f>
        <v>0</v>
      </c>
      <c r="F3737" s="1">
        <f>IFERROR(VLOOKUP(239,'PEDIDO 47'!$C$2:$E$230,3,0),0)</f>
        <v>0</v>
      </c>
      <c r="G3737" s="18">
        <f t="shared" si="115"/>
        <v>0</v>
      </c>
    </row>
    <row r="3738" spans="1:7" ht="15.75" x14ac:dyDescent="0.25">
      <c r="A3738" s="15">
        <f>'PEDIDO 47'!$B$2</f>
        <v>0</v>
      </c>
      <c r="B3738" s="12" t="s">
        <v>409</v>
      </c>
      <c r="C3738" s="1">
        <f>IFERROR(VLOOKUP(25707,'PEDIDO 47'!$C$2:$E$230,3,0),0)</f>
        <v>0</v>
      </c>
      <c r="D3738" s="1">
        <f>IFERROR(VLOOKUP(25708,'PEDIDO 47'!$C$2:$E$230,3,0),0)</f>
        <v>0</v>
      </c>
      <c r="E3738" s="1">
        <f>IFERROR(VLOOKUP(25710,'PEDIDO 47'!$C$2:$E$230,3,0),0)</f>
        <v>0</v>
      </c>
      <c r="F3738" s="1">
        <f>IFERROR(VLOOKUP(25709,'PEDIDO 47'!$C$2:$E$230,3,0),0)</f>
        <v>0</v>
      </c>
      <c r="G3738" s="18">
        <f t="shared" si="115"/>
        <v>0</v>
      </c>
    </row>
    <row r="3739" spans="1:7" ht="15.75" x14ac:dyDescent="0.25">
      <c r="A3739" s="15">
        <f>'PEDIDO 47'!$B$2</f>
        <v>0</v>
      </c>
      <c r="B3739" s="12" t="s">
        <v>410</v>
      </c>
      <c r="C3739" s="1">
        <f>IFERROR(VLOOKUP(25711,'PEDIDO 47'!$C$2:$E$230,3,0),0)</f>
        <v>0</v>
      </c>
      <c r="D3739" s="1"/>
      <c r="E3739" s="1"/>
      <c r="F3739" s="1"/>
      <c r="G3739" s="18">
        <f t="shared" si="115"/>
        <v>0</v>
      </c>
    </row>
    <row r="3740" spans="1:7" ht="15.75" x14ac:dyDescent="0.25">
      <c r="A3740" s="15">
        <f>'PEDIDO 47'!$B$2</f>
        <v>0</v>
      </c>
      <c r="B3740" s="12" t="s">
        <v>411</v>
      </c>
      <c r="C3740" s="1">
        <f>IFERROR(VLOOKUP(35,'PEDIDO 47'!$C$2:$E$230,3,0),0)</f>
        <v>0</v>
      </c>
      <c r="D3740" s="1">
        <f>IFERROR(VLOOKUP(36,'PEDIDO 47'!$C$2:$E$230,3,0),0)</f>
        <v>0</v>
      </c>
      <c r="E3740" s="1">
        <f>IFERROR(VLOOKUP(37,'PEDIDO 47'!$C$2:$E$230,3,0),0)</f>
        <v>0</v>
      </c>
      <c r="F3740" s="1">
        <f>IFERROR(VLOOKUP(294,'PEDIDO 47'!$C$2:$E$230,3,0),0)</f>
        <v>0</v>
      </c>
      <c r="G3740" s="18">
        <f t="shared" si="115"/>
        <v>0</v>
      </c>
    </row>
    <row r="3741" spans="1:7" ht="15.75" x14ac:dyDescent="0.25">
      <c r="A3741" s="15">
        <f>'PEDIDO 47'!$B$2</f>
        <v>0</v>
      </c>
      <c r="B3741" s="12" t="s">
        <v>412</v>
      </c>
      <c r="C3741" s="1">
        <f>IFERROR(VLOOKUP(39,'PEDIDO 47'!$C$2:$E$230,3,0),0)</f>
        <v>0</v>
      </c>
      <c r="D3741" s="1">
        <f>IFERROR(VLOOKUP(40,'PEDIDO 47'!$C$2:$E$230,3,0),0)</f>
        <v>0</v>
      </c>
      <c r="E3741" s="1">
        <f>IFERROR(VLOOKUP(42,'PEDIDO 47'!$C$2:$E$230,3,0),0)</f>
        <v>0</v>
      </c>
      <c r="F3741" s="1">
        <f>IFERROR(VLOOKUP(295,'PEDIDO 47'!$C$2:$E$230,3,0),0)</f>
        <v>0</v>
      </c>
      <c r="G3741" s="18">
        <f t="shared" si="115"/>
        <v>0</v>
      </c>
    </row>
    <row r="3742" spans="1:7" ht="15.75" x14ac:dyDescent="0.25">
      <c r="A3742" s="15">
        <f>'PEDIDO 47'!$B$2</f>
        <v>0</v>
      </c>
      <c r="B3742" s="12" t="s">
        <v>413</v>
      </c>
      <c r="C3742" s="1">
        <f>IFERROR(VLOOKUP(44,'PEDIDO 47'!$C$2:$E$230,3,0),0)</f>
        <v>0</v>
      </c>
      <c r="D3742" s="1">
        <f>IFERROR(VLOOKUP(45,'PEDIDO 47'!$C$2:$E$230,3,0),0)</f>
        <v>0</v>
      </c>
      <c r="E3742" s="1">
        <f>IFERROR(VLOOKUP(46,'PEDIDO 47'!$C$2:$E$230,3,0),0)</f>
        <v>0</v>
      </c>
      <c r="F3742" s="1">
        <f>IFERROR(VLOOKUP(283,'PEDIDO 47'!$C$2:$E$230,3,0),0)</f>
        <v>0</v>
      </c>
      <c r="G3742" s="18">
        <f t="shared" si="115"/>
        <v>0</v>
      </c>
    </row>
    <row r="3743" spans="1:7" ht="15.75" x14ac:dyDescent="0.25">
      <c r="A3743" s="15">
        <f>'PEDIDO 47'!$B$2</f>
        <v>0</v>
      </c>
      <c r="B3743" s="12" t="s">
        <v>414</v>
      </c>
      <c r="C3743" s="1">
        <f>IFERROR(VLOOKUP(48,'PEDIDO 47'!$C$2:$E$230,3,0),0)</f>
        <v>0</v>
      </c>
      <c r="D3743" s="1">
        <f>IFERROR(VLOOKUP(49,'PEDIDO 47'!$C$2:$E$230,3,0),0)</f>
        <v>0</v>
      </c>
      <c r="E3743" s="1">
        <f>IFERROR(VLOOKUP(50,'PEDIDO 47'!$C$2:$E$230,3,0),0)</f>
        <v>0</v>
      </c>
      <c r="F3743" s="1">
        <f>IFERROR(VLOOKUP(298,'PEDIDO 47'!$C$2:$E$230,3,0),0)</f>
        <v>0</v>
      </c>
      <c r="G3743" s="18">
        <f t="shared" si="115"/>
        <v>0</v>
      </c>
    </row>
    <row r="3744" spans="1:7" ht="15.75" x14ac:dyDescent="0.25">
      <c r="A3744" s="15">
        <f>'PEDIDO 47'!$B$2</f>
        <v>0</v>
      </c>
      <c r="B3744" s="12" t="s">
        <v>415</v>
      </c>
      <c r="C3744" s="1">
        <f>IFERROR(VLOOKUP(52,'PEDIDO 47'!$C$2:$E$230,3,0),0)</f>
        <v>0</v>
      </c>
      <c r="D3744" s="1">
        <f>IFERROR(VLOOKUP(53,'PEDIDO 47'!$C$2:$E$230,3,0),0)</f>
        <v>0</v>
      </c>
      <c r="E3744" s="1">
        <f>IFERROR(VLOOKUP(54,'PEDIDO 47'!$C$2:$E$230,3,0),0)</f>
        <v>0</v>
      </c>
      <c r="F3744" s="1">
        <f>IFERROR(VLOOKUP(299,'PEDIDO 47'!$C$2:$E$230,3,0),0)</f>
        <v>0</v>
      </c>
      <c r="G3744" s="18">
        <f t="shared" si="115"/>
        <v>0</v>
      </c>
    </row>
    <row r="3745" spans="1:7" ht="15.75" x14ac:dyDescent="0.25">
      <c r="A3745" s="15">
        <f>'PEDIDO 47'!$B$2</f>
        <v>0</v>
      </c>
      <c r="B3745" s="12" t="s">
        <v>416</v>
      </c>
      <c r="C3745" s="1">
        <f>IFERROR(VLOOKUP(56,'PEDIDO 47'!$C$2:$E$230,3,0),0)</f>
        <v>0</v>
      </c>
      <c r="D3745" s="1">
        <f>IFERROR(VLOOKUP(61,'PEDIDO 47'!$C$2:$E$230,3,0),0)</f>
        <v>0</v>
      </c>
      <c r="E3745" s="1">
        <f>IFERROR(VLOOKUP(58,'PEDIDO 47'!$C$2:$E$230,3,0),0)</f>
        <v>0</v>
      </c>
      <c r="F3745" s="1">
        <f>IFERROR(VLOOKUP(300,'PEDIDO 47'!$C$2:$E$230,3,0),0)</f>
        <v>0</v>
      </c>
      <c r="G3745" s="18">
        <f t="shared" si="115"/>
        <v>0</v>
      </c>
    </row>
    <row r="3746" spans="1:7" ht="15.75" x14ac:dyDescent="0.25">
      <c r="A3746" s="15">
        <f>'PEDIDO 47'!$B$2</f>
        <v>0</v>
      </c>
      <c r="B3746" s="12" t="s">
        <v>417</v>
      </c>
      <c r="C3746" s="1">
        <f>IFERROR(VLOOKUP(60,'PEDIDO 47'!$C$2:$E$230,3,0),0)</f>
        <v>0</v>
      </c>
      <c r="D3746" s="1">
        <f>IFERROR(VLOOKUP(120,'PEDIDO 47'!$C$2:$E$230,3,0),0)</f>
        <v>0</v>
      </c>
      <c r="E3746" s="1">
        <f>IFERROR(VLOOKUP(62,'PEDIDO 47'!$C$2:$E$230,3,0),0)</f>
        <v>0</v>
      </c>
      <c r="F3746" s="1">
        <f>IFERROR(VLOOKUP(301,'PEDIDO 47'!$C$2:$E$230,3,0),0)</f>
        <v>0</v>
      </c>
      <c r="G3746" s="18">
        <f t="shared" si="115"/>
        <v>0</v>
      </c>
    </row>
    <row r="3747" spans="1:7" ht="15.75" x14ac:dyDescent="0.25">
      <c r="A3747" s="15">
        <f>'PEDIDO 47'!$B$2</f>
        <v>0</v>
      </c>
      <c r="B3747" s="12" t="s">
        <v>426</v>
      </c>
      <c r="C3747" s="1">
        <f>IFERROR(VLOOKUP(112,'PEDIDO 47'!$C$2:$E$230,3,0),0)</f>
        <v>0</v>
      </c>
      <c r="D3747" s="1">
        <f>IFERROR(VLOOKUP(113,'PEDIDO 47'!$C$2:$E$230,3,0),0)</f>
        <v>0</v>
      </c>
      <c r="E3747" s="1">
        <f>IFERROR(VLOOKUP(114,'PEDIDO 47'!$C$2:$E$230,3,0),0)</f>
        <v>0</v>
      </c>
      <c r="F3747" s="1">
        <f>IFERROR(VLOOKUP(296,'PEDIDO 47'!$C$2:$E$230,3,0),0)</f>
        <v>0</v>
      </c>
      <c r="G3747" s="18">
        <f t="shared" si="115"/>
        <v>0</v>
      </c>
    </row>
    <row r="3748" spans="1:7" ht="15.75" x14ac:dyDescent="0.25">
      <c r="A3748" s="15">
        <f>'PEDIDO 47'!$B$2</f>
        <v>0</v>
      </c>
      <c r="B3748" s="12" t="s">
        <v>427</v>
      </c>
      <c r="C3748" s="1">
        <f>IFERROR(VLOOKUP(116,'PEDIDO 47'!$C$2:$E$230,3,0),0)</f>
        <v>0</v>
      </c>
      <c r="D3748" s="1">
        <f>IFERROR(VLOOKUP(117,'PEDIDO 47'!$C$2:$E$230,3,0),0)</f>
        <v>0</v>
      </c>
      <c r="E3748" s="1">
        <f>IFERROR(VLOOKUP(118,'PEDIDO 47'!$C$2:$E$230,3,0),0)</f>
        <v>0</v>
      </c>
      <c r="F3748" s="1">
        <f>IFERROR(VLOOKUP(293,'PEDIDO 47'!$C$2:$E$230,3,0),0)</f>
        <v>0</v>
      </c>
      <c r="G3748" s="18">
        <f t="shared" si="115"/>
        <v>0</v>
      </c>
    </row>
    <row r="3749" spans="1:7" ht="15.75" x14ac:dyDescent="0.25">
      <c r="A3749" s="15">
        <f>'PEDIDO 47'!$B$2</f>
        <v>0</v>
      </c>
      <c r="B3749" s="12" t="s">
        <v>418</v>
      </c>
      <c r="C3749" s="1">
        <f>IFERROR(VLOOKUP(963,'PEDIDO 47'!$C$2:$E$230,3,0),0)</f>
        <v>0</v>
      </c>
      <c r="D3749" s="1">
        <f>IFERROR(VLOOKUP(965,'PEDIDO 47'!$C$2:$E$230,3,0),0)</f>
        <v>0</v>
      </c>
      <c r="E3749" s="1">
        <f>IFERROR(VLOOKUP(966,'PEDIDO 47'!$C$2:$E$230,3,0),0)</f>
        <v>0</v>
      </c>
      <c r="F3749" s="1">
        <f>IFERROR(VLOOKUP(964,'PEDIDO 47'!$C$2:$E$230,3,0),0)</f>
        <v>0</v>
      </c>
      <c r="G3749" s="18">
        <f t="shared" si="115"/>
        <v>0</v>
      </c>
    </row>
    <row r="3750" spans="1:7" ht="15.75" x14ac:dyDescent="0.25">
      <c r="A3750" s="15">
        <f>'PEDIDO 47'!$B$2</f>
        <v>0</v>
      </c>
      <c r="B3750" s="12" t="s">
        <v>419</v>
      </c>
      <c r="C3750" s="1">
        <f>IFERROR(VLOOKUP(2042,'PEDIDO 47'!$C$2:$E$230,3,0),0)</f>
        <v>0</v>
      </c>
      <c r="D3750" s="1">
        <f>IFERROR(VLOOKUP(2041,'PEDIDO 47'!$C$2:$E$230,3,0),0)</f>
        <v>0</v>
      </c>
      <c r="E3750" s="1">
        <f>IFERROR(VLOOKUP(2043,'PEDIDO 47'!$C$2:$E$230,3,0),0)</f>
        <v>0</v>
      </c>
      <c r="F3750" s="1">
        <f>IFERROR(VLOOKUP(2040,'PEDIDO 47'!$C$2:$E$230,3,0),0)</f>
        <v>0</v>
      </c>
      <c r="G3750" s="18">
        <f t="shared" si="115"/>
        <v>0</v>
      </c>
    </row>
    <row r="3751" spans="1:7" ht="15.75" x14ac:dyDescent="0.25">
      <c r="A3751" s="15">
        <f>'PEDIDO 47'!$B$2</f>
        <v>0</v>
      </c>
      <c r="B3751" s="12" t="s">
        <v>420</v>
      </c>
      <c r="C3751" s="1">
        <f>IFERROR(VLOOKUP(2045,'PEDIDO 47'!$C$2:$E$230,3,0),0)</f>
        <v>0</v>
      </c>
      <c r="D3751" s="1">
        <f>IFERROR(VLOOKUP(2046,'PEDIDO 47'!$C$2:$E$230,3,0),0)</f>
        <v>0</v>
      </c>
      <c r="E3751" s="1">
        <f>IFERROR(VLOOKUP(2047,'PEDIDO 47'!$C$2:$E$230,3,0),0)</f>
        <v>0</v>
      </c>
      <c r="F3751" s="1">
        <f>IFERROR(VLOOKUP(2048,'PEDIDO 47'!$C$2:$E$230,3,0),0)</f>
        <v>0</v>
      </c>
      <c r="G3751" s="18">
        <f t="shared" si="115"/>
        <v>0</v>
      </c>
    </row>
    <row r="3752" spans="1:7" ht="15.75" x14ac:dyDescent="0.25">
      <c r="A3752" s="15">
        <f>'PEDIDO 47'!$B$2</f>
        <v>0</v>
      </c>
      <c r="B3752" s="12" t="s">
        <v>421</v>
      </c>
      <c r="C3752" s="1">
        <f>IFERROR(VLOOKUP(2050,'PEDIDO 47'!$C$2:$E$230,3,0),0)</f>
        <v>0</v>
      </c>
      <c r="D3752" s="1">
        <f>IFERROR(VLOOKUP(2051,'PEDIDO 47'!$C$2:$E$230,3,0),0)</f>
        <v>0</v>
      </c>
      <c r="E3752" s="1">
        <f>IFERROR(VLOOKUP(2052,'PEDIDO 47'!$C$2:$E$230,3,0),0)</f>
        <v>0</v>
      </c>
      <c r="F3752" s="1">
        <f>IFERROR(VLOOKUP(2053,'PEDIDO 47'!$C$2:$E$230,3,0),0)</f>
        <v>0</v>
      </c>
      <c r="G3752" s="18">
        <f t="shared" si="115"/>
        <v>0</v>
      </c>
    </row>
    <row r="3753" spans="1:7" ht="15.75" x14ac:dyDescent="0.25">
      <c r="A3753" s="15">
        <f>'PEDIDO 47'!$B$2</f>
        <v>0</v>
      </c>
      <c r="B3753" s="12" t="s">
        <v>422</v>
      </c>
      <c r="C3753" s="1">
        <f>IFERROR(VLOOKUP(216,'PEDIDO 47'!$C$2:$E$230,3,0),0)</f>
        <v>0</v>
      </c>
      <c r="D3753" s="1">
        <f>IFERROR(VLOOKUP(217,'PEDIDO 47'!$C$2:$E$230,3,0),0)</f>
        <v>0</v>
      </c>
      <c r="E3753" s="1">
        <f>IFERROR(VLOOKUP(218,'PEDIDO 47'!$C$2:$E$230,3,0),0)</f>
        <v>0</v>
      </c>
      <c r="F3753" s="1">
        <f>IFERROR(VLOOKUP(305,'PEDIDO 47'!$C$2:$E$230,3,0),0)</f>
        <v>0</v>
      </c>
      <c r="G3753" s="18">
        <f t="shared" si="115"/>
        <v>0</v>
      </c>
    </row>
    <row r="3754" spans="1:7" ht="15.75" x14ac:dyDescent="0.25">
      <c r="A3754" s="15">
        <f>'PEDIDO 47'!$B$2</f>
        <v>0</v>
      </c>
      <c r="B3754" s="12" t="s">
        <v>423</v>
      </c>
      <c r="C3754" s="1">
        <f>IFERROR(VLOOKUP(100,'PEDIDO 47'!$C$2:$E$230,3,0),0)</f>
        <v>0</v>
      </c>
      <c r="D3754" s="1">
        <f>IFERROR(VLOOKUP(101,'PEDIDO 47'!$C$2:$E$230,3,0),0)</f>
        <v>0</v>
      </c>
      <c r="E3754" s="1">
        <f>IFERROR(VLOOKUP(102,'PEDIDO 47'!$C$2:$E$230,3,0),0)</f>
        <v>0</v>
      </c>
      <c r="F3754" s="1">
        <f>IFERROR(VLOOKUP(306,'PEDIDO 47'!$C$2:$E$230,3,0),0)</f>
        <v>0</v>
      </c>
      <c r="G3754" s="18">
        <f t="shared" si="115"/>
        <v>0</v>
      </c>
    </row>
    <row r="3755" spans="1:7" ht="15.75" x14ac:dyDescent="0.25">
      <c r="A3755" s="15">
        <f>'PEDIDO 47'!$B$2</f>
        <v>0</v>
      </c>
      <c r="B3755" s="12" t="s">
        <v>424</v>
      </c>
      <c r="C3755" s="1">
        <f>IFERROR(VLOOKUP(104,'PEDIDO 47'!$C$2:$E$230,3,0),0)</f>
        <v>0</v>
      </c>
      <c r="D3755" s="1">
        <f>IFERROR(VLOOKUP(105,'PEDIDO 47'!$C$2:$E$230,3,0),0)</f>
        <v>0</v>
      </c>
      <c r="E3755" s="1">
        <f>IFERROR(VLOOKUP(106,'PEDIDO 47'!$C$2:$E$230,3,0),0)</f>
        <v>0</v>
      </c>
      <c r="F3755" s="1">
        <f>IFERROR(VLOOKUP(307,'PEDIDO 47'!$C$2:$E$230,3,0),0)</f>
        <v>0</v>
      </c>
      <c r="G3755" s="18">
        <f t="shared" si="115"/>
        <v>0</v>
      </c>
    </row>
    <row r="3756" spans="1:7" ht="15.75" x14ac:dyDescent="0.25">
      <c r="A3756" s="15">
        <f>'PEDIDO 47'!$B$2</f>
        <v>0</v>
      </c>
      <c r="B3756" s="12" t="s">
        <v>425</v>
      </c>
      <c r="C3756" s="1">
        <f>IFERROR(VLOOKUP(400,'PEDIDO 47'!$C$2:$E$230,3,0),0)</f>
        <v>0</v>
      </c>
      <c r="D3756" s="1">
        <f>IFERROR(VLOOKUP(401,'PEDIDO 47'!$C$2:$E$230,3,0),0)</f>
        <v>0</v>
      </c>
      <c r="E3756" s="1">
        <f>IFERROR(VLOOKUP(402,'PEDIDO 47'!$C$2:$E$230,3,0),0)</f>
        <v>0</v>
      </c>
      <c r="F3756" s="1">
        <f>IFERROR(VLOOKUP(403,'PEDIDO 47'!$C$2:$E$230,3,0),0)</f>
        <v>0</v>
      </c>
      <c r="G3756" s="18">
        <f t="shared" si="115"/>
        <v>0</v>
      </c>
    </row>
    <row r="3757" spans="1:7" ht="15.75" x14ac:dyDescent="0.25">
      <c r="A3757" s="15">
        <f>'PEDIDO 47'!$B$2</f>
        <v>0</v>
      </c>
      <c r="B3757" s="12" t="s">
        <v>428</v>
      </c>
      <c r="C3757" s="1">
        <f>IFERROR(VLOOKUP(22,'PEDIDO 47'!$C$2:$E$230,3,0),0)</f>
        <v>0</v>
      </c>
      <c r="D3757" s="1"/>
      <c r="E3757" s="1"/>
      <c r="F3757" s="1"/>
      <c r="G3757" s="18">
        <f t="shared" si="115"/>
        <v>0</v>
      </c>
    </row>
    <row r="3758" spans="1:7" ht="15.75" x14ac:dyDescent="0.25">
      <c r="A3758" s="15">
        <f>'PEDIDO 47'!$B$2</f>
        <v>0</v>
      </c>
      <c r="B3758" s="12" t="s">
        <v>429</v>
      </c>
      <c r="C3758" s="1">
        <f>IFERROR(VLOOKUP(21,'PEDIDO 47'!$C$2:$E$230,3,0),0)</f>
        <v>0</v>
      </c>
      <c r="D3758" s="1"/>
      <c r="E3758" s="1"/>
      <c r="F3758" s="1"/>
      <c r="G3758" s="18">
        <f t="shared" si="115"/>
        <v>0</v>
      </c>
    </row>
    <row r="3759" spans="1:7" ht="15.75" x14ac:dyDescent="0.25">
      <c r="A3759" s="15">
        <f>'PEDIDO 47'!$B$2</f>
        <v>0</v>
      </c>
      <c r="B3759" s="12" t="s">
        <v>430</v>
      </c>
      <c r="C3759" s="1">
        <f>IFERROR(VLOOKUP(1125,'PEDIDO 47'!$C$2:$E$230,3,0),0)</f>
        <v>0</v>
      </c>
      <c r="D3759" s="1">
        <f>IFERROR(VLOOKUP(1126,'PEDIDO 47'!$C$2:$E$230,3,0),0)</f>
        <v>0</v>
      </c>
      <c r="E3759" s="1">
        <f>IFERROR(VLOOKUP(1127,'PEDIDO 47'!$C$2:$E$230,3,0),0)</f>
        <v>0</v>
      </c>
      <c r="F3759" s="1">
        <f>IFERROR(VLOOKUP(1128,'PEDIDO 47'!$C$2:$E$230,3,0),0)</f>
        <v>0</v>
      </c>
      <c r="G3759" s="18">
        <f t="shared" si="115"/>
        <v>0</v>
      </c>
    </row>
    <row r="3760" spans="1:7" ht="15.75" x14ac:dyDescent="0.25">
      <c r="A3760" s="15">
        <f>'PEDIDO 47'!$B$2</f>
        <v>0</v>
      </c>
      <c r="B3760" s="12" t="s">
        <v>431</v>
      </c>
      <c r="C3760" s="1">
        <f>IFERROR(VLOOKUP(1133,'PEDIDO 47'!$C$2:$E$230,3,0),0)</f>
        <v>0</v>
      </c>
      <c r="D3760" s="1">
        <f>IFERROR(VLOOKUP(1134,'PEDIDO 47'!$C$2:$E$230,3,0),0)</f>
        <v>0</v>
      </c>
      <c r="E3760" s="1">
        <f>IFERROR(VLOOKUP(1135,'PEDIDO 47'!$C$2:$E$230,3,0),0)</f>
        <v>0</v>
      </c>
      <c r="F3760" s="1">
        <f>IFERROR(VLOOKUP(1136,'PEDIDO 47'!$C$2:$E$230,3,0),0)</f>
        <v>0</v>
      </c>
      <c r="G3760" s="18">
        <f t="shared" si="115"/>
        <v>0</v>
      </c>
    </row>
    <row r="3761" spans="1:7" ht="15.75" x14ac:dyDescent="0.25">
      <c r="A3761" s="15">
        <f>'PEDIDO 47'!$B$2</f>
        <v>0</v>
      </c>
      <c r="B3761" s="12" t="s">
        <v>432</v>
      </c>
      <c r="C3761" s="1">
        <f>IFERROR(VLOOKUP(1105,'PEDIDO 47'!$C$2:$E$230,3,0),0)</f>
        <v>0</v>
      </c>
      <c r="D3761" s="1">
        <f>IFERROR(VLOOKUP(1106,'PEDIDO 47'!$C$2:$E$230,3,0),0)</f>
        <v>0</v>
      </c>
      <c r="E3761" s="1">
        <f>IFERROR(VLOOKUP(1107,'PEDIDO 47'!$C$2:$E$230,3,0),0)</f>
        <v>0</v>
      </c>
      <c r="F3761" s="1">
        <f>IFERROR(VLOOKUP(1108,'PEDIDO 47'!$C$2:$E$230,3,0),0)</f>
        <v>0</v>
      </c>
      <c r="G3761" s="18">
        <f t="shared" si="115"/>
        <v>0</v>
      </c>
    </row>
    <row r="3762" spans="1:7" ht="15.75" x14ac:dyDescent="0.25">
      <c r="A3762" s="15">
        <f>'PEDIDO 47'!$B$2</f>
        <v>0</v>
      </c>
      <c r="B3762" s="12" t="s">
        <v>433</v>
      </c>
      <c r="C3762" s="1">
        <f>IFERROR(VLOOKUP(1109,'PEDIDO 47'!$C$2:$E$230,3,0),0)</f>
        <v>0</v>
      </c>
      <c r="D3762" s="1">
        <f>IFERROR(VLOOKUP(1110,'PEDIDO 47'!$C$2:$E$230,3,0),0)</f>
        <v>0</v>
      </c>
      <c r="E3762" s="1">
        <f>IFERROR(VLOOKUP(1111,'PEDIDO 47'!$C$2:$E$230,3,0),0)</f>
        <v>0</v>
      </c>
      <c r="F3762" s="1">
        <f>IFERROR(VLOOKUP(1112,'PEDIDO 47'!$C$2:$E$230,3,0),0)</f>
        <v>0</v>
      </c>
      <c r="G3762" s="18">
        <f t="shared" si="115"/>
        <v>0</v>
      </c>
    </row>
    <row r="3763" spans="1:7" ht="15.75" x14ac:dyDescent="0.25">
      <c r="A3763" s="15">
        <f>'PEDIDO 47'!$B$2</f>
        <v>0</v>
      </c>
      <c r="B3763" s="12" t="s">
        <v>434</v>
      </c>
      <c r="C3763" s="1">
        <f>IFERROR(VLOOKUP(1113,'PEDIDO 47'!$C$2:$E$230,3,0),0)</f>
        <v>0</v>
      </c>
      <c r="D3763" s="1">
        <f>IFERROR(VLOOKUP(1114,'PEDIDO 47'!$C$2:$E$230,3,0),0)</f>
        <v>0</v>
      </c>
      <c r="E3763" s="1">
        <f>IFERROR(VLOOKUP(1115,'PEDIDO 47'!$C$2:$E$230,3,0),0)</f>
        <v>0</v>
      </c>
      <c r="F3763" s="1">
        <f>IFERROR(VLOOKUP(1116,'PEDIDO 47'!$C$2:$E$230,3,0),0)</f>
        <v>0</v>
      </c>
      <c r="G3763" s="18">
        <f t="shared" si="115"/>
        <v>0</v>
      </c>
    </row>
    <row r="3764" spans="1:7" ht="15.75" x14ac:dyDescent="0.25">
      <c r="A3764" s="15">
        <f>'PEDIDO 47'!$B$2</f>
        <v>0</v>
      </c>
      <c r="B3764" s="12" t="s">
        <v>435</v>
      </c>
      <c r="C3764" s="1">
        <f>IFERROR(VLOOKUP(1117,'PEDIDO 47'!$C$2:$E$230,3,0),0)</f>
        <v>0</v>
      </c>
      <c r="D3764" s="1">
        <f>IFERROR(VLOOKUP(1118,'PEDIDO 47'!$C$2:$E$230,3,0),0)</f>
        <v>0</v>
      </c>
      <c r="E3764" s="1">
        <f>IFERROR(VLOOKUP(1119,'PEDIDO 47'!$C$2:$E$230,3,0),0)</f>
        <v>0</v>
      </c>
      <c r="F3764" s="1">
        <f>IFERROR(VLOOKUP(1120,'PEDIDO 47'!$C$2:$E$230,3,0),0)</f>
        <v>0</v>
      </c>
      <c r="G3764" s="18">
        <f t="shared" si="115"/>
        <v>0</v>
      </c>
    </row>
    <row r="3765" spans="1:7" ht="15.75" x14ac:dyDescent="0.25">
      <c r="A3765" s="15">
        <f>'PEDIDO 47'!$B$2</f>
        <v>0</v>
      </c>
      <c r="B3765" s="12" t="s">
        <v>436</v>
      </c>
      <c r="C3765" s="1">
        <f>IFERROR(VLOOKUP(1121,'PEDIDO 47'!$C$2:$E$230,3,0),0)</f>
        <v>0</v>
      </c>
      <c r="D3765" s="1">
        <f>IFERROR(VLOOKUP(1122,'PEDIDO 47'!$C$2:$E$230,3,0),0)</f>
        <v>0</v>
      </c>
      <c r="E3765" s="1">
        <f>IFERROR(VLOOKUP(1123,'PEDIDO 47'!$C$2:$E$230,3,0),0)</f>
        <v>0</v>
      </c>
      <c r="F3765" s="1">
        <f>IFERROR(VLOOKUP(1124,'PEDIDO 47'!$C$2:$E$230,3,0),0)</f>
        <v>0</v>
      </c>
      <c r="G3765" s="18">
        <f t="shared" si="115"/>
        <v>0</v>
      </c>
    </row>
    <row r="3766" spans="1:7" ht="15.75" x14ac:dyDescent="0.25">
      <c r="A3766" s="15">
        <f>'PEDIDO 47'!$B$2</f>
        <v>0</v>
      </c>
      <c r="B3766" s="12" t="s">
        <v>437</v>
      </c>
      <c r="C3766" s="1">
        <f>IFERROR(VLOOKUP(1129,'PEDIDO 47'!$C$2:$E$230,3,0),0)</f>
        <v>0</v>
      </c>
      <c r="D3766" s="1">
        <f>IFERROR(VLOOKUP(1130,'PEDIDO 47'!$C$2:$E$230,3,0),0)</f>
        <v>0</v>
      </c>
      <c r="E3766" s="1">
        <f>IFERROR(VLOOKUP(1131,'PEDIDO 47'!$C$2:$E$230,3,0),0)</f>
        <v>0</v>
      </c>
      <c r="F3766" s="1">
        <f>IFERROR(VLOOKUP(1132,'PEDIDO 47'!$C$2:$E$230,3,0),0)</f>
        <v>0</v>
      </c>
      <c r="G3766" s="18">
        <f t="shared" si="115"/>
        <v>0</v>
      </c>
    </row>
    <row r="3767" spans="1:7" ht="15.75" x14ac:dyDescent="0.25">
      <c r="A3767" s="15">
        <f>'PEDIDO 47'!$B$2</f>
        <v>0</v>
      </c>
      <c r="B3767" s="12" t="s">
        <v>438</v>
      </c>
      <c r="C3767" s="1">
        <f>IFERROR(VLOOKUP(1137,'PEDIDO 47'!$C$2:$E$230,3,0),0)</f>
        <v>0</v>
      </c>
      <c r="D3767" s="1">
        <f>IFERROR(VLOOKUP(1138,'PEDIDO 47'!$C$2:$E$230,3,0),0)</f>
        <v>0</v>
      </c>
      <c r="E3767" s="1">
        <f>IFERROR(VLOOKUP(1139,'PEDIDO 47'!$C$2:$E$230,3,0),0)</f>
        <v>0</v>
      </c>
      <c r="F3767" s="1">
        <f>IFERROR(VLOOKUP(1140,'PEDIDO 47'!$C$2:$E$230,3,0),0)</f>
        <v>0</v>
      </c>
      <c r="G3767" s="18">
        <f t="shared" si="115"/>
        <v>0</v>
      </c>
    </row>
    <row r="3768" spans="1:7" ht="15.75" x14ac:dyDescent="0.25">
      <c r="A3768" s="15">
        <f>'PEDIDO 47'!$B$2</f>
        <v>0</v>
      </c>
      <c r="B3768" s="12" t="s">
        <v>439</v>
      </c>
      <c r="C3768" s="1">
        <f>IFERROR(VLOOKUP(1141,'PEDIDO 47'!$C$2:$E$230,3,0),0)</f>
        <v>0</v>
      </c>
      <c r="D3768" s="1">
        <f>IFERROR(VLOOKUP(1142,'PEDIDO 47'!$C$2:$E$230,3,0),0)</f>
        <v>0</v>
      </c>
      <c r="E3768" s="1">
        <f>IFERROR(VLOOKUP(1143,'PEDIDO 47'!$C$2:$E$230,3,0),0)</f>
        <v>0</v>
      </c>
      <c r="F3768" s="1">
        <f>IFERROR(VLOOKUP(1144,'PEDIDO 47'!$C$2:$E$230,3,0),0)</f>
        <v>0</v>
      </c>
      <c r="G3768" s="18">
        <f t="shared" si="115"/>
        <v>0</v>
      </c>
    </row>
    <row r="3769" spans="1:7" ht="15.75" x14ac:dyDescent="0.25">
      <c r="A3769" s="15">
        <f>'PEDIDO 47'!$B$2</f>
        <v>0</v>
      </c>
      <c r="B3769" s="12" t="s">
        <v>440</v>
      </c>
      <c r="C3769" s="1">
        <f>IFERROR(VLOOKUP(1145,'PEDIDO 47'!$C$2:$E$230,3,0),0)</f>
        <v>0</v>
      </c>
      <c r="D3769" s="1">
        <f>IFERROR(VLOOKUP(1146,'PEDIDO 47'!$C$2:$E$230,3,0),0)</f>
        <v>0</v>
      </c>
      <c r="E3769" s="1">
        <f>IFERROR(VLOOKUP(1147,'PEDIDO 47'!$C$2:$E$230,3,0),0)</f>
        <v>0</v>
      </c>
      <c r="F3769" s="1">
        <f>IFERROR(VLOOKUP(1148,'PEDIDO 47'!$C$2:$E$230,3,0),0)</f>
        <v>0</v>
      </c>
      <c r="G3769" s="18">
        <f t="shared" si="115"/>
        <v>0</v>
      </c>
    </row>
    <row r="3770" spans="1:7" ht="15.75" x14ac:dyDescent="0.25">
      <c r="A3770" s="15">
        <f>'PEDIDO 47'!$B$2</f>
        <v>0</v>
      </c>
      <c r="B3770" s="12" t="s">
        <v>441</v>
      </c>
      <c r="C3770" s="1">
        <f>IFERROR(VLOOKUP(1149,'PEDIDO 47'!$C$2:$E$230,3,0),0)</f>
        <v>0</v>
      </c>
      <c r="D3770" s="1">
        <f>IFERROR(VLOOKUP(1150,'PEDIDO 47'!$C$2:$E$230,3,0),0)</f>
        <v>0</v>
      </c>
      <c r="E3770" s="1">
        <f>IFERROR(VLOOKUP(1151,'PEDIDO 47'!$C$2:$E$230,3,0),0)</f>
        <v>0</v>
      </c>
      <c r="F3770" s="1">
        <f>IFERROR(VLOOKUP(1152,'PEDIDO 47'!$C$2:$E$230,3,0),0)</f>
        <v>0</v>
      </c>
      <c r="G3770" s="18">
        <f t="shared" si="115"/>
        <v>0</v>
      </c>
    </row>
    <row r="3771" spans="1:7" ht="15.75" x14ac:dyDescent="0.25">
      <c r="A3771" s="15">
        <f>'PEDIDO 47'!$B$2</f>
        <v>0</v>
      </c>
      <c r="B3771" s="12" t="s">
        <v>442</v>
      </c>
      <c r="C3771" s="1">
        <f>IFERROR(VLOOKUP(1153,'PEDIDO 47'!$C$2:$E$230,3,0),0)</f>
        <v>0</v>
      </c>
      <c r="D3771" s="1">
        <f>IFERROR(VLOOKUP(1154,'PEDIDO 47'!$C$2:$E$230,3,0),0)</f>
        <v>0</v>
      </c>
      <c r="E3771" s="1">
        <f>IFERROR(VLOOKUP(1155,'PEDIDO 47'!$C$2:$E$230,3,0),0)</f>
        <v>0</v>
      </c>
      <c r="F3771" s="1">
        <f>IFERROR(VLOOKUP(1156,'PEDIDO 47'!$C$2:$E$230,3,0),0)</f>
        <v>0</v>
      </c>
      <c r="G3771" s="18">
        <f t="shared" si="115"/>
        <v>0</v>
      </c>
    </row>
    <row r="3772" spans="1:7" ht="15.75" x14ac:dyDescent="0.25">
      <c r="A3772" s="15">
        <f>'PEDIDO 47'!$B$2</f>
        <v>0</v>
      </c>
      <c r="B3772" s="12" t="s">
        <v>443</v>
      </c>
      <c r="C3772" s="1">
        <f>IFERROR(VLOOKUP(1157,'PEDIDO 47'!$C$2:$E$230,3,0),0)</f>
        <v>0</v>
      </c>
      <c r="D3772" s="1">
        <f>IFERROR(VLOOKUP(1158,'PEDIDO 47'!$C$2:$E$230,3,0),0)</f>
        <v>0</v>
      </c>
      <c r="E3772" s="1">
        <f>IFERROR(VLOOKUP(1159,'PEDIDO 47'!$C$2:$E$230,3,0),0)</f>
        <v>0</v>
      </c>
      <c r="F3772" s="1">
        <f>IFERROR(VLOOKUP(1160,'PEDIDO 47'!$C$2:$E$230,3,0),0)</f>
        <v>0</v>
      </c>
      <c r="G3772" s="18">
        <f t="shared" si="115"/>
        <v>0</v>
      </c>
    </row>
    <row r="3773" spans="1:7" ht="15.75" x14ac:dyDescent="0.25">
      <c r="A3773" s="15">
        <f>'PEDIDO 47'!$B$2</f>
        <v>0</v>
      </c>
      <c r="B3773" s="12" t="s">
        <v>444</v>
      </c>
      <c r="C3773" s="1">
        <f>IFERROR(VLOOKUP(1161,'PEDIDO 47'!$C$2:$E$230,3,0),0)</f>
        <v>0</v>
      </c>
      <c r="D3773" s="1">
        <f>IFERROR(VLOOKUP(1162,'PEDIDO 47'!$C$2:$E$230,3,0),0)</f>
        <v>0</v>
      </c>
      <c r="E3773" s="1">
        <f>IFERROR(VLOOKUP(1163,'PEDIDO 47'!$C$2:$E$230,3,0),0)</f>
        <v>0</v>
      </c>
      <c r="F3773" s="1">
        <f>IFERROR(VLOOKUP(1164,'PEDIDO 47'!$C$2:$E$230,3,0),0)</f>
        <v>0</v>
      </c>
      <c r="G3773" s="18">
        <f t="shared" si="115"/>
        <v>0</v>
      </c>
    </row>
    <row r="3774" spans="1:7" ht="15.75" x14ac:dyDescent="0.25">
      <c r="A3774" s="15">
        <f>'PEDIDO 47'!$B$2</f>
        <v>0</v>
      </c>
      <c r="B3774" s="12" t="s">
        <v>445</v>
      </c>
      <c r="C3774" s="1">
        <f>IFERROR(VLOOKUP(1165,'PEDIDO 47'!$C$2:$E$230,3,0),0)</f>
        <v>0</v>
      </c>
      <c r="D3774" s="1">
        <f>IFERROR(VLOOKUP(1166,'PEDIDO 47'!$C$2:$E$230,3,0),0)</f>
        <v>0</v>
      </c>
      <c r="E3774" s="1">
        <f>IFERROR(VLOOKUP(1167,'PEDIDO 47'!$C$2:$E$230,3,0),0)</f>
        <v>0</v>
      </c>
      <c r="F3774" s="1">
        <f>IFERROR(VLOOKUP(1168,'PEDIDO 47'!$C$2:$E$230,3,0),0)</f>
        <v>0</v>
      </c>
      <c r="G3774" s="18">
        <f t="shared" si="115"/>
        <v>0</v>
      </c>
    </row>
    <row r="3775" spans="1:7" ht="15.75" x14ac:dyDescent="0.25">
      <c r="A3775" s="15">
        <f>'PEDIDO 47'!$B$2</f>
        <v>0</v>
      </c>
      <c r="B3775" s="12" t="s">
        <v>446</v>
      </c>
      <c r="C3775" s="1">
        <f>IFERROR(VLOOKUP(1169,'PEDIDO 47'!$C$2:$E$230,3,0),0)</f>
        <v>0</v>
      </c>
      <c r="D3775" s="1">
        <f>IFERROR(VLOOKUP(1170,'PEDIDO 47'!$C$2:$E$230,3,0),0)</f>
        <v>0</v>
      </c>
      <c r="E3775" s="1">
        <f>IFERROR(VLOOKUP(1171,'PEDIDO 47'!$C$2:$E$230,3,0),0)</f>
        <v>0</v>
      </c>
      <c r="F3775" s="1">
        <f>IFERROR(VLOOKUP(1172,'PEDIDO 47'!$C$2:$E$230,3,0),0)</f>
        <v>0</v>
      </c>
      <c r="G3775" s="18">
        <f t="shared" si="115"/>
        <v>0</v>
      </c>
    </row>
    <row r="3776" spans="1:7" ht="15.75" x14ac:dyDescent="0.25">
      <c r="A3776" s="15">
        <f>'PEDIDO 47'!$B$2</f>
        <v>0</v>
      </c>
      <c r="B3776" s="12" t="s">
        <v>447</v>
      </c>
      <c r="C3776" s="1">
        <f>IFERROR(VLOOKUP(1173,'PEDIDO 47'!$C$2:$E$230,3,0),0)</f>
        <v>0</v>
      </c>
      <c r="D3776" s="1">
        <f>IFERROR(VLOOKUP(1174,'PEDIDO 47'!$C$2:$E$230,3,0),0)</f>
        <v>0</v>
      </c>
      <c r="E3776" s="1">
        <f>IFERROR(VLOOKUP(1175,'PEDIDO 47'!$C$2:$E$230,3,0),0)</f>
        <v>0</v>
      </c>
      <c r="F3776" s="1">
        <f>IFERROR(VLOOKUP(1176,'PEDIDO 47'!$C$2:$E$230,3,0),0)</f>
        <v>0</v>
      </c>
      <c r="G3776" s="18">
        <f t="shared" si="115"/>
        <v>0</v>
      </c>
    </row>
    <row r="3777" spans="1:7" ht="15.75" x14ac:dyDescent="0.25">
      <c r="A3777" s="15">
        <f>'PEDIDO 47'!$B$2</f>
        <v>0</v>
      </c>
      <c r="B3777" s="12" t="s">
        <v>448</v>
      </c>
      <c r="C3777" s="1">
        <f>IFERROR(VLOOKUP(1249,'PEDIDO 47'!$C$2:$E$230,3,0),0)</f>
        <v>0</v>
      </c>
      <c r="D3777" s="1">
        <f>IFERROR(VLOOKUP(1250,'PEDIDO 47'!$C$2:$E$230,3,0),0)</f>
        <v>0</v>
      </c>
      <c r="E3777" s="1">
        <f>IFERROR(VLOOKUP(1251,'PEDIDO 47'!$C$2:$E$230,3,0),0)</f>
        <v>0</v>
      </c>
      <c r="F3777" s="1">
        <f>IFERROR(VLOOKUP(1252,'PEDIDO 47'!$C$2:$E$230,3,0),0)</f>
        <v>0</v>
      </c>
      <c r="G3777" s="18">
        <f t="shared" si="115"/>
        <v>0</v>
      </c>
    </row>
    <row r="3778" spans="1:7" ht="15.75" x14ac:dyDescent="0.25">
      <c r="A3778" s="15">
        <f>'PEDIDO 47'!$B$2</f>
        <v>0</v>
      </c>
      <c r="B3778" s="12" t="s">
        <v>449</v>
      </c>
      <c r="C3778" s="1">
        <f>IFERROR(VLOOKUP(1177,'PEDIDO 47'!$C$2:$E$230,3,0),0)</f>
        <v>0</v>
      </c>
      <c r="D3778" s="1">
        <f>IFERROR(VLOOKUP(1178,'PEDIDO 47'!$C$2:$E$230,3,0),0)</f>
        <v>0</v>
      </c>
      <c r="E3778" s="1">
        <f>IFERROR(VLOOKUP(1179,'PEDIDO 47'!$C$2:$E$230,3,0),0)</f>
        <v>0</v>
      </c>
      <c r="F3778" s="1">
        <f>IFERROR(VLOOKUP(1180,'PEDIDO 47'!$C$2:$E$230,3,0),0)</f>
        <v>0</v>
      </c>
      <c r="G3778" s="18">
        <f t="shared" si="115"/>
        <v>0</v>
      </c>
    </row>
    <row r="3779" spans="1:7" ht="15.75" x14ac:dyDescent="0.25">
      <c r="A3779" s="15">
        <f>'PEDIDO 47'!$B$2</f>
        <v>0</v>
      </c>
      <c r="B3779" s="12" t="s">
        <v>450</v>
      </c>
      <c r="C3779" s="1">
        <f>IFERROR(VLOOKUP(1181,'PEDIDO 47'!$C$2:$E$230,3,0),0)</f>
        <v>0</v>
      </c>
      <c r="D3779" s="1">
        <f>IFERROR(VLOOKUP(1182,'PEDIDO 47'!$C$2:$E$230,3,0),0)</f>
        <v>0</v>
      </c>
      <c r="E3779" s="1">
        <f>IFERROR(VLOOKUP(1183,'PEDIDO 47'!$C$2:$E$230,3,0),0)</f>
        <v>0</v>
      </c>
      <c r="F3779" s="1">
        <f>IFERROR(VLOOKUP(1184,'PEDIDO 47'!$C$2:$E$230,3,0),0)</f>
        <v>0</v>
      </c>
      <c r="G3779" s="18">
        <f t="shared" si="115"/>
        <v>0</v>
      </c>
    </row>
    <row r="3780" spans="1:7" ht="15.75" x14ac:dyDescent="0.25">
      <c r="A3780" s="15">
        <f>'PEDIDO 47'!$B$2</f>
        <v>0</v>
      </c>
      <c r="B3780" s="12" t="s">
        <v>451</v>
      </c>
      <c r="C3780" s="1">
        <f>IFERROR(VLOOKUP(1185,'PEDIDO 47'!$C$2:$E$230,3,0),0)</f>
        <v>0</v>
      </c>
      <c r="D3780" s="1">
        <f>IFERROR(VLOOKUP(1186,'PEDIDO 47'!$C$2:$E$230,3,0),0)</f>
        <v>0</v>
      </c>
      <c r="E3780" s="1">
        <f>IFERROR(VLOOKUP(1187,'PEDIDO 47'!$C$2:$E$230,3,0),0)</f>
        <v>0</v>
      </c>
      <c r="F3780" s="1">
        <f>IFERROR(VLOOKUP(1188,'PEDIDO 47'!$C$2:$E$230,3,0),0)</f>
        <v>0</v>
      </c>
      <c r="G3780" s="18">
        <f t="shared" si="115"/>
        <v>0</v>
      </c>
    </row>
    <row r="3781" spans="1:7" ht="15.75" x14ac:dyDescent="0.25">
      <c r="A3781" s="15">
        <f>'PEDIDO 47'!$B$2</f>
        <v>0</v>
      </c>
      <c r="B3781" s="12" t="s">
        <v>452</v>
      </c>
      <c r="C3781" s="1">
        <f>IFERROR(VLOOKUP(1189,'PEDIDO 47'!$C$2:$E$230,3,0),0)</f>
        <v>0</v>
      </c>
      <c r="D3781" s="1">
        <f>IFERROR(VLOOKUP(1190,'PEDIDO 47'!$C$2:$E$230,3,0),0)</f>
        <v>0</v>
      </c>
      <c r="E3781" s="1">
        <f>IFERROR(VLOOKUP(1191,'PEDIDO 47'!$C$2:$E$230,3,0),0)</f>
        <v>0</v>
      </c>
      <c r="F3781" s="1">
        <f>IFERROR(VLOOKUP(1192,'PEDIDO 47'!$C$2:$E$230,3,0),0)</f>
        <v>0</v>
      </c>
      <c r="G3781" s="18">
        <f t="shared" si="115"/>
        <v>0</v>
      </c>
    </row>
    <row r="3782" spans="1:7" ht="15.75" x14ac:dyDescent="0.25">
      <c r="A3782" s="15">
        <f>'PEDIDO 47'!$B$2</f>
        <v>0</v>
      </c>
      <c r="B3782" s="12" t="s">
        <v>453</v>
      </c>
      <c r="C3782" s="1">
        <f>IFERROR(VLOOKUP(1193,'PEDIDO 47'!$C$2:$E$230,3,0),0)</f>
        <v>0</v>
      </c>
      <c r="D3782" s="1">
        <f>IFERROR(VLOOKUP(1194,'PEDIDO 47'!$C$2:$E$230,3,0),0)</f>
        <v>0</v>
      </c>
      <c r="E3782" s="1">
        <f>IFERROR(VLOOKUP(1195,'PEDIDO 47'!$C$2:$E$230,3,0),0)</f>
        <v>0</v>
      </c>
      <c r="F3782" s="1">
        <f>IFERROR(VLOOKUP(1196,'PEDIDO 47'!$C$2:$E$230,3,0),0)</f>
        <v>0</v>
      </c>
      <c r="G3782" s="18">
        <f t="shared" si="115"/>
        <v>0</v>
      </c>
    </row>
    <row r="3783" spans="1:7" ht="15.75" x14ac:dyDescent="0.25">
      <c r="A3783" s="15">
        <f>'PEDIDO 47'!$B$2</f>
        <v>0</v>
      </c>
      <c r="B3783" s="12" t="s">
        <v>454</v>
      </c>
      <c r="C3783" s="1">
        <f>IFERROR(VLOOKUP(1197,'PEDIDO 47'!$C$2:$E$230,3,0),0)</f>
        <v>0</v>
      </c>
      <c r="D3783" s="1">
        <f>IFERROR(VLOOKUP(1198,'PEDIDO 47'!$C$2:$E$230,3,0),0)</f>
        <v>0</v>
      </c>
      <c r="E3783" s="1">
        <f>IFERROR(VLOOKUP(1199,'PEDIDO 47'!$C$2:$E$230,3,0),0)</f>
        <v>0</v>
      </c>
      <c r="F3783" s="1">
        <f>IFERROR(VLOOKUP(1200,'PEDIDO 47'!$C$2:$E$230,3,0),0)</f>
        <v>0</v>
      </c>
      <c r="G3783" s="18">
        <f t="shared" si="115"/>
        <v>0</v>
      </c>
    </row>
    <row r="3784" spans="1:7" ht="15.75" x14ac:dyDescent="0.25">
      <c r="A3784" s="15">
        <f>'PEDIDO 47'!$B$2</f>
        <v>0</v>
      </c>
      <c r="B3784" s="12" t="s">
        <v>455</v>
      </c>
      <c r="C3784" s="1">
        <f>IFERROR(VLOOKUP(1201,'PEDIDO 47'!$C$2:$E$230,3,0),0)</f>
        <v>0</v>
      </c>
      <c r="D3784" s="1">
        <f>IFERROR(VLOOKUP(1202,'PEDIDO 47'!$C$2:$E$230,3,0),0)</f>
        <v>0</v>
      </c>
      <c r="E3784" s="1">
        <f>IFERROR(VLOOKUP(1203,'PEDIDO 47'!$C$2:$E$230,3,0),0)</f>
        <v>0</v>
      </c>
      <c r="F3784" s="1">
        <f>IFERROR(VLOOKUP(1204,'PEDIDO 47'!$C$2:$E$230,3,0),0)</f>
        <v>0</v>
      </c>
      <c r="G3784" s="18">
        <f t="shared" si="115"/>
        <v>0</v>
      </c>
    </row>
    <row r="3785" spans="1:7" ht="15.75" x14ac:dyDescent="0.25">
      <c r="A3785" s="15">
        <f>'PEDIDO 47'!$B$2</f>
        <v>0</v>
      </c>
      <c r="B3785" s="12" t="s">
        <v>456</v>
      </c>
      <c r="C3785" s="1">
        <f>IFERROR(VLOOKUP(1205,'PEDIDO 47'!$C$2:$E$230,3,0),0)</f>
        <v>0</v>
      </c>
      <c r="D3785" s="1">
        <f>IFERROR(VLOOKUP(1206,'PEDIDO 47'!$C$2:$E$230,3,0),0)</f>
        <v>0</v>
      </c>
      <c r="E3785" s="1">
        <f>IFERROR(VLOOKUP(1207,'PEDIDO 47'!$C$2:$E$230,3,0),0)</f>
        <v>0</v>
      </c>
      <c r="F3785" s="1">
        <f>IFERROR(VLOOKUP(1208,'PEDIDO 47'!$C$2:$E$230,3,0),0)</f>
        <v>0</v>
      </c>
      <c r="G3785" s="18">
        <f t="shared" si="115"/>
        <v>0</v>
      </c>
    </row>
    <row r="3786" spans="1:7" ht="15.75" x14ac:dyDescent="0.25">
      <c r="A3786" s="15">
        <f>'PEDIDO 47'!$B$2</f>
        <v>0</v>
      </c>
      <c r="B3786" s="12" t="s">
        <v>457</v>
      </c>
      <c r="C3786" s="1">
        <f>IFERROR(VLOOKUP(1213,'PEDIDO 47'!$C$2:$E$230,3,0),0)</f>
        <v>0</v>
      </c>
      <c r="D3786" s="1">
        <f>IFERROR(VLOOKUP(1214,'PEDIDO 47'!$C$2:$E$230,3,0),0)</f>
        <v>0</v>
      </c>
      <c r="E3786" s="1">
        <f>IFERROR(VLOOKUP(1215,'PEDIDO 47'!$C$2:$E$230,3,0),0)</f>
        <v>0</v>
      </c>
      <c r="F3786" s="10">
        <f>IFERROR(VLOOKUP(1216,'PEDIDO 47'!$C$2:$E$230,3,0),0)</f>
        <v>0</v>
      </c>
      <c r="G3786" s="18">
        <f t="shared" si="115"/>
        <v>0</v>
      </c>
    </row>
    <row r="3787" spans="1:7" ht="15.75" x14ac:dyDescent="0.25">
      <c r="A3787" s="15">
        <f>'PEDIDO 47'!$B$2</f>
        <v>0</v>
      </c>
      <c r="B3787" s="12" t="s">
        <v>458</v>
      </c>
      <c r="C3787" s="1">
        <f>IFERROR(VLOOKUP(1209,'PEDIDO 47'!$C$2:$E$230,3,0),0)</f>
        <v>0</v>
      </c>
      <c r="D3787" s="1">
        <f>IFERROR(VLOOKUP(1210,'PEDIDO 47'!$C$2:$E$230,3,0),0)</f>
        <v>0</v>
      </c>
      <c r="E3787" s="1">
        <f>IFERROR(VLOOKUP(1211,'PEDIDO 47'!$C$2:$E$230,3,0),0)</f>
        <v>0</v>
      </c>
      <c r="F3787" s="1">
        <f>IFERROR(VLOOKUP(1212,'PEDIDO 47'!$C$2:$E$230,3,0),0)</f>
        <v>0</v>
      </c>
      <c r="G3787" s="18">
        <f t="shared" si="115"/>
        <v>0</v>
      </c>
    </row>
    <row r="3788" spans="1:7" ht="15.75" x14ac:dyDescent="0.25">
      <c r="A3788" s="15">
        <f>'PEDIDO 47'!$B$2</f>
        <v>0</v>
      </c>
      <c r="B3788" s="12" t="s">
        <v>459</v>
      </c>
      <c r="C3788" s="1">
        <f>IFERROR(VLOOKUP(1217,'PEDIDO 47'!$C$2:$E$230,3,0),0)</f>
        <v>0</v>
      </c>
      <c r="D3788" s="1">
        <f>IFERROR(VLOOKUP(1218,'PEDIDO 47'!$C$2:$E$230,3,0),0)</f>
        <v>0</v>
      </c>
      <c r="E3788" s="1">
        <f>IFERROR(VLOOKUP(1219,'PEDIDO 47'!$C$2:$E$230,3,0),0)</f>
        <v>0</v>
      </c>
      <c r="F3788" s="1">
        <f>IFERROR(VLOOKUP(1220,'PEDIDO 47'!$C$2:$E$230,3,0),0)</f>
        <v>0</v>
      </c>
      <c r="G3788" s="18">
        <f t="shared" si="115"/>
        <v>0</v>
      </c>
    </row>
    <row r="3789" spans="1:7" ht="15.75" x14ac:dyDescent="0.25">
      <c r="A3789" s="15">
        <f>'PEDIDO 47'!$B$2</f>
        <v>0</v>
      </c>
      <c r="B3789" s="12" t="s">
        <v>461</v>
      </c>
      <c r="C3789" s="1">
        <f>IFERROR(VLOOKUP(1225,'PEDIDO 47'!$C$2:$E$230,3,0),0)</f>
        <v>0</v>
      </c>
      <c r="D3789" s="1">
        <f>IFERROR(VLOOKUP(1226,'PEDIDO 47'!$C$2:$E$230,3,0),0)</f>
        <v>0</v>
      </c>
      <c r="E3789" s="1">
        <f>IFERROR(VLOOKUP(1227,'PEDIDO 47'!$C$2:$E$230,3,0),0)</f>
        <v>0</v>
      </c>
      <c r="F3789" s="1">
        <f>IFERROR(VLOOKUP(1228,'PEDIDO 47'!$C$2:$E$230,3,0),0)</f>
        <v>0</v>
      </c>
      <c r="G3789" s="18">
        <f t="shared" si="115"/>
        <v>0</v>
      </c>
    </row>
    <row r="3790" spans="1:7" ht="15.75" x14ac:dyDescent="0.25">
      <c r="A3790" s="15">
        <f>'PEDIDO 47'!$B$2</f>
        <v>0</v>
      </c>
      <c r="B3790" s="12" t="s">
        <v>462</v>
      </c>
      <c r="C3790" s="1">
        <f>IFERROR(VLOOKUP(1221,'PEDIDO 47'!$C$2:$E$230,3,0),0)</f>
        <v>0</v>
      </c>
      <c r="D3790" s="1">
        <f>IFERROR(VLOOKUP(1222,'PEDIDO 47'!$C$2:$E$230,3,0),0)</f>
        <v>0</v>
      </c>
      <c r="E3790" s="1">
        <f>IFERROR(VLOOKUP(1223,'PEDIDO 47'!$C$2:$E$230,3,0),0)</f>
        <v>0</v>
      </c>
      <c r="F3790" s="1">
        <f>IFERROR(VLOOKUP(1224,'PEDIDO 47'!$C$2:$E$230,3,0),0)</f>
        <v>0</v>
      </c>
      <c r="G3790" s="18">
        <f t="shared" si="115"/>
        <v>0</v>
      </c>
    </row>
    <row r="3791" spans="1:7" ht="15.75" x14ac:dyDescent="0.25">
      <c r="A3791" s="15">
        <f>'PEDIDO 47'!$B$2</f>
        <v>0</v>
      </c>
      <c r="B3791" s="12" t="s">
        <v>460</v>
      </c>
      <c r="C3791" s="1">
        <f>IFERROR(VLOOKUP(1229,'PEDIDO 47'!$C$2:$E$230,3,0),0)</f>
        <v>0</v>
      </c>
      <c r="D3791" s="1">
        <f>IFERROR(VLOOKUP(1230,'PEDIDO 47'!$C$2:$E$230,3,0),0)</f>
        <v>0</v>
      </c>
      <c r="E3791" s="1">
        <f>IFERROR(VLOOKUP(1231,'PEDIDO 47'!$C$2:$E$230,3,0),0)</f>
        <v>0</v>
      </c>
      <c r="F3791" s="1">
        <f>IFERROR(VLOOKUP(1232,'PEDIDO 47'!$C$2:$E$230,3,0),0)</f>
        <v>0</v>
      </c>
      <c r="G3791" s="18">
        <f t="shared" si="115"/>
        <v>0</v>
      </c>
    </row>
    <row r="3792" spans="1:7" ht="15.75" x14ac:dyDescent="0.25">
      <c r="A3792" s="15">
        <f>'PEDIDO 47'!$B$2</f>
        <v>0</v>
      </c>
      <c r="B3792" s="12" t="s">
        <v>463</v>
      </c>
      <c r="C3792" s="1">
        <f>IFERROR(VLOOKUP(1233,'PEDIDO 47'!$C$2:$E$230,3,0),0)</f>
        <v>0</v>
      </c>
      <c r="D3792" s="1">
        <f>IFERROR(VLOOKUP(1234,'PEDIDO 47'!$C$2:$E$230,3,0),0)</f>
        <v>0</v>
      </c>
      <c r="E3792" s="1">
        <f>IFERROR(VLOOKUP(1235,'PEDIDO 47'!$C$2:$E$230,3,0),0)</f>
        <v>0</v>
      </c>
      <c r="F3792" s="1">
        <f>IFERROR(VLOOKUP(1236,'PEDIDO 47'!$C$2:$E$230,3,0),0)</f>
        <v>0</v>
      </c>
      <c r="G3792" s="18">
        <f t="shared" si="115"/>
        <v>0</v>
      </c>
    </row>
    <row r="3793" spans="1:7" ht="15.75" x14ac:dyDescent="0.25">
      <c r="A3793" s="15">
        <f>'PEDIDO 47'!$B$2</f>
        <v>0</v>
      </c>
      <c r="B3793" s="12" t="s">
        <v>464</v>
      </c>
      <c r="C3793" s="1">
        <f>IFERROR(VLOOKUP(1237,'PEDIDO 47'!$C$2:$E$230,3,0),0)</f>
        <v>0</v>
      </c>
      <c r="D3793" s="1">
        <f>IFERROR(VLOOKUP(1238,'PEDIDO 47'!$C$2:$E$230,3,0),0)</f>
        <v>0</v>
      </c>
      <c r="E3793" s="1">
        <f>IFERROR(VLOOKUP(1239,'PEDIDO 47'!$C$2:$E$230,3,0),0)</f>
        <v>0</v>
      </c>
      <c r="F3793" s="1">
        <f>IFERROR(VLOOKUP(1240,'PEDIDO 47'!$C$2:$E$230,3,0),0)</f>
        <v>0</v>
      </c>
      <c r="G3793" s="18">
        <f t="shared" ref="G3793:G3805" si="116">SUM(C3793+D3793+E3793+F3793)</f>
        <v>0</v>
      </c>
    </row>
    <row r="3794" spans="1:7" ht="15.75" x14ac:dyDescent="0.25">
      <c r="A3794" s="15">
        <f>'PEDIDO 47'!$B$2</f>
        <v>0</v>
      </c>
      <c r="B3794" s="12" t="s">
        <v>465</v>
      </c>
      <c r="C3794" s="1">
        <f>IFERROR(VLOOKUP(1241,'PEDIDO 47'!$C$2:$E$230,3,0),0)</f>
        <v>0</v>
      </c>
      <c r="D3794" s="1">
        <f>IFERROR(VLOOKUP(1242,'PEDIDO 47'!$C$2:$E$230,3,0),0)</f>
        <v>0</v>
      </c>
      <c r="E3794" s="1">
        <f>IFERROR(VLOOKUP(1243,'PEDIDO 47'!$C$2:$E$230,3,0),0)</f>
        <v>0</v>
      </c>
      <c r="F3794" s="1">
        <f>IFERROR(VLOOKUP(1244,'PEDIDO 47'!$C$2:$E$230,3,0),0)</f>
        <v>0</v>
      </c>
      <c r="G3794" s="18">
        <f t="shared" si="116"/>
        <v>0</v>
      </c>
    </row>
    <row r="3795" spans="1:7" ht="15.75" x14ac:dyDescent="0.25">
      <c r="A3795" s="15">
        <f>'PEDIDO 47'!$B$2</f>
        <v>0</v>
      </c>
      <c r="B3795" s="12" t="s">
        <v>466</v>
      </c>
      <c r="C3795" s="1">
        <f>IFERROR(VLOOKUP(1245,'PEDIDO 47'!$C$2:$E$230,3,0),0)</f>
        <v>0</v>
      </c>
      <c r="D3795" s="1">
        <f>IFERROR(VLOOKUP(1246,'PEDIDO 47'!$C$2:$E$230,3,0),0)</f>
        <v>0</v>
      </c>
      <c r="E3795" s="1">
        <f>IFERROR(VLOOKUP(1247,'PEDIDO 47'!$C$2:$E$230,3,0),0)</f>
        <v>0</v>
      </c>
      <c r="F3795" s="1">
        <f>IFERROR(VLOOKUP(1248,'PEDIDO 47'!$C$2:$E$230,3,0),0)</f>
        <v>0</v>
      </c>
      <c r="G3795" s="18">
        <f t="shared" si="116"/>
        <v>0</v>
      </c>
    </row>
    <row r="3796" spans="1:7" ht="15.75" x14ac:dyDescent="0.25">
      <c r="A3796" s="15">
        <f>'PEDIDO 47'!$B$2</f>
        <v>0</v>
      </c>
      <c r="B3796" s="12" t="s">
        <v>467</v>
      </c>
      <c r="C3796" s="1">
        <f>IFERROR(VLOOKUP(25714,'PEDIDO 47'!$C$2:$E$230,3,0),0)</f>
        <v>0</v>
      </c>
      <c r="D3796" s="1"/>
      <c r="E3796" s="1"/>
      <c r="F3796" s="1"/>
      <c r="G3796" s="18">
        <f t="shared" si="116"/>
        <v>0</v>
      </c>
    </row>
    <row r="3797" spans="1:7" ht="15.75" x14ac:dyDescent="0.25">
      <c r="A3797" s="15">
        <f>'PEDIDO 47'!$B$2</f>
        <v>0</v>
      </c>
      <c r="B3797" s="12" t="s">
        <v>468</v>
      </c>
      <c r="C3797" s="1">
        <f>IFERROR(VLOOKUP(25712,'PEDIDO 47'!$C$2:$E$230,3,0),0)</f>
        <v>0</v>
      </c>
      <c r="D3797" s="1"/>
      <c r="E3797" s="1"/>
      <c r="F3797" s="1"/>
      <c r="G3797" s="18">
        <f t="shared" si="116"/>
        <v>0</v>
      </c>
    </row>
    <row r="3798" spans="1:7" ht="15.75" x14ac:dyDescent="0.25">
      <c r="A3798" s="15">
        <f>'PEDIDO 47'!$B$2</f>
        <v>0</v>
      </c>
      <c r="B3798" s="12" t="s">
        <v>469</v>
      </c>
      <c r="C3798" s="1">
        <f>IFERROR(VLOOKUP(25713,'PEDIDO 47'!$C$2:$E$230,3,0),0)</f>
        <v>0</v>
      </c>
      <c r="D3798" s="1"/>
      <c r="E3798" s="1"/>
      <c r="F3798" s="1"/>
      <c r="G3798" s="18">
        <f t="shared" si="116"/>
        <v>0</v>
      </c>
    </row>
    <row r="3799" spans="1:7" ht="15.75" x14ac:dyDescent="0.25">
      <c r="A3799" s="15">
        <f>'PEDIDO 47'!$B$2</f>
        <v>0</v>
      </c>
      <c r="B3799" s="12" t="s">
        <v>470</v>
      </c>
      <c r="C3799" s="1">
        <f>IFERROR(VLOOKUP(1260,'PEDIDO 47'!$C$2:$E$230,3,0),0)</f>
        <v>0</v>
      </c>
      <c r="D3799" s="1"/>
      <c r="E3799" s="1"/>
      <c r="F3799" s="1"/>
      <c r="G3799" s="18">
        <f t="shared" si="116"/>
        <v>0</v>
      </c>
    </row>
    <row r="3800" spans="1:7" ht="15.75" x14ac:dyDescent="0.25">
      <c r="A3800" s="15">
        <f>'PEDIDO 47'!$B$2</f>
        <v>0</v>
      </c>
      <c r="B3800" s="12" t="s">
        <v>471</v>
      </c>
      <c r="C3800" s="1">
        <f>IFERROR(VLOOKUP(1261,'PEDIDO 47'!$C$2:$E$230,3,0),0)</f>
        <v>0</v>
      </c>
      <c r="D3800" s="1"/>
      <c r="E3800" s="1"/>
      <c r="F3800" s="1"/>
      <c r="G3800" s="18">
        <f t="shared" si="116"/>
        <v>0</v>
      </c>
    </row>
    <row r="3801" spans="1:7" ht="15.75" x14ac:dyDescent="0.25">
      <c r="A3801" s="15">
        <f>'PEDIDO 47'!$B$2</f>
        <v>0</v>
      </c>
      <c r="B3801" s="12" t="s">
        <v>472</v>
      </c>
      <c r="C3801" s="1">
        <f>IFERROR(VLOOKUP(1262,'PEDIDO 47'!$C$2:$E$230,3,0),0)</f>
        <v>0</v>
      </c>
      <c r="D3801" s="1"/>
      <c r="E3801" s="1"/>
      <c r="F3801" s="1"/>
      <c r="G3801" s="18">
        <f t="shared" si="116"/>
        <v>0</v>
      </c>
    </row>
    <row r="3802" spans="1:7" ht="15.75" x14ac:dyDescent="0.25">
      <c r="A3802" s="15">
        <f>'PEDIDO 47'!$B$2</f>
        <v>0</v>
      </c>
      <c r="B3802" s="12" t="s">
        <v>473</v>
      </c>
      <c r="C3802" s="1">
        <f>IFERROR(VLOOKUP(1263,'PEDIDO 47'!$C$2:$E$230,3,0),0)</f>
        <v>0</v>
      </c>
      <c r="D3802" s="1"/>
      <c r="E3802" s="1"/>
      <c r="F3802" s="1"/>
      <c r="G3802" s="18">
        <f t="shared" si="116"/>
        <v>0</v>
      </c>
    </row>
    <row r="3803" spans="1:7" ht="15.75" x14ac:dyDescent="0.25">
      <c r="A3803" s="15">
        <f>'PEDIDO 47'!$B$2</f>
        <v>0</v>
      </c>
      <c r="B3803" s="12" t="s">
        <v>474</v>
      </c>
      <c r="C3803" s="1">
        <f>IFERROR(VLOOKUP(1264,'PEDIDO 47'!$C$2:$E$230,3,0),0)</f>
        <v>0</v>
      </c>
      <c r="D3803" s="1"/>
      <c r="E3803" s="1"/>
      <c r="F3803" s="1"/>
      <c r="G3803" s="18">
        <f t="shared" si="116"/>
        <v>0</v>
      </c>
    </row>
    <row r="3804" spans="1:7" ht="15.75" x14ac:dyDescent="0.25">
      <c r="A3804" s="15">
        <f>'PEDIDO 47'!$B$2</f>
        <v>0</v>
      </c>
      <c r="B3804" s="12" t="s">
        <v>475</v>
      </c>
      <c r="C3804" s="1">
        <f>IFERROR(VLOOKUP(1265,'PEDIDO 47'!$C$2:$E$230,3,0),0)</f>
        <v>0</v>
      </c>
      <c r="D3804" s="1"/>
      <c r="E3804" s="1"/>
      <c r="F3804" s="1"/>
      <c r="G3804" s="18">
        <f t="shared" si="116"/>
        <v>0</v>
      </c>
    </row>
    <row r="3805" spans="1:7" ht="15.75" x14ac:dyDescent="0.25">
      <c r="A3805" s="15">
        <f>'PEDIDO 47'!$B$2</f>
        <v>0</v>
      </c>
      <c r="B3805" s="12" t="s">
        <v>476</v>
      </c>
      <c r="C3805" s="1">
        <f>IFERROR(VLOOKUP(1266,'PEDIDO 47'!$C$2:$E$230,3,0),0)</f>
        <v>0</v>
      </c>
      <c r="D3805" s="1"/>
      <c r="E3805" s="1"/>
      <c r="F3805" s="1"/>
      <c r="G3805" s="18">
        <f t="shared" si="116"/>
        <v>0</v>
      </c>
    </row>
    <row r="3806" spans="1:7" ht="15.75" x14ac:dyDescent="0.25">
      <c r="A3806" s="15">
        <f>'PEDIDO 47'!$B$2</f>
        <v>0</v>
      </c>
      <c r="B3806" s="12" t="s">
        <v>477</v>
      </c>
      <c r="C3806" s="1">
        <f>IFERROR(VLOOKUP(1268,'PEDIDO 47'!$C$2:$E$230,3,0),0)</f>
        <v>0</v>
      </c>
      <c r="D3806" s="1">
        <f>IFERROR(VLOOKUP(1269,'PEDIDO 47'!$C$2:$E$230,3,0),0)</f>
        <v>0</v>
      </c>
      <c r="E3806" s="1">
        <f>IFERROR(VLOOKUP(1270,'PEDIDO 47'!$C$2:$E$230,3,0),0)</f>
        <v>0</v>
      </c>
      <c r="F3806" s="1">
        <f>IFERROR(VLOOKUP(1271,'PEDIDO 47'!$C$2:$E$230,3,0),0)</f>
        <v>0</v>
      </c>
      <c r="G3806" s="18">
        <f t="shared" ref="G3806" si="117">SUM(C3806+D3806+E3806+F3806)</f>
        <v>0</v>
      </c>
    </row>
    <row r="3809" spans="1:7" ht="15.75" x14ac:dyDescent="0.25">
      <c r="A3809" s="15">
        <f>'PEDIDO 48'!$B$2</f>
        <v>0</v>
      </c>
      <c r="B3809" s="12" t="s">
        <v>399</v>
      </c>
      <c r="C3809" s="1">
        <f>IFERROR(VLOOKUP(1,'PEDIDO 48'!$C$2:$E$230,3,0),0)</f>
        <v>0</v>
      </c>
      <c r="D3809" s="1">
        <f>IFERROR(VLOOKUP(2,'PEDIDO 48'!$C$2:$E$230,3,0),0)</f>
        <v>0</v>
      </c>
      <c r="E3809" s="1">
        <f>IFERROR(VLOOKUP(3,'PEDIDO 48'!$C$2:$E$230,3,0),0)</f>
        <v>0</v>
      </c>
      <c r="F3809" s="1">
        <f>IFERROR(VLOOKUP(282,'PEDIDO 48'!$C$2:$E$230,3,0),0)</f>
        <v>0</v>
      </c>
      <c r="G3809" s="18">
        <f>SUM(C3809+D3809+E3809+F3809)</f>
        <v>0</v>
      </c>
    </row>
    <row r="3810" spans="1:7" ht="15.75" x14ac:dyDescent="0.25">
      <c r="A3810" s="15">
        <f>'PEDIDO 48'!$B$2</f>
        <v>0</v>
      </c>
      <c r="B3810" s="12" t="s">
        <v>400</v>
      </c>
      <c r="C3810" s="1">
        <f>IFERROR(VLOOKUP(5,'PEDIDO 48'!$C$2:$E$230,3,0),0)</f>
        <v>0</v>
      </c>
      <c r="D3810" s="1">
        <f>IFERROR(VLOOKUP(6,'PEDIDO 48'!$C$2:$E$230,3,0),0)</f>
        <v>0</v>
      </c>
      <c r="E3810" s="1">
        <f>IFERROR(VLOOKUP(7,'PEDIDO 48'!$C$2:$E$230,3,0),0)</f>
        <v>0</v>
      </c>
      <c r="F3810" s="1">
        <f>IFERROR(VLOOKUP(258,'PEDIDO 48'!$C$2:$E$230,3,0),0)</f>
        <v>0</v>
      </c>
      <c r="G3810" s="18">
        <f t="shared" ref="G3810:G3873" si="118">SUM(C3810+D3810+E3810+F3810)</f>
        <v>0</v>
      </c>
    </row>
    <row r="3811" spans="1:7" ht="15.75" x14ac:dyDescent="0.25">
      <c r="A3811" s="15">
        <f>'PEDIDO 48'!$B$2</f>
        <v>0</v>
      </c>
      <c r="B3811" s="12" t="s">
        <v>401</v>
      </c>
      <c r="C3811" s="1">
        <f>IFERROR(VLOOKUP(13,'PEDIDO 48'!$C$2:$E$230,3,0),0)</f>
        <v>0</v>
      </c>
      <c r="D3811" s="1">
        <f>IFERROR(VLOOKUP(14,'PEDIDO 48'!$C$2:$E$230,3,0),0)</f>
        <v>0</v>
      </c>
      <c r="E3811" s="1">
        <f>IFERROR(VLOOKUP(15,'PEDIDO 48'!$C$2:$E$230,3,0),0)</f>
        <v>0</v>
      </c>
      <c r="F3811" s="1">
        <f>IFERROR(VLOOKUP(289,'PEDIDO 48'!$C$2:$E$230,3,0),0)</f>
        <v>0</v>
      </c>
      <c r="G3811" s="18">
        <f t="shared" si="118"/>
        <v>0</v>
      </c>
    </row>
    <row r="3812" spans="1:7" ht="15.75" x14ac:dyDescent="0.25">
      <c r="A3812" s="15">
        <f>'PEDIDO 48'!$B$2</f>
        <v>0</v>
      </c>
      <c r="B3812" s="12" t="s">
        <v>402</v>
      </c>
      <c r="C3812" s="1">
        <f>IFERROR(VLOOKUP(267,'PEDIDO 48'!$C$2:$E$230,3,0),0)</f>
        <v>0</v>
      </c>
      <c r="D3812" s="1">
        <f>IFERROR(VLOOKUP(268,'PEDIDO 48'!$C$2:$E$230,3,0),0)</f>
        <v>0</v>
      </c>
      <c r="E3812" s="1">
        <f>IFERROR(VLOOKUP(270,'PEDIDO 48'!$C$2:$E$230,3,0),0)</f>
        <v>0</v>
      </c>
      <c r="F3812" s="1">
        <f>IFERROR(VLOOKUP(269,'PEDIDO 48'!$C$2:$E$230,3,0),0)</f>
        <v>0</v>
      </c>
      <c r="G3812" s="18">
        <f t="shared" si="118"/>
        <v>0</v>
      </c>
    </row>
    <row r="3813" spans="1:7" ht="15.75" x14ac:dyDescent="0.25">
      <c r="A3813" s="15">
        <f>'PEDIDO 48'!$B$2</f>
        <v>0</v>
      </c>
      <c r="B3813" s="12" t="s">
        <v>403</v>
      </c>
      <c r="C3813" s="1">
        <f>IFERROR(VLOOKUP(17,'PEDIDO 48'!$C$2:$E$230,3,0),0)</f>
        <v>0</v>
      </c>
      <c r="D3813" s="1">
        <f>IFERROR(VLOOKUP(18,'PEDIDO 48'!$C$2:$E$230,3,0),0)</f>
        <v>0</v>
      </c>
      <c r="E3813" s="1">
        <f>IFERROR(VLOOKUP(19,'PEDIDO 48'!$C$2:$E$230,3,0),0)</f>
        <v>0</v>
      </c>
      <c r="F3813" s="1">
        <f>IFERROR(VLOOKUP(290,'PEDIDO 48'!$C$2:$E$230,3,0),0)</f>
        <v>0</v>
      </c>
      <c r="G3813" s="18">
        <f t="shared" si="118"/>
        <v>0</v>
      </c>
    </row>
    <row r="3814" spans="1:7" ht="15.75" x14ac:dyDescent="0.25">
      <c r="A3814" s="15">
        <f>'PEDIDO 48'!$B$2</f>
        <v>0</v>
      </c>
      <c r="B3814" s="12" t="s">
        <v>404</v>
      </c>
      <c r="C3814" s="1">
        <f>IFERROR(VLOOKUP(23,'PEDIDO 48'!$C$2:$E$230,3,0),0)</f>
        <v>0</v>
      </c>
      <c r="D3814" s="1">
        <f>IFERROR(VLOOKUP(24,'PEDIDO 48'!$C$2:$E$230,3,0),0)</f>
        <v>0</v>
      </c>
      <c r="E3814" s="1">
        <f>IFERROR(VLOOKUP(25,'PEDIDO 48'!$C$2:$E$230,3,0),0)</f>
        <v>0</v>
      </c>
      <c r="F3814" s="1">
        <f>IFERROR(VLOOKUP(291,'PEDIDO 48'!$C$2:$E$230,3,0),0)</f>
        <v>0</v>
      </c>
      <c r="G3814" s="18">
        <f t="shared" si="118"/>
        <v>0</v>
      </c>
    </row>
    <row r="3815" spans="1:7" ht="15.75" x14ac:dyDescent="0.25">
      <c r="A3815" s="15">
        <f>'PEDIDO 48'!$B$2</f>
        <v>0</v>
      </c>
      <c r="B3815" s="12" t="s">
        <v>405</v>
      </c>
      <c r="C3815" s="1">
        <f>IFERROR(VLOOKUP(27,'PEDIDO 48'!$C$2:$E$230,3,0),0)</f>
        <v>0</v>
      </c>
      <c r="D3815" s="1">
        <f>IFERROR(VLOOKUP(28,'PEDIDO 48'!$C$2:$E$230,3,0),0)</f>
        <v>0</v>
      </c>
      <c r="E3815" s="1">
        <f>IFERROR(VLOOKUP(29,'PEDIDO 48'!$C$2:$E$230,3,0),0)</f>
        <v>0</v>
      </c>
      <c r="F3815" s="1">
        <f>IFERROR(VLOOKUP(292,'PEDIDO 48'!$C$2:$E$230,3,0),0)</f>
        <v>0</v>
      </c>
      <c r="G3815" s="18">
        <f t="shared" si="118"/>
        <v>0</v>
      </c>
    </row>
    <row r="3816" spans="1:7" ht="15.75" x14ac:dyDescent="0.25">
      <c r="A3816" s="15">
        <f>'PEDIDO 48'!$B$2</f>
        <v>0</v>
      </c>
      <c r="B3816" s="12" t="s">
        <v>406</v>
      </c>
      <c r="C3816" s="1">
        <f>IFERROR(VLOOKUP(227,'PEDIDO 48'!$C$2:$E$230,3,0),0)</f>
        <v>0</v>
      </c>
      <c r="D3816" s="1">
        <f>IFERROR(VLOOKUP(228,'PEDIDO 48'!$C$2:$E$230,3,0),0)</f>
        <v>0</v>
      </c>
      <c r="E3816" s="1">
        <f>IFERROR(VLOOKUP(229,'PEDIDO 48'!$C$2:$E$230,3,0),0)</f>
        <v>0</v>
      </c>
      <c r="F3816" s="1">
        <f>IFERROR(VLOOKUP(230,'PEDIDO 48'!$C$2:$E$230,3,0),0)</f>
        <v>0</v>
      </c>
      <c r="G3816" s="18">
        <f t="shared" si="118"/>
        <v>0</v>
      </c>
    </row>
    <row r="3817" spans="1:7" ht="15.75" x14ac:dyDescent="0.25">
      <c r="A3817" s="15">
        <f>'PEDIDO 48'!$B$2</f>
        <v>0</v>
      </c>
      <c r="B3817" s="12" t="s">
        <v>407</v>
      </c>
      <c r="C3817" s="1">
        <f>IFERROR(VLOOKUP(231,'PEDIDO 48'!$C$2:$E$230,3,0),0)</f>
        <v>0</v>
      </c>
      <c r="D3817" s="1">
        <f>IFERROR(VLOOKUP(232,'PEDIDO 48'!$C$2:$E$230,3,0),0)</f>
        <v>0</v>
      </c>
      <c r="E3817" s="1">
        <f>IFERROR(VLOOKUP(234,'PEDIDO 48'!$C$2:$E$230,3,0),0)</f>
        <v>0</v>
      </c>
      <c r="F3817" s="1">
        <f>IFERROR(VLOOKUP(233,'PEDIDO 48'!$C$2:$E$230,3,0),0)</f>
        <v>0</v>
      </c>
      <c r="G3817" s="18">
        <f t="shared" si="118"/>
        <v>0</v>
      </c>
    </row>
    <row r="3818" spans="1:7" ht="15.75" x14ac:dyDescent="0.25">
      <c r="A3818" s="15">
        <f>'PEDIDO 48'!$B$2</f>
        <v>0</v>
      </c>
      <c r="B3818" s="12" t="s">
        <v>408</v>
      </c>
      <c r="C3818" s="1">
        <f>IFERROR(VLOOKUP(237,'PEDIDO 48'!$C$2:$E$230,3,0),0)</f>
        <v>0</v>
      </c>
      <c r="D3818" s="1">
        <f>IFERROR(VLOOKUP(238,'PEDIDO 48'!$C$2:$E$230,3,0),0)</f>
        <v>0</v>
      </c>
      <c r="E3818" s="1">
        <f>IFERROR(VLOOKUP(240,'PEDIDO 48'!$C$2:$E$230,3,0),0)</f>
        <v>0</v>
      </c>
      <c r="F3818" s="1">
        <f>IFERROR(VLOOKUP(239,'PEDIDO 48'!$C$2:$E$230,3,0),0)</f>
        <v>0</v>
      </c>
      <c r="G3818" s="18">
        <f t="shared" si="118"/>
        <v>0</v>
      </c>
    </row>
    <row r="3819" spans="1:7" ht="15.75" x14ac:dyDescent="0.25">
      <c r="A3819" s="15">
        <f>'PEDIDO 48'!$B$2</f>
        <v>0</v>
      </c>
      <c r="B3819" s="12" t="s">
        <v>409</v>
      </c>
      <c r="C3819" s="1">
        <f>IFERROR(VLOOKUP(25707,'PEDIDO 48'!$C$2:$E$230,3,0),0)</f>
        <v>0</v>
      </c>
      <c r="D3819" s="1">
        <f>IFERROR(VLOOKUP(25708,'PEDIDO 48'!$C$2:$E$230,3,0),0)</f>
        <v>0</v>
      </c>
      <c r="E3819" s="1">
        <f>IFERROR(VLOOKUP(25710,'PEDIDO 48'!$C$2:$E$230,3,0),0)</f>
        <v>0</v>
      </c>
      <c r="F3819" s="1">
        <f>IFERROR(VLOOKUP(25709,'PEDIDO 48'!$C$2:$E$230,3,0),0)</f>
        <v>0</v>
      </c>
      <c r="G3819" s="18">
        <f t="shared" si="118"/>
        <v>0</v>
      </c>
    </row>
    <row r="3820" spans="1:7" ht="15.75" x14ac:dyDescent="0.25">
      <c r="A3820" s="15">
        <f>'PEDIDO 48'!$B$2</f>
        <v>0</v>
      </c>
      <c r="B3820" s="12" t="s">
        <v>410</v>
      </c>
      <c r="C3820" s="1">
        <f>IFERROR(VLOOKUP(25711,'PEDIDO 48'!$C$2:$E$230,3,0),0)</f>
        <v>0</v>
      </c>
      <c r="D3820" s="1"/>
      <c r="E3820" s="1"/>
      <c r="F3820" s="1"/>
      <c r="G3820" s="18">
        <f t="shared" si="118"/>
        <v>0</v>
      </c>
    </row>
    <row r="3821" spans="1:7" ht="15.75" x14ac:dyDescent="0.25">
      <c r="A3821" s="15">
        <f>'PEDIDO 48'!$B$2</f>
        <v>0</v>
      </c>
      <c r="B3821" s="12" t="s">
        <v>411</v>
      </c>
      <c r="C3821" s="1">
        <f>IFERROR(VLOOKUP(35,'PEDIDO 48'!$C$2:$E$230,3,0),0)</f>
        <v>0</v>
      </c>
      <c r="D3821" s="1">
        <f>IFERROR(VLOOKUP(36,'PEDIDO 48'!$C$2:$E$230,3,0),0)</f>
        <v>0</v>
      </c>
      <c r="E3821" s="1">
        <f>IFERROR(VLOOKUP(37,'PEDIDO 48'!$C$2:$E$230,3,0),0)</f>
        <v>0</v>
      </c>
      <c r="F3821" s="1">
        <f>IFERROR(VLOOKUP(294,'PEDIDO 48'!$C$2:$E$230,3,0),0)</f>
        <v>0</v>
      </c>
      <c r="G3821" s="18">
        <f t="shared" si="118"/>
        <v>0</v>
      </c>
    </row>
    <row r="3822" spans="1:7" ht="15.75" x14ac:dyDescent="0.25">
      <c r="A3822" s="15">
        <f>'PEDIDO 48'!$B$2</f>
        <v>0</v>
      </c>
      <c r="B3822" s="12" t="s">
        <v>412</v>
      </c>
      <c r="C3822" s="1">
        <f>IFERROR(VLOOKUP(39,'PEDIDO 48'!$C$2:$E$230,3,0),0)</f>
        <v>0</v>
      </c>
      <c r="D3822" s="1">
        <f>IFERROR(VLOOKUP(40,'PEDIDO 48'!$C$2:$E$230,3,0),0)</f>
        <v>0</v>
      </c>
      <c r="E3822" s="1">
        <f>IFERROR(VLOOKUP(42,'PEDIDO 48'!$C$2:$E$230,3,0),0)</f>
        <v>0</v>
      </c>
      <c r="F3822" s="1">
        <f>IFERROR(VLOOKUP(295,'PEDIDO 48'!$C$2:$E$230,3,0),0)</f>
        <v>0</v>
      </c>
      <c r="G3822" s="18">
        <f t="shared" si="118"/>
        <v>0</v>
      </c>
    </row>
    <row r="3823" spans="1:7" ht="15.75" x14ac:dyDescent="0.25">
      <c r="A3823" s="15">
        <f>'PEDIDO 48'!$B$2</f>
        <v>0</v>
      </c>
      <c r="B3823" s="12" t="s">
        <v>413</v>
      </c>
      <c r="C3823" s="1">
        <f>IFERROR(VLOOKUP(44,'PEDIDO 48'!$C$2:$E$230,3,0),0)</f>
        <v>0</v>
      </c>
      <c r="D3823" s="1">
        <f>IFERROR(VLOOKUP(45,'PEDIDO 48'!$C$2:$E$230,3,0),0)</f>
        <v>0</v>
      </c>
      <c r="E3823" s="1">
        <f>IFERROR(VLOOKUP(46,'PEDIDO 48'!$C$2:$E$230,3,0),0)</f>
        <v>0</v>
      </c>
      <c r="F3823" s="1">
        <f>IFERROR(VLOOKUP(283,'PEDIDO 48'!$C$2:$E$230,3,0),0)</f>
        <v>0</v>
      </c>
      <c r="G3823" s="18">
        <f t="shared" si="118"/>
        <v>0</v>
      </c>
    </row>
    <row r="3824" spans="1:7" ht="15.75" x14ac:dyDescent="0.25">
      <c r="A3824" s="15">
        <f>'PEDIDO 48'!$B$2</f>
        <v>0</v>
      </c>
      <c r="B3824" s="12" t="s">
        <v>414</v>
      </c>
      <c r="C3824" s="1">
        <f>IFERROR(VLOOKUP(48,'PEDIDO 48'!$C$2:$E$230,3,0),0)</f>
        <v>0</v>
      </c>
      <c r="D3824" s="1">
        <f>IFERROR(VLOOKUP(49,'PEDIDO 48'!$C$2:$E$230,3,0),0)</f>
        <v>0</v>
      </c>
      <c r="E3824" s="1">
        <f>IFERROR(VLOOKUP(50,'PEDIDO 48'!$C$2:$E$230,3,0),0)</f>
        <v>0</v>
      </c>
      <c r="F3824" s="1">
        <f>IFERROR(VLOOKUP(298,'PEDIDO 48'!$C$2:$E$230,3,0),0)</f>
        <v>0</v>
      </c>
      <c r="G3824" s="18">
        <f t="shared" si="118"/>
        <v>0</v>
      </c>
    </row>
    <row r="3825" spans="1:7" ht="15.75" x14ac:dyDescent="0.25">
      <c r="A3825" s="15">
        <f>'PEDIDO 48'!$B$2</f>
        <v>0</v>
      </c>
      <c r="B3825" s="12" t="s">
        <v>415</v>
      </c>
      <c r="C3825" s="1">
        <f>IFERROR(VLOOKUP(52,'PEDIDO 48'!$C$2:$E$230,3,0),0)</f>
        <v>0</v>
      </c>
      <c r="D3825" s="1">
        <f>IFERROR(VLOOKUP(53,'PEDIDO 48'!$C$2:$E$230,3,0),0)</f>
        <v>0</v>
      </c>
      <c r="E3825" s="1">
        <f>IFERROR(VLOOKUP(54,'PEDIDO 48'!$C$2:$E$230,3,0),0)</f>
        <v>0</v>
      </c>
      <c r="F3825" s="1">
        <f>IFERROR(VLOOKUP(299,'PEDIDO 48'!$C$2:$E$230,3,0),0)</f>
        <v>0</v>
      </c>
      <c r="G3825" s="18">
        <f t="shared" si="118"/>
        <v>0</v>
      </c>
    </row>
    <row r="3826" spans="1:7" ht="15.75" x14ac:dyDescent="0.25">
      <c r="A3826" s="15">
        <f>'PEDIDO 48'!$B$2</f>
        <v>0</v>
      </c>
      <c r="B3826" s="12" t="s">
        <v>416</v>
      </c>
      <c r="C3826" s="1">
        <f>IFERROR(VLOOKUP(56,'PEDIDO 48'!$C$2:$E$230,3,0),0)</f>
        <v>0</v>
      </c>
      <c r="D3826" s="1">
        <f>IFERROR(VLOOKUP(61,'PEDIDO 48'!$C$2:$E$230,3,0),0)</f>
        <v>0</v>
      </c>
      <c r="E3826" s="1">
        <f>IFERROR(VLOOKUP(58,'PEDIDO 48'!$C$2:$E$230,3,0),0)</f>
        <v>0</v>
      </c>
      <c r="F3826" s="1">
        <f>IFERROR(VLOOKUP(300,'PEDIDO 48'!$C$2:$E$230,3,0),0)</f>
        <v>0</v>
      </c>
      <c r="G3826" s="18">
        <f t="shared" si="118"/>
        <v>0</v>
      </c>
    </row>
    <row r="3827" spans="1:7" ht="15.75" x14ac:dyDescent="0.25">
      <c r="A3827" s="15">
        <f>'PEDIDO 48'!$B$2</f>
        <v>0</v>
      </c>
      <c r="B3827" s="12" t="s">
        <v>417</v>
      </c>
      <c r="C3827" s="1">
        <f>IFERROR(VLOOKUP(60,'PEDIDO 48'!$C$2:$E$230,3,0),0)</f>
        <v>0</v>
      </c>
      <c r="D3827" s="1">
        <f>IFERROR(VLOOKUP(120,'PEDIDO 48'!$C$2:$E$230,3,0),0)</f>
        <v>0</v>
      </c>
      <c r="E3827" s="1">
        <f>IFERROR(VLOOKUP(62,'PEDIDO 48'!$C$2:$E$230,3,0),0)</f>
        <v>0</v>
      </c>
      <c r="F3827" s="1">
        <f>IFERROR(VLOOKUP(301,'PEDIDO 48'!$C$2:$E$230,3,0),0)</f>
        <v>0</v>
      </c>
      <c r="G3827" s="18">
        <f t="shared" si="118"/>
        <v>0</v>
      </c>
    </row>
    <row r="3828" spans="1:7" ht="15.75" x14ac:dyDescent="0.25">
      <c r="A3828" s="15">
        <f>'PEDIDO 48'!$B$2</f>
        <v>0</v>
      </c>
      <c r="B3828" s="12" t="s">
        <v>426</v>
      </c>
      <c r="C3828" s="1">
        <f>IFERROR(VLOOKUP(112,'PEDIDO 48'!$C$2:$E$230,3,0),0)</f>
        <v>0</v>
      </c>
      <c r="D3828" s="1">
        <f>IFERROR(VLOOKUP(113,'PEDIDO 48'!$C$2:$E$230,3,0),0)</f>
        <v>0</v>
      </c>
      <c r="E3828" s="1">
        <f>IFERROR(VLOOKUP(114,'PEDIDO 48'!$C$2:$E$230,3,0),0)</f>
        <v>0</v>
      </c>
      <c r="F3828" s="1">
        <f>IFERROR(VLOOKUP(296,'PEDIDO 48'!$C$2:$E$230,3,0),0)</f>
        <v>0</v>
      </c>
      <c r="G3828" s="18">
        <f t="shared" si="118"/>
        <v>0</v>
      </c>
    </row>
    <row r="3829" spans="1:7" ht="15.75" x14ac:dyDescent="0.25">
      <c r="A3829" s="15">
        <f>'PEDIDO 48'!$B$2</f>
        <v>0</v>
      </c>
      <c r="B3829" s="12" t="s">
        <v>427</v>
      </c>
      <c r="C3829" s="1">
        <f>IFERROR(VLOOKUP(116,'PEDIDO 48'!$C$2:$E$230,3,0),0)</f>
        <v>0</v>
      </c>
      <c r="D3829" s="1">
        <f>IFERROR(VLOOKUP(117,'PEDIDO 48'!$C$2:$E$230,3,0),0)</f>
        <v>0</v>
      </c>
      <c r="E3829" s="1">
        <f>IFERROR(VLOOKUP(118,'PEDIDO 48'!$C$2:$E$230,3,0),0)</f>
        <v>0</v>
      </c>
      <c r="F3829" s="1">
        <f>IFERROR(VLOOKUP(293,'PEDIDO 48'!$C$2:$E$230,3,0),0)</f>
        <v>0</v>
      </c>
      <c r="G3829" s="18">
        <f t="shared" si="118"/>
        <v>0</v>
      </c>
    </row>
    <row r="3830" spans="1:7" ht="15.75" x14ac:dyDescent="0.25">
      <c r="A3830" s="15">
        <f>'PEDIDO 48'!$B$2</f>
        <v>0</v>
      </c>
      <c r="B3830" s="12" t="s">
        <v>418</v>
      </c>
      <c r="C3830" s="1">
        <f>IFERROR(VLOOKUP(963,'PEDIDO 48'!$C$2:$E$230,3,0),0)</f>
        <v>0</v>
      </c>
      <c r="D3830" s="1">
        <f>IFERROR(VLOOKUP(965,'PEDIDO 48'!$C$2:$E$230,3,0),0)</f>
        <v>0</v>
      </c>
      <c r="E3830" s="1">
        <f>IFERROR(VLOOKUP(966,'PEDIDO 48'!$C$2:$E$230,3,0),0)</f>
        <v>0</v>
      </c>
      <c r="F3830" s="1">
        <f>IFERROR(VLOOKUP(964,'PEDIDO 48'!$C$2:$E$230,3,0),0)</f>
        <v>0</v>
      </c>
      <c r="G3830" s="18">
        <f t="shared" si="118"/>
        <v>0</v>
      </c>
    </row>
    <row r="3831" spans="1:7" ht="15.75" x14ac:dyDescent="0.25">
      <c r="A3831" s="15">
        <f>'PEDIDO 48'!$B$2</f>
        <v>0</v>
      </c>
      <c r="B3831" s="12" t="s">
        <v>419</v>
      </c>
      <c r="C3831" s="1">
        <f>IFERROR(VLOOKUP(2042,'PEDIDO 48'!$C$2:$E$230,3,0),0)</f>
        <v>0</v>
      </c>
      <c r="D3831" s="1">
        <f>IFERROR(VLOOKUP(2041,'PEDIDO 48'!$C$2:$E$230,3,0),0)</f>
        <v>0</v>
      </c>
      <c r="E3831" s="1">
        <f>IFERROR(VLOOKUP(2043,'PEDIDO 48'!$C$2:$E$230,3,0),0)</f>
        <v>0</v>
      </c>
      <c r="F3831" s="1">
        <f>IFERROR(VLOOKUP(2040,'PEDIDO 48'!$C$2:$E$230,3,0),0)</f>
        <v>0</v>
      </c>
      <c r="G3831" s="18">
        <f t="shared" si="118"/>
        <v>0</v>
      </c>
    </row>
    <row r="3832" spans="1:7" ht="15.75" x14ac:dyDescent="0.25">
      <c r="A3832" s="15">
        <f>'PEDIDO 48'!$B$2</f>
        <v>0</v>
      </c>
      <c r="B3832" s="12" t="s">
        <v>420</v>
      </c>
      <c r="C3832" s="1">
        <f>IFERROR(VLOOKUP(2045,'PEDIDO 48'!$C$2:$E$230,3,0),0)</f>
        <v>0</v>
      </c>
      <c r="D3832" s="1">
        <f>IFERROR(VLOOKUP(2046,'PEDIDO 48'!$C$2:$E$230,3,0),0)</f>
        <v>0</v>
      </c>
      <c r="E3832" s="1">
        <f>IFERROR(VLOOKUP(2047,'PEDIDO 48'!$C$2:$E$230,3,0),0)</f>
        <v>0</v>
      </c>
      <c r="F3832" s="1">
        <f>IFERROR(VLOOKUP(2048,'PEDIDO 48'!$C$2:$E$230,3,0),0)</f>
        <v>0</v>
      </c>
      <c r="G3832" s="18">
        <f t="shared" si="118"/>
        <v>0</v>
      </c>
    </row>
    <row r="3833" spans="1:7" ht="15.75" x14ac:dyDescent="0.25">
      <c r="A3833" s="15">
        <f>'PEDIDO 48'!$B$2</f>
        <v>0</v>
      </c>
      <c r="B3833" s="12" t="s">
        <v>421</v>
      </c>
      <c r="C3833" s="1">
        <f>IFERROR(VLOOKUP(2050,'PEDIDO 48'!$C$2:$E$230,3,0),0)</f>
        <v>0</v>
      </c>
      <c r="D3833" s="1">
        <f>IFERROR(VLOOKUP(2051,'PEDIDO 48'!$C$2:$E$230,3,0),0)</f>
        <v>0</v>
      </c>
      <c r="E3833" s="1">
        <f>IFERROR(VLOOKUP(2052,'PEDIDO 48'!$C$2:$E$230,3,0),0)</f>
        <v>0</v>
      </c>
      <c r="F3833" s="1">
        <f>IFERROR(VLOOKUP(2053,'PEDIDO 48'!$C$2:$E$230,3,0),0)</f>
        <v>0</v>
      </c>
      <c r="G3833" s="18">
        <f t="shared" si="118"/>
        <v>0</v>
      </c>
    </row>
    <row r="3834" spans="1:7" ht="15.75" x14ac:dyDescent="0.25">
      <c r="A3834" s="15">
        <f>'PEDIDO 48'!$B$2</f>
        <v>0</v>
      </c>
      <c r="B3834" s="12" t="s">
        <v>422</v>
      </c>
      <c r="C3834" s="1">
        <f>IFERROR(VLOOKUP(216,'PEDIDO 48'!$C$2:$E$230,3,0),0)</f>
        <v>0</v>
      </c>
      <c r="D3834" s="1">
        <f>IFERROR(VLOOKUP(217,'PEDIDO 48'!$C$2:$E$230,3,0),0)</f>
        <v>0</v>
      </c>
      <c r="E3834" s="1">
        <f>IFERROR(VLOOKUP(218,'PEDIDO 48'!$C$2:$E$230,3,0),0)</f>
        <v>0</v>
      </c>
      <c r="F3834" s="1">
        <f>IFERROR(VLOOKUP(305,'PEDIDO 48'!$C$2:$E$230,3,0),0)</f>
        <v>0</v>
      </c>
      <c r="G3834" s="18">
        <f t="shared" si="118"/>
        <v>0</v>
      </c>
    </row>
    <row r="3835" spans="1:7" ht="15.75" x14ac:dyDescent="0.25">
      <c r="A3835" s="15">
        <f>'PEDIDO 48'!$B$2</f>
        <v>0</v>
      </c>
      <c r="B3835" s="12" t="s">
        <v>423</v>
      </c>
      <c r="C3835" s="1">
        <f>IFERROR(VLOOKUP(100,'PEDIDO 48'!$C$2:$E$230,3,0),0)</f>
        <v>0</v>
      </c>
      <c r="D3835" s="1">
        <f>IFERROR(VLOOKUP(101,'PEDIDO 48'!$C$2:$E$230,3,0),0)</f>
        <v>0</v>
      </c>
      <c r="E3835" s="1">
        <f>IFERROR(VLOOKUP(102,'PEDIDO 48'!$C$2:$E$230,3,0),0)</f>
        <v>0</v>
      </c>
      <c r="F3835" s="1">
        <f>IFERROR(VLOOKUP(306,'PEDIDO 48'!$C$2:$E$230,3,0),0)</f>
        <v>0</v>
      </c>
      <c r="G3835" s="18">
        <f t="shared" si="118"/>
        <v>0</v>
      </c>
    </row>
    <row r="3836" spans="1:7" ht="15.75" x14ac:dyDescent="0.25">
      <c r="A3836" s="15">
        <f>'PEDIDO 48'!$B$2</f>
        <v>0</v>
      </c>
      <c r="B3836" s="12" t="s">
        <v>424</v>
      </c>
      <c r="C3836" s="1">
        <f>IFERROR(VLOOKUP(104,'PEDIDO 48'!$C$2:$E$230,3,0),0)</f>
        <v>0</v>
      </c>
      <c r="D3836" s="1">
        <f>IFERROR(VLOOKUP(105,'PEDIDO 48'!$C$2:$E$230,3,0),0)</f>
        <v>0</v>
      </c>
      <c r="E3836" s="1">
        <f>IFERROR(VLOOKUP(106,'PEDIDO 48'!$C$2:$E$230,3,0),0)</f>
        <v>0</v>
      </c>
      <c r="F3836" s="1">
        <f>IFERROR(VLOOKUP(307,'PEDIDO 48'!$C$2:$E$230,3,0),0)</f>
        <v>0</v>
      </c>
      <c r="G3836" s="18">
        <f t="shared" si="118"/>
        <v>0</v>
      </c>
    </row>
    <row r="3837" spans="1:7" ht="15.75" x14ac:dyDescent="0.25">
      <c r="A3837" s="15">
        <f>'PEDIDO 48'!$B$2</f>
        <v>0</v>
      </c>
      <c r="B3837" s="12" t="s">
        <v>425</v>
      </c>
      <c r="C3837" s="1">
        <f>IFERROR(VLOOKUP(400,'PEDIDO 48'!$C$2:$E$230,3,0),0)</f>
        <v>0</v>
      </c>
      <c r="D3837" s="1">
        <f>IFERROR(VLOOKUP(401,'PEDIDO 48'!$C$2:$E$230,3,0),0)</f>
        <v>0</v>
      </c>
      <c r="E3837" s="1">
        <f>IFERROR(VLOOKUP(402,'PEDIDO 48'!$C$2:$E$230,3,0),0)</f>
        <v>0</v>
      </c>
      <c r="F3837" s="1">
        <f>IFERROR(VLOOKUP(403,'PEDIDO 48'!$C$2:$E$230,3,0),0)</f>
        <v>0</v>
      </c>
      <c r="G3837" s="18">
        <f t="shared" si="118"/>
        <v>0</v>
      </c>
    </row>
    <row r="3838" spans="1:7" ht="15.75" x14ac:dyDescent="0.25">
      <c r="A3838" s="15">
        <f>'PEDIDO 48'!$B$2</f>
        <v>0</v>
      </c>
      <c r="B3838" s="12" t="s">
        <v>428</v>
      </c>
      <c r="C3838" s="1">
        <f>IFERROR(VLOOKUP(22,'PEDIDO 48'!$C$2:$E$230,3,0),0)</f>
        <v>0</v>
      </c>
      <c r="D3838" s="1"/>
      <c r="E3838" s="1"/>
      <c r="F3838" s="1"/>
      <c r="G3838" s="18">
        <f t="shared" si="118"/>
        <v>0</v>
      </c>
    </row>
    <row r="3839" spans="1:7" ht="15.75" x14ac:dyDescent="0.25">
      <c r="A3839" s="15">
        <f>'PEDIDO 48'!$B$2</f>
        <v>0</v>
      </c>
      <c r="B3839" s="12" t="s">
        <v>429</v>
      </c>
      <c r="C3839" s="1">
        <f>IFERROR(VLOOKUP(21,'PEDIDO 48'!$C$2:$E$230,3,0),0)</f>
        <v>0</v>
      </c>
      <c r="D3839" s="1"/>
      <c r="E3839" s="1"/>
      <c r="F3839" s="1"/>
      <c r="G3839" s="18">
        <f t="shared" si="118"/>
        <v>0</v>
      </c>
    </row>
    <row r="3840" spans="1:7" ht="15.75" x14ac:dyDescent="0.25">
      <c r="A3840" s="15">
        <f>'PEDIDO 48'!$B$2</f>
        <v>0</v>
      </c>
      <c r="B3840" s="12" t="s">
        <v>430</v>
      </c>
      <c r="C3840" s="1">
        <f>IFERROR(VLOOKUP(1125,'PEDIDO 48'!$C$2:$E$230,3,0),0)</f>
        <v>0</v>
      </c>
      <c r="D3840" s="1">
        <f>IFERROR(VLOOKUP(1126,'PEDIDO 48'!$C$2:$E$230,3,0),0)</f>
        <v>0</v>
      </c>
      <c r="E3840" s="1">
        <f>IFERROR(VLOOKUP(1127,'PEDIDO 48'!$C$2:$E$230,3,0),0)</f>
        <v>0</v>
      </c>
      <c r="F3840" s="1">
        <f>IFERROR(VLOOKUP(1128,'PEDIDO 48'!$C$2:$E$230,3,0),0)</f>
        <v>0</v>
      </c>
      <c r="G3840" s="18">
        <f t="shared" si="118"/>
        <v>0</v>
      </c>
    </row>
    <row r="3841" spans="1:7" ht="15.75" x14ac:dyDescent="0.25">
      <c r="A3841" s="15">
        <f>'PEDIDO 48'!$B$2</f>
        <v>0</v>
      </c>
      <c r="B3841" s="12" t="s">
        <v>431</v>
      </c>
      <c r="C3841" s="1">
        <f>IFERROR(VLOOKUP(1133,'PEDIDO 48'!$C$2:$E$230,3,0),0)</f>
        <v>0</v>
      </c>
      <c r="D3841" s="1">
        <f>IFERROR(VLOOKUP(1134,'PEDIDO 48'!$C$2:$E$230,3,0),0)</f>
        <v>0</v>
      </c>
      <c r="E3841" s="1">
        <f>IFERROR(VLOOKUP(1135,'PEDIDO 48'!$C$2:$E$230,3,0),0)</f>
        <v>0</v>
      </c>
      <c r="F3841" s="1">
        <f>IFERROR(VLOOKUP(1136,'PEDIDO 48'!$C$2:$E$230,3,0),0)</f>
        <v>0</v>
      </c>
      <c r="G3841" s="18">
        <f t="shared" si="118"/>
        <v>0</v>
      </c>
    </row>
    <row r="3842" spans="1:7" ht="15.75" x14ac:dyDescent="0.25">
      <c r="A3842" s="15">
        <f>'PEDIDO 48'!$B$2</f>
        <v>0</v>
      </c>
      <c r="B3842" s="12" t="s">
        <v>432</v>
      </c>
      <c r="C3842" s="1">
        <f>IFERROR(VLOOKUP(1105,'PEDIDO 48'!$C$2:$E$230,3,0),0)</f>
        <v>0</v>
      </c>
      <c r="D3842" s="1">
        <f>IFERROR(VLOOKUP(1106,'PEDIDO 48'!$C$2:$E$230,3,0),0)</f>
        <v>0</v>
      </c>
      <c r="E3842" s="1">
        <f>IFERROR(VLOOKUP(1107,'PEDIDO 48'!$C$2:$E$230,3,0),0)</f>
        <v>0</v>
      </c>
      <c r="F3842" s="1">
        <f>IFERROR(VLOOKUP(1108,'PEDIDO 48'!$C$2:$E$230,3,0),0)</f>
        <v>0</v>
      </c>
      <c r="G3842" s="18">
        <f t="shared" si="118"/>
        <v>0</v>
      </c>
    </row>
    <row r="3843" spans="1:7" ht="15.75" x14ac:dyDescent="0.25">
      <c r="A3843" s="15">
        <f>'PEDIDO 48'!$B$2</f>
        <v>0</v>
      </c>
      <c r="B3843" s="12" t="s">
        <v>433</v>
      </c>
      <c r="C3843" s="1">
        <f>IFERROR(VLOOKUP(1109,'PEDIDO 48'!$C$2:$E$230,3,0),0)</f>
        <v>0</v>
      </c>
      <c r="D3843" s="1">
        <f>IFERROR(VLOOKUP(1110,'PEDIDO 48'!$C$2:$E$230,3,0),0)</f>
        <v>0</v>
      </c>
      <c r="E3843" s="1">
        <f>IFERROR(VLOOKUP(1111,'PEDIDO 48'!$C$2:$E$230,3,0),0)</f>
        <v>0</v>
      </c>
      <c r="F3843" s="1">
        <f>IFERROR(VLOOKUP(1112,'PEDIDO 48'!$C$2:$E$230,3,0),0)</f>
        <v>0</v>
      </c>
      <c r="G3843" s="18">
        <f t="shared" si="118"/>
        <v>0</v>
      </c>
    </row>
    <row r="3844" spans="1:7" ht="15.75" x14ac:dyDescent="0.25">
      <c r="A3844" s="15">
        <f>'PEDIDO 48'!$B$2</f>
        <v>0</v>
      </c>
      <c r="B3844" s="12" t="s">
        <v>434</v>
      </c>
      <c r="C3844" s="1">
        <f>IFERROR(VLOOKUP(1113,'PEDIDO 48'!$C$2:$E$230,3,0),0)</f>
        <v>0</v>
      </c>
      <c r="D3844" s="1">
        <f>IFERROR(VLOOKUP(1114,'PEDIDO 48'!$C$2:$E$230,3,0),0)</f>
        <v>0</v>
      </c>
      <c r="E3844" s="1">
        <f>IFERROR(VLOOKUP(1115,'PEDIDO 48'!$C$2:$E$230,3,0),0)</f>
        <v>0</v>
      </c>
      <c r="F3844" s="1">
        <f>IFERROR(VLOOKUP(1116,'PEDIDO 48'!$C$2:$E$230,3,0),0)</f>
        <v>0</v>
      </c>
      <c r="G3844" s="18">
        <f t="shared" si="118"/>
        <v>0</v>
      </c>
    </row>
    <row r="3845" spans="1:7" ht="15.75" x14ac:dyDescent="0.25">
      <c r="A3845" s="15">
        <f>'PEDIDO 48'!$B$2</f>
        <v>0</v>
      </c>
      <c r="B3845" s="12" t="s">
        <v>435</v>
      </c>
      <c r="C3845" s="1">
        <f>IFERROR(VLOOKUP(1117,'PEDIDO 48'!$C$2:$E$230,3,0),0)</f>
        <v>0</v>
      </c>
      <c r="D3845" s="1">
        <f>IFERROR(VLOOKUP(1118,'PEDIDO 48'!$C$2:$E$230,3,0),0)</f>
        <v>0</v>
      </c>
      <c r="E3845" s="1">
        <f>IFERROR(VLOOKUP(1119,'PEDIDO 48'!$C$2:$E$230,3,0),0)</f>
        <v>0</v>
      </c>
      <c r="F3845" s="1">
        <f>IFERROR(VLOOKUP(1120,'PEDIDO 48'!$C$2:$E$230,3,0),0)</f>
        <v>0</v>
      </c>
      <c r="G3845" s="18">
        <f t="shared" si="118"/>
        <v>0</v>
      </c>
    </row>
    <row r="3846" spans="1:7" ht="15.75" x14ac:dyDescent="0.25">
      <c r="A3846" s="15">
        <f>'PEDIDO 48'!$B$2</f>
        <v>0</v>
      </c>
      <c r="B3846" s="12" t="s">
        <v>436</v>
      </c>
      <c r="C3846" s="1">
        <f>IFERROR(VLOOKUP(1121,'PEDIDO 48'!$C$2:$E$230,3,0),0)</f>
        <v>0</v>
      </c>
      <c r="D3846" s="1">
        <f>IFERROR(VLOOKUP(1122,'PEDIDO 48'!$C$2:$E$230,3,0),0)</f>
        <v>0</v>
      </c>
      <c r="E3846" s="1">
        <f>IFERROR(VLOOKUP(1123,'PEDIDO 48'!$C$2:$E$230,3,0),0)</f>
        <v>0</v>
      </c>
      <c r="F3846" s="1">
        <f>IFERROR(VLOOKUP(1124,'PEDIDO 48'!$C$2:$E$230,3,0),0)</f>
        <v>0</v>
      </c>
      <c r="G3846" s="18">
        <f t="shared" si="118"/>
        <v>0</v>
      </c>
    </row>
    <row r="3847" spans="1:7" ht="15.75" x14ac:dyDescent="0.25">
      <c r="A3847" s="15">
        <f>'PEDIDO 48'!$B$2</f>
        <v>0</v>
      </c>
      <c r="B3847" s="12" t="s">
        <v>437</v>
      </c>
      <c r="C3847" s="1">
        <f>IFERROR(VLOOKUP(1129,'PEDIDO 48'!$C$2:$E$230,3,0),0)</f>
        <v>0</v>
      </c>
      <c r="D3847" s="1">
        <f>IFERROR(VLOOKUP(1130,'PEDIDO 48'!$C$2:$E$230,3,0),0)</f>
        <v>0</v>
      </c>
      <c r="E3847" s="1">
        <f>IFERROR(VLOOKUP(1131,'PEDIDO 48'!$C$2:$E$230,3,0),0)</f>
        <v>0</v>
      </c>
      <c r="F3847" s="1">
        <f>IFERROR(VLOOKUP(1132,'PEDIDO 48'!$C$2:$E$230,3,0),0)</f>
        <v>0</v>
      </c>
      <c r="G3847" s="18">
        <f t="shared" si="118"/>
        <v>0</v>
      </c>
    </row>
    <row r="3848" spans="1:7" ht="15.75" x14ac:dyDescent="0.25">
      <c r="A3848" s="15">
        <f>'PEDIDO 48'!$B$2</f>
        <v>0</v>
      </c>
      <c r="B3848" s="12" t="s">
        <v>438</v>
      </c>
      <c r="C3848" s="1">
        <f>IFERROR(VLOOKUP(1137,'PEDIDO 48'!$C$2:$E$230,3,0),0)</f>
        <v>0</v>
      </c>
      <c r="D3848" s="1">
        <f>IFERROR(VLOOKUP(1138,'PEDIDO 48'!$C$2:$E$230,3,0),0)</f>
        <v>0</v>
      </c>
      <c r="E3848" s="1">
        <f>IFERROR(VLOOKUP(1139,'PEDIDO 48'!$C$2:$E$230,3,0),0)</f>
        <v>0</v>
      </c>
      <c r="F3848" s="1">
        <f>IFERROR(VLOOKUP(1140,'PEDIDO 48'!$C$2:$E$230,3,0),0)</f>
        <v>0</v>
      </c>
      <c r="G3848" s="18">
        <f t="shared" si="118"/>
        <v>0</v>
      </c>
    </row>
    <row r="3849" spans="1:7" ht="15.75" x14ac:dyDescent="0.25">
      <c r="A3849" s="15">
        <f>'PEDIDO 48'!$B$2</f>
        <v>0</v>
      </c>
      <c r="B3849" s="12" t="s">
        <v>439</v>
      </c>
      <c r="C3849" s="1">
        <f>IFERROR(VLOOKUP(1141,'PEDIDO 48'!$C$2:$E$230,3,0),0)</f>
        <v>0</v>
      </c>
      <c r="D3849" s="1">
        <f>IFERROR(VLOOKUP(1142,'PEDIDO 48'!$C$2:$E$230,3,0),0)</f>
        <v>0</v>
      </c>
      <c r="E3849" s="1">
        <f>IFERROR(VLOOKUP(1143,'PEDIDO 48'!$C$2:$E$230,3,0),0)</f>
        <v>0</v>
      </c>
      <c r="F3849" s="1">
        <f>IFERROR(VLOOKUP(1144,'PEDIDO 48'!$C$2:$E$230,3,0),0)</f>
        <v>0</v>
      </c>
      <c r="G3849" s="18">
        <f t="shared" si="118"/>
        <v>0</v>
      </c>
    </row>
    <row r="3850" spans="1:7" ht="15.75" x14ac:dyDescent="0.25">
      <c r="A3850" s="15">
        <f>'PEDIDO 48'!$B$2</f>
        <v>0</v>
      </c>
      <c r="B3850" s="12" t="s">
        <v>440</v>
      </c>
      <c r="C3850" s="1">
        <f>IFERROR(VLOOKUP(1145,'PEDIDO 48'!$C$2:$E$230,3,0),0)</f>
        <v>0</v>
      </c>
      <c r="D3850" s="1">
        <f>IFERROR(VLOOKUP(1146,'PEDIDO 48'!$C$2:$E$230,3,0),0)</f>
        <v>0</v>
      </c>
      <c r="E3850" s="1">
        <f>IFERROR(VLOOKUP(1147,'PEDIDO 48'!$C$2:$E$230,3,0),0)</f>
        <v>0</v>
      </c>
      <c r="F3850" s="1">
        <f>IFERROR(VLOOKUP(1148,'PEDIDO 48'!$C$2:$E$230,3,0),0)</f>
        <v>0</v>
      </c>
      <c r="G3850" s="18">
        <f t="shared" si="118"/>
        <v>0</v>
      </c>
    </row>
    <row r="3851" spans="1:7" ht="15.75" x14ac:dyDescent="0.25">
      <c r="A3851" s="15">
        <f>'PEDIDO 48'!$B$2</f>
        <v>0</v>
      </c>
      <c r="B3851" s="12" t="s">
        <v>441</v>
      </c>
      <c r="C3851" s="1">
        <f>IFERROR(VLOOKUP(1149,'PEDIDO 48'!$C$2:$E$230,3,0),0)</f>
        <v>0</v>
      </c>
      <c r="D3851" s="1">
        <f>IFERROR(VLOOKUP(1150,'PEDIDO 48'!$C$2:$E$230,3,0),0)</f>
        <v>0</v>
      </c>
      <c r="E3851" s="1">
        <f>IFERROR(VLOOKUP(1151,'PEDIDO 48'!$C$2:$E$230,3,0),0)</f>
        <v>0</v>
      </c>
      <c r="F3851" s="1">
        <f>IFERROR(VLOOKUP(1152,'PEDIDO 48'!$C$2:$E$230,3,0),0)</f>
        <v>0</v>
      </c>
      <c r="G3851" s="18">
        <f t="shared" si="118"/>
        <v>0</v>
      </c>
    </row>
    <row r="3852" spans="1:7" ht="15.75" x14ac:dyDescent="0.25">
      <c r="A3852" s="15">
        <f>'PEDIDO 48'!$B$2</f>
        <v>0</v>
      </c>
      <c r="B3852" s="12" t="s">
        <v>442</v>
      </c>
      <c r="C3852" s="1">
        <f>IFERROR(VLOOKUP(1153,'PEDIDO 48'!$C$2:$E$230,3,0),0)</f>
        <v>0</v>
      </c>
      <c r="D3852" s="1">
        <f>IFERROR(VLOOKUP(1154,'PEDIDO 48'!$C$2:$E$230,3,0),0)</f>
        <v>0</v>
      </c>
      <c r="E3852" s="1">
        <f>IFERROR(VLOOKUP(1155,'PEDIDO 48'!$C$2:$E$230,3,0),0)</f>
        <v>0</v>
      </c>
      <c r="F3852" s="1">
        <f>IFERROR(VLOOKUP(1156,'PEDIDO 48'!$C$2:$E$230,3,0),0)</f>
        <v>0</v>
      </c>
      <c r="G3852" s="18">
        <f t="shared" si="118"/>
        <v>0</v>
      </c>
    </row>
    <row r="3853" spans="1:7" ht="15.75" x14ac:dyDescent="0.25">
      <c r="A3853" s="15">
        <f>'PEDIDO 48'!$B$2</f>
        <v>0</v>
      </c>
      <c r="B3853" s="12" t="s">
        <v>443</v>
      </c>
      <c r="C3853" s="1">
        <f>IFERROR(VLOOKUP(1157,'PEDIDO 48'!$C$2:$E$230,3,0),0)</f>
        <v>0</v>
      </c>
      <c r="D3853" s="1">
        <f>IFERROR(VLOOKUP(1158,'PEDIDO 48'!$C$2:$E$230,3,0),0)</f>
        <v>0</v>
      </c>
      <c r="E3853" s="1">
        <f>IFERROR(VLOOKUP(1159,'PEDIDO 48'!$C$2:$E$230,3,0),0)</f>
        <v>0</v>
      </c>
      <c r="F3853" s="1">
        <f>IFERROR(VLOOKUP(1160,'PEDIDO 48'!$C$2:$E$230,3,0),0)</f>
        <v>0</v>
      </c>
      <c r="G3853" s="18">
        <f t="shared" si="118"/>
        <v>0</v>
      </c>
    </row>
    <row r="3854" spans="1:7" ht="15.75" x14ac:dyDescent="0.25">
      <c r="A3854" s="15">
        <f>'PEDIDO 48'!$B$2</f>
        <v>0</v>
      </c>
      <c r="B3854" s="12" t="s">
        <v>444</v>
      </c>
      <c r="C3854" s="1">
        <f>IFERROR(VLOOKUP(1161,'PEDIDO 48'!$C$2:$E$230,3,0),0)</f>
        <v>0</v>
      </c>
      <c r="D3854" s="1">
        <f>IFERROR(VLOOKUP(1162,'PEDIDO 48'!$C$2:$E$230,3,0),0)</f>
        <v>0</v>
      </c>
      <c r="E3854" s="1">
        <f>IFERROR(VLOOKUP(1163,'PEDIDO 48'!$C$2:$E$230,3,0),0)</f>
        <v>0</v>
      </c>
      <c r="F3854" s="1">
        <f>IFERROR(VLOOKUP(1164,'PEDIDO 48'!$C$2:$E$230,3,0),0)</f>
        <v>0</v>
      </c>
      <c r="G3854" s="18">
        <f t="shared" si="118"/>
        <v>0</v>
      </c>
    </row>
    <row r="3855" spans="1:7" ht="15.75" x14ac:dyDescent="0.25">
      <c r="A3855" s="15">
        <f>'PEDIDO 48'!$B$2</f>
        <v>0</v>
      </c>
      <c r="B3855" s="12" t="s">
        <v>445</v>
      </c>
      <c r="C3855" s="1">
        <f>IFERROR(VLOOKUP(1165,'PEDIDO 48'!$C$2:$E$230,3,0),0)</f>
        <v>0</v>
      </c>
      <c r="D3855" s="1">
        <f>IFERROR(VLOOKUP(1166,'PEDIDO 48'!$C$2:$E$230,3,0),0)</f>
        <v>0</v>
      </c>
      <c r="E3855" s="1">
        <f>IFERROR(VLOOKUP(1167,'PEDIDO 48'!$C$2:$E$230,3,0),0)</f>
        <v>0</v>
      </c>
      <c r="F3855" s="1">
        <f>IFERROR(VLOOKUP(1168,'PEDIDO 48'!$C$2:$E$230,3,0),0)</f>
        <v>0</v>
      </c>
      <c r="G3855" s="18">
        <f t="shared" si="118"/>
        <v>0</v>
      </c>
    </row>
    <row r="3856" spans="1:7" ht="15.75" x14ac:dyDescent="0.25">
      <c r="A3856" s="15">
        <f>'PEDIDO 48'!$B$2</f>
        <v>0</v>
      </c>
      <c r="B3856" s="12" t="s">
        <v>446</v>
      </c>
      <c r="C3856" s="1">
        <f>IFERROR(VLOOKUP(1169,'PEDIDO 48'!$C$2:$E$230,3,0),0)</f>
        <v>0</v>
      </c>
      <c r="D3856" s="1">
        <f>IFERROR(VLOOKUP(1170,'PEDIDO 48'!$C$2:$E$230,3,0),0)</f>
        <v>0</v>
      </c>
      <c r="E3856" s="1">
        <f>IFERROR(VLOOKUP(1171,'PEDIDO 48'!$C$2:$E$230,3,0),0)</f>
        <v>0</v>
      </c>
      <c r="F3856" s="1">
        <f>IFERROR(VLOOKUP(1172,'PEDIDO 48'!$C$2:$E$230,3,0),0)</f>
        <v>0</v>
      </c>
      <c r="G3856" s="18">
        <f t="shared" si="118"/>
        <v>0</v>
      </c>
    </row>
    <row r="3857" spans="1:7" ht="15.75" x14ac:dyDescent="0.25">
      <c r="A3857" s="15">
        <f>'PEDIDO 48'!$B$2</f>
        <v>0</v>
      </c>
      <c r="B3857" s="12" t="s">
        <v>447</v>
      </c>
      <c r="C3857" s="1">
        <f>IFERROR(VLOOKUP(1173,'PEDIDO 48'!$C$2:$E$230,3,0),0)</f>
        <v>0</v>
      </c>
      <c r="D3857" s="1">
        <f>IFERROR(VLOOKUP(1174,'PEDIDO 48'!$C$2:$E$230,3,0),0)</f>
        <v>0</v>
      </c>
      <c r="E3857" s="1">
        <f>IFERROR(VLOOKUP(1175,'PEDIDO 48'!$C$2:$E$230,3,0),0)</f>
        <v>0</v>
      </c>
      <c r="F3857" s="1">
        <f>IFERROR(VLOOKUP(1176,'PEDIDO 48'!$C$2:$E$230,3,0),0)</f>
        <v>0</v>
      </c>
      <c r="G3857" s="18">
        <f t="shared" si="118"/>
        <v>0</v>
      </c>
    </row>
    <row r="3858" spans="1:7" ht="15.75" x14ac:dyDescent="0.25">
      <c r="A3858" s="15">
        <f>'PEDIDO 48'!$B$2</f>
        <v>0</v>
      </c>
      <c r="B3858" s="12" t="s">
        <v>448</v>
      </c>
      <c r="C3858" s="1">
        <f>IFERROR(VLOOKUP(1249,'PEDIDO 48'!$C$2:$E$230,3,0),0)</f>
        <v>0</v>
      </c>
      <c r="D3858" s="1">
        <f>IFERROR(VLOOKUP(1250,'PEDIDO 48'!$C$2:$E$230,3,0),0)</f>
        <v>0</v>
      </c>
      <c r="E3858" s="1">
        <f>IFERROR(VLOOKUP(1251,'PEDIDO 48'!$C$2:$E$230,3,0),0)</f>
        <v>0</v>
      </c>
      <c r="F3858" s="1">
        <f>IFERROR(VLOOKUP(1252,'PEDIDO 48'!$C$2:$E$230,3,0),0)</f>
        <v>0</v>
      </c>
      <c r="G3858" s="18">
        <f t="shared" si="118"/>
        <v>0</v>
      </c>
    </row>
    <row r="3859" spans="1:7" ht="15.75" x14ac:dyDescent="0.25">
      <c r="A3859" s="15">
        <f>'PEDIDO 48'!$B$2</f>
        <v>0</v>
      </c>
      <c r="B3859" s="12" t="s">
        <v>449</v>
      </c>
      <c r="C3859" s="1">
        <f>IFERROR(VLOOKUP(1177,'PEDIDO 48'!$C$2:$E$230,3,0),0)</f>
        <v>0</v>
      </c>
      <c r="D3859" s="1">
        <f>IFERROR(VLOOKUP(1178,'PEDIDO 48'!$C$2:$E$230,3,0),0)</f>
        <v>0</v>
      </c>
      <c r="E3859" s="1">
        <f>IFERROR(VLOOKUP(1179,'PEDIDO 48'!$C$2:$E$230,3,0),0)</f>
        <v>0</v>
      </c>
      <c r="F3859" s="1">
        <f>IFERROR(VLOOKUP(1180,'PEDIDO 48'!$C$2:$E$230,3,0),0)</f>
        <v>0</v>
      </c>
      <c r="G3859" s="18">
        <f t="shared" si="118"/>
        <v>0</v>
      </c>
    </row>
    <row r="3860" spans="1:7" ht="15.75" x14ac:dyDescent="0.25">
      <c r="A3860" s="15">
        <f>'PEDIDO 48'!$B$2</f>
        <v>0</v>
      </c>
      <c r="B3860" s="12" t="s">
        <v>450</v>
      </c>
      <c r="C3860" s="1">
        <f>IFERROR(VLOOKUP(1181,'PEDIDO 48'!$C$2:$E$230,3,0),0)</f>
        <v>0</v>
      </c>
      <c r="D3860" s="1">
        <f>IFERROR(VLOOKUP(1182,'PEDIDO 48'!$C$2:$E$230,3,0),0)</f>
        <v>0</v>
      </c>
      <c r="E3860" s="1">
        <f>IFERROR(VLOOKUP(1183,'PEDIDO 48'!$C$2:$E$230,3,0),0)</f>
        <v>0</v>
      </c>
      <c r="F3860" s="1">
        <f>IFERROR(VLOOKUP(1184,'PEDIDO 48'!$C$2:$E$230,3,0),0)</f>
        <v>0</v>
      </c>
      <c r="G3860" s="18">
        <f t="shared" si="118"/>
        <v>0</v>
      </c>
    </row>
    <row r="3861" spans="1:7" ht="15.75" x14ac:dyDescent="0.25">
      <c r="A3861" s="15">
        <f>'PEDIDO 48'!$B$2</f>
        <v>0</v>
      </c>
      <c r="B3861" s="12" t="s">
        <v>451</v>
      </c>
      <c r="C3861" s="1">
        <f>IFERROR(VLOOKUP(1185,'PEDIDO 48'!$C$2:$E$230,3,0),0)</f>
        <v>0</v>
      </c>
      <c r="D3861" s="1">
        <f>IFERROR(VLOOKUP(1186,'PEDIDO 48'!$C$2:$E$230,3,0),0)</f>
        <v>0</v>
      </c>
      <c r="E3861" s="1">
        <f>IFERROR(VLOOKUP(1187,'PEDIDO 48'!$C$2:$E$230,3,0),0)</f>
        <v>0</v>
      </c>
      <c r="F3861" s="1">
        <f>IFERROR(VLOOKUP(1188,'PEDIDO 48'!$C$2:$E$230,3,0),0)</f>
        <v>0</v>
      </c>
      <c r="G3861" s="18">
        <f t="shared" si="118"/>
        <v>0</v>
      </c>
    </row>
    <row r="3862" spans="1:7" ht="15.75" x14ac:dyDescent="0.25">
      <c r="A3862" s="15">
        <f>'PEDIDO 48'!$B$2</f>
        <v>0</v>
      </c>
      <c r="B3862" s="12" t="s">
        <v>452</v>
      </c>
      <c r="C3862" s="1">
        <f>IFERROR(VLOOKUP(1189,'PEDIDO 48'!$C$2:$E$230,3,0),0)</f>
        <v>0</v>
      </c>
      <c r="D3862" s="1">
        <f>IFERROR(VLOOKUP(1190,'PEDIDO 48'!$C$2:$E$230,3,0),0)</f>
        <v>0</v>
      </c>
      <c r="E3862" s="1">
        <f>IFERROR(VLOOKUP(1191,'PEDIDO 48'!$C$2:$E$230,3,0),0)</f>
        <v>0</v>
      </c>
      <c r="F3862" s="1">
        <f>IFERROR(VLOOKUP(1192,'PEDIDO 48'!$C$2:$E$230,3,0),0)</f>
        <v>0</v>
      </c>
      <c r="G3862" s="18">
        <f t="shared" si="118"/>
        <v>0</v>
      </c>
    </row>
    <row r="3863" spans="1:7" ht="15.75" x14ac:dyDescent="0.25">
      <c r="A3863" s="15">
        <f>'PEDIDO 48'!$B$2</f>
        <v>0</v>
      </c>
      <c r="B3863" s="12" t="s">
        <v>453</v>
      </c>
      <c r="C3863" s="1">
        <f>IFERROR(VLOOKUP(1193,'PEDIDO 48'!$C$2:$E$230,3,0),0)</f>
        <v>0</v>
      </c>
      <c r="D3863" s="1">
        <f>IFERROR(VLOOKUP(1194,'PEDIDO 48'!$C$2:$E$230,3,0),0)</f>
        <v>0</v>
      </c>
      <c r="E3863" s="1">
        <f>IFERROR(VLOOKUP(1195,'PEDIDO 48'!$C$2:$E$230,3,0),0)</f>
        <v>0</v>
      </c>
      <c r="F3863" s="1">
        <f>IFERROR(VLOOKUP(1196,'PEDIDO 48'!$C$2:$E$230,3,0),0)</f>
        <v>0</v>
      </c>
      <c r="G3863" s="18">
        <f t="shared" si="118"/>
        <v>0</v>
      </c>
    </row>
    <row r="3864" spans="1:7" ht="15.75" x14ac:dyDescent="0.25">
      <c r="A3864" s="15">
        <f>'PEDIDO 48'!$B$2</f>
        <v>0</v>
      </c>
      <c r="B3864" s="12" t="s">
        <v>454</v>
      </c>
      <c r="C3864" s="1">
        <f>IFERROR(VLOOKUP(1197,'PEDIDO 48'!$C$2:$E$230,3,0),0)</f>
        <v>0</v>
      </c>
      <c r="D3864" s="1">
        <f>IFERROR(VLOOKUP(1198,'PEDIDO 48'!$C$2:$E$230,3,0),0)</f>
        <v>0</v>
      </c>
      <c r="E3864" s="1">
        <f>IFERROR(VLOOKUP(1199,'PEDIDO 48'!$C$2:$E$230,3,0),0)</f>
        <v>0</v>
      </c>
      <c r="F3864" s="1">
        <f>IFERROR(VLOOKUP(1200,'PEDIDO 48'!$C$2:$E$230,3,0),0)</f>
        <v>0</v>
      </c>
      <c r="G3864" s="18">
        <f t="shared" si="118"/>
        <v>0</v>
      </c>
    </row>
    <row r="3865" spans="1:7" ht="15.75" x14ac:dyDescent="0.25">
      <c r="A3865" s="15">
        <f>'PEDIDO 48'!$B$2</f>
        <v>0</v>
      </c>
      <c r="B3865" s="12" t="s">
        <v>455</v>
      </c>
      <c r="C3865" s="1">
        <f>IFERROR(VLOOKUP(1201,'PEDIDO 48'!$C$2:$E$230,3,0),0)</f>
        <v>0</v>
      </c>
      <c r="D3865" s="1">
        <f>IFERROR(VLOOKUP(1202,'PEDIDO 48'!$C$2:$E$230,3,0),0)</f>
        <v>0</v>
      </c>
      <c r="E3865" s="1">
        <f>IFERROR(VLOOKUP(1203,'PEDIDO 48'!$C$2:$E$230,3,0),0)</f>
        <v>0</v>
      </c>
      <c r="F3865" s="1">
        <f>IFERROR(VLOOKUP(1204,'PEDIDO 48'!$C$2:$E$230,3,0),0)</f>
        <v>0</v>
      </c>
      <c r="G3865" s="18">
        <f t="shared" si="118"/>
        <v>0</v>
      </c>
    </row>
    <row r="3866" spans="1:7" ht="15.75" x14ac:dyDescent="0.25">
      <c r="A3866" s="15">
        <f>'PEDIDO 48'!$B$2</f>
        <v>0</v>
      </c>
      <c r="B3866" s="12" t="s">
        <v>456</v>
      </c>
      <c r="C3866" s="1">
        <f>IFERROR(VLOOKUP(1205,'PEDIDO 48'!$C$2:$E$230,3,0),0)</f>
        <v>0</v>
      </c>
      <c r="D3866" s="1">
        <f>IFERROR(VLOOKUP(1206,'PEDIDO 48'!$C$2:$E$230,3,0),0)</f>
        <v>0</v>
      </c>
      <c r="E3866" s="1">
        <f>IFERROR(VLOOKUP(1207,'PEDIDO 48'!$C$2:$E$230,3,0),0)</f>
        <v>0</v>
      </c>
      <c r="F3866" s="1">
        <f>IFERROR(VLOOKUP(1208,'PEDIDO 48'!$C$2:$E$230,3,0),0)</f>
        <v>0</v>
      </c>
      <c r="G3866" s="18">
        <f t="shared" si="118"/>
        <v>0</v>
      </c>
    </row>
    <row r="3867" spans="1:7" ht="15.75" x14ac:dyDescent="0.25">
      <c r="A3867" s="15">
        <f>'PEDIDO 48'!$B$2</f>
        <v>0</v>
      </c>
      <c r="B3867" s="12" t="s">
        <v>457</v>
      </c>
      <c r="C3867" s="1">
        <f>IFERROR(VLOOKUP(1213,'PEDIDO 48'!$C$2:$E$230,3,0),0)</f>
        <v>0</v>
      </c>
      <c r="D3867" s="1">
        <f>IFERROR(VLOOKUP(1214,'PEDIDO 48'!$C$2:$E$230,3,0),0)</f>
        <v>0</v>
      </c>
      <c r="E3867" s="1">
        <f>IFERROR(VLOOKUP(1215,'PEDIDO 48'!$C$2:$E$230,3,0),0)</f>
        <v>0</v>
      </c>
      <c r="F3867" s="10">
        <f>IFERROR(VLOOKUP(1216,'PEDIDO 48'!$C$2:$E$230,3,0),0)</f>
        <v>0</v>
      </c>
      <c r="G3867" s="18">
        <f t="shared" si="118"/>
        <v>0</v>
      </c>
    </row>
    <row r="3868" spans="1:7" ht="15.75" x14ac:dyDescent="0.25">
      <c r="A3868" s="15">
        <f>'PEDIDO 48'!$B$2</f>
        <v>0</v>
      </c>
      <c r="B3868" s="12" t="s">
        <v>458</v>
      </c>
      <c r="C3868" s="1">
        <f>IFERROR(VLOOKUP(1209,'PEDIDO 48'!$C$2:$E$230,3,0),0)</f>
        <v>0</v>
      </c>
      <c r="D3868" s="1">
        <f>IFERROR(VLOOKUP(1210,'PEDIDO 48'!$C$2:$E$230,3,0),0)</f>
        <v>0</v>
      </c>
      <c r="E3868" s="1">
        <f>IFERROR(VLOOKUP(1211,'PEDIDO 48'!$C$2:$E$230,3,0),0)</f>
        <v>0</v>
      </c>
      <c r="F3868" s="1">
        <f>IFERROR(VLOOKUP(1212,'PEDIDO 48'!$C$2:$E$230,3,0),0)</f>
        <v>0</v>
      </c>
      <c r="G3868" s="18">
        <f t="shared" si="118"/>
        <v>0</v>
      </c>
    </row>
    <row r="3869" spans="1:7" ht="15.75" x14ac:dyDescent="0.25">
      <c r="A3869" s="15">
        <f>'PEDIDO 48'!$B$2</f>
        <v>0</v>
      </c>
      <c r="B3869" s="12" t="s">
        <v>459</v>
      </c>
      <c r="C3869" s="1">
        <f>IFERROR(VLOOKUP(1217,'PEDIDO 48'!$C$2:$E$230,3,0),0)</f>
        <v>0</v>
      </c>
      <c r="D3869" s="1">
        <f>IFERROR(VLOOKUP(1218,'PEDIDO 48'!$C$2:$E$230,3,0),0)</f>
        <v>0</v>
      </c>
      <c r="E3869" s="1">
        <f>IFERROR(VLOOKUP(1219,'PEDIDO 48'!$C$2:$E$230,3,0),0)</f>
        <v>0</v>
      </c>
      <c r="F3869" s="1">
        <f>IFERROR(VLOOKUP(1220,'PEDIDO 48'!$C$2:$E$230,3,0),0)</f>
        <v>0</v>
      </c>
      <c r="G3869" s="18">
        <f t="shared" si="118"/>
        <v>0</v>
      </c>
    </row>
    <row r="3870" spans="1:7" ht="15.75" x14ac:dyDescent="0.25">
      <c r="A3870" s="15">
        <f>'PEDIDO 48'!$B$2</f>
        <v>0</v>
      </c>
      <c r="B3870" s="12" t="s">
        <v>461</v>
      </c>
      <c r="C3870" s="1">
        <f>IFERROR(VLOOKUP(1225,'PEDIDO 48'!$C$2:$E$230,3,0),0)</f>
        <v>0</v>
      </c>
      <c r="D3870" s="1">
        <f>IFERROR(VLOOKUP(1226,'PEDIDO 48'!$C$2:$E$230,3,0),0)</f>
        <v>0</v>
      </c>
      <c r="E3870" s="1">
        <f>IFERROR(VLOOKUP(1227,'PEDIDO 48'!$C$2:$E$230,3,0),0)</f>
        <v>0</v>
      </c>
      <c r="F3870" s="1">
        <f>IFERROR(VLOOKUP(1228,'PEDIDO 48'!$C$2:$E$230,3,0),0)</f>
        <v>0</v>
      </c>
      <c r="G3870" s="18">
        <f t="shared" si="118"/>
        <v>0</v>
      </c>
    </row>
    <row r="3871" spans="1:7" ht="15.75" x14ac:dyDescent="0.25">
      <c r="A3871" s="15">
        <f>'PEDIDO 48'!$B$2</f>
        <v>0</v>
      </c>
      <c r="B3871" s="12" t="s">
        <v>462</v>
      </c>
      <c r="C3871" s="1">
        <f>IFERROR(VLOOKUP(1221,'PEDIDO 48'!$C$2:$E$230,3,0),0)</f>
        <v>0</v>
      </c>
      <c r="D3871" s="1">
        <f>IFERROR(VLOOKUP(1222,'PEDIDO 48'!$C$2:$E$230,3,0),0)</f>
        <v>0</v>
      </c>
      <c r="E3871" s="1">
        <f>IFERROR(VLOOKUP(1223,'PEDIDO 48'!$C$2:$E$230,3,0),0)</f>
        <v>0</v>
      </c>
      <c r="F3871" s="1">
        <f>IFERROR(VLOOKUP(1224,'PEDIDO 48'!$C$2:$E$230,3,0),0)</f>
        <v>0</v>
      </c>
      <c r="G3871" s="18">
        <f t="shared" si="118"/>
        <v>0</v>
      </c>
    </row>
    <row r="3872" spans="1:7" ht="15.75" x14ac:dyDescent="0.25">
      <c r="A3872" s="15">
        <f>'PEDIDO 48'!$B$2</f>
        <v>0</v>
      </c>
      <c r="B3872" s="12" t="s">
        <v>460</v>
      </c>
      <c r="C3872" s="1">
        <f>IFERROR(VLOOKUP(1229,'PEDIDO 48'!$C$2:$E$230,3,0),0)</f>
        <v>0</v>
      </c>
      <c r="D3872" s="1">
        <f>IFERROR(VLOOKUP(1230,'PEDIDO 48'!$C$2:$E$230,3,0),0)</f>
        <v>0</v>
      </c>
      <c r="E3872" s="1">
        <f>IFERROR(VLOOKUP(1231,'PEDIDO 48'!$C$2:$E$230,3,0),0)</f>
        <v>0</v>
      </c>
      <c r="F3872" s="1">
        <f>IFERROR(VLOOKUP(1232,'PEDIDO 48'!$C$2:$E$230,3,0),0)</f>
        <v>0</v>
      </c>
      <c r="G3872" s="18">
        <f t="shared" si="118"/>
        <v>0</v>
      </c>
    </row>
    <row r="3873" spans="1:7" ht="15.75" x14ac:dyDescent="0.25">
      <c r="A3873" s="15">
        <f>'PEDIDO 48'!$B$2</f>
        <v>0</v>
      </c>
      <c r="B3873" s="12" t="s">
        <v>463</v>
      </c>
      <c r="C3873" s="1">
        <f>IFERROR(VLOOKUP(1233,'PEDIDO 48'!$C$2:$E$230,3,0),0)</f>
        <v>0</v>
      </c>
      <c r="D3873" s="1">
        <f>IFERROR(VLOOKUP(1234,'PEDIDO 48'!$C$2:$E$230,3,0),0)</f>
        <v>0</v>
      </c>
      <c r="E3873" s="1">
        <f>IFERROR(VLOOKUP(1235,'PEDIDO 48'!$C$2:$E$230,3,0),0)</f>
        <v>0</v>
      </c>
      <c r="F3873" s="1">
        <f>IFERROR(VLOOKUP(1236,'PEDIDO 48'!$C$2:$E$230,3,0),0)</f>
        <v>0</v>
      </c>
      <c r="G3873" s="18">
        <f t="shared" si="118"/>
        <v>0</v>
      </c>
    </row>
    <row r="3874" spans="1:7" ht="15.75" x14ac:dyDescent="0.25">
      <c r="A3874" s="15">
        <f>'PEDIDO 48'!$B$2</f>
        <v>0</v>
      </c>
      <c r="B3874" s="12" t="s">
        <v>464</v>
      </c>
      <c r="C3874" s="1">
        <f>IFERROR(VLOOKUP(1237,'PEDIDO 48'!$C$2:$E$230,3,0),0)</f>
        <v>0</v>
      </c>
      <c r="D3874" s="1">
        <f>IFERROR(VLOOKUP(1238,'PEDIDO 48'!$C$2:$E$230,3,0),0)</f>
        <v>0</v>
      </c>
      <c r="E3874" s="1">
        <f>IFERROR(VLOOKUP(1239,'PEDIDO 48'!$C$2:$E$230,3,0),0)</f>
        <v>0</v>
      </c>
      <c r="F3874" s="1">
        <f>IFERROR(VLOOKUP(1240,'PEDIDO 48'!$C$2:$E$230,3,0),0)</f>
        <v>0</v>
      </c>
      <c r="G3874" s="18">
        <f t="shared" ref="G3874:G3886" si="119">SUM(C3874+D3874+E3874+F3874)</f>
        <v>0</v>
      </c>
    </row>
    <row r="3875" spans="1:7" ht="15.75" x14ac:dyDescent="0.25">
      <c r="A3875" s="15">
        <f>'PEDIDO 48'!$B$2</f>
        <v>0</v>
      </c>
      <c r="B3875" s="12" t="s">
        <v>465</v>
      </c>
      <c r="C3875" s="1">
        <f>IFERROR(VLOOKUP(1241,'PEDIDO 48'!$C$2:$E$230,3,0),0)</f>
        <v>0</v>
      </c>
      <c r="D3875" s="1">
        <f>IFERROR(VLOOKUP(1242,'PEDIDO 48'!$C$2:$E$230,3,0),0)</f>
        <v>0</v>
      </c>
      <c r="E3875" s="1">
        <f>IFERROR(VLOOKUP(1243,'PEDIDO 48'!$C$2:$E$230,3,0),0)</f>
        <v>0</v>
      </c>
      <c r="F3875" s="1">
        <f>IFERROR(VLOOKUP(1244,'PEDIDO 48'!$C$2:$E$230,3,0),0)</f>
        <v>0</v>
      </c>
      <c r="G3875" s="18">
        <f t="shared" si="119"/>
        <v>0</v>
      </c>
    </row>
    <row r="3876" spans="1:7" ht="15.75" x14ac:dyDescent="0.25">
      <c r="A3876" s="15">
        <f>'PEDIDO 48'!$B$2</f>
        <v>0</v>
      </c>
      <c r="B3876" s="12" t="s">
        <v>466</v>
      </c>
      <c r="C3876" s="1">
        <f>IFERROR(VLOOKUP(1245,'PEDIDO 48'!$C$2:$E$230,3,0),0)</f>
        <v>0</v>
      </c>
      <c r="D3876" s="1">
        <f>IFERROR(VLOOKUP(1246,'PEDIDO 48'!$C$2:$E$230,3,0),0)</f>
        <v>0</v>
      </c>
      <c r="E3876" s="1">
        <f>IFERROR(VLOOKUP(1247,'PEDIDO 48'!$C$2:$E$230,3,0),0)</f>
        <v>0</v>
      </c>
      <c r="F3876" s="1">
        <f>IFERROR(VLOOKUP(1248,'PEDIDO 48'!$C$2:$E$230,3,0),0)</f>
        <v>0</v>
      </c>
      <c r="G3876" s="18">
        <f t="shared" si="119"/>
        <v>0</v>
      </c>
    </row>
    <row r="3877" spans="1:7" ht="15.75" x14ac:dyDescent="0.25">
      <c r="A3877" s="15">
        <f>'PEDIDO 48'!$B$2</f>
        <v>0</v>
      </c>
      <c r="B3877" s="12" t="s">
        <v>467</v>
      </c>
      <c r="C3877" s="1">
        <f>IFERROR(VLOOKUP(25714,'PEDIDO 48'!$C$2:$E$230,3,0),0)</f>
        <v>0</v>
      </c>
      <c r="D3877" s="1"/>
      <c r="E3877" s="1"/>
      <c r="F3877" s="1"/>
      <c r="G3877" s="18">
        <f t="shared" si="119"/>
        <v>0</v>
      </c>
    </row>
    <row r="3878" spans="1:7" ht="15.75" x14ac:dyDescent="0.25">
      <c r="A3878" s="15">
        <f>'PEDIDO 48'!$B$2</f>
        <v>0</v>
      </c>
      <c r="B3878" s="12" t="s">
        <v>468</v>
      </c>
      <c r="C3878" s="1">
        <f>IFERROR(VLOOKUP(25712,'PEDIDO 48'!$C$2:$E$230,3,0),0)</f>
        <v>0</v>
      </c>
      <c r="D3878" s="1"/>
      <c r="E3878" s="1"/>
      <c r="F3878" s="1"/>
      <c r="G3878" s="18">
        <f t="shared" si="119"/>
        <v>0</v>
      </c>
    </row>
    <row r="3879" spans="1:7" ht="15.75" x14ac:dyDescent="0.25">
      <c r="A3879" s="15">
        <f>'PEDIDO 48'!$B$2</f>
        <v>0</v>
      </c>
      <c r="B3879" s="12" t="s">
        <v>469</v>
      </c>
      <c r="C3879" s="1">
        <f>IFERROR(VLOOKUP(25713,'PEDIDO 48'!$C$2:$E$230,3,0),0)</f>
        <v>0</v>
      </c>
      <c r="D3879" s="1"/>
      <c r="E3879" s="1"/>
      <c r="F3879" s="1"/>
      <c r="G3879" s="18">
        <f t="shared" si="119"/>
        <v>0</v>
      </c>
    </row>
    <row r="3880" spans="1:7" ht="15.75" x14ac:dyDescent="0.25">
      <c r="A3880" s="15">
        <f>'PEDIDO 48'!$B$2</f>
        <v>0</v>
      </c>
      <c r="B3880" s="12" t="s">
        <v>470</v>
      </c>
      <c r="C3880" s="1">
        <f>IFERROR(VLOOKUP(1260,'PEDIDO 48'!$C$2:$E$230,3,0),0)</f>
        <v>0</v>
      </c>
      <c r="D3880" s="1"/>
      <c r="E3880" s="1"/>
      <c r="F3880" s="1"/>
      <c r="G3880" s="18">
        <f t="shared" si="119"/>
        <v>0</v>
      </c>
    </row>
    <row r="3881" spans="1:7" ht="15.75" x14ac:dyDescent="0.25">
      <c r="A3881" s="15">
        <f>'PEDIDO 48'!$B$2</f>
        <v>0</v>
      </c>
      <c r="B3881" s="12" t="s">
        <v>471</v>
      </c>
      <c r="C3881" s="1">
        <f>IFERROR(VLOOKUP(1261,'PEDIDO 48'!$C$2:$E$230,3,0),0)</f>
        <v>0</v>
      </c>
      <c r="D3881" s="1"/>
      <c r="E3881" s="1"/>
      <c r="F3881" s="1"/>
      <c r="G3881" s="18">
        <f t="shared" si="119"/>
        <v>0</v>
      </c>
    </row>
    <row r="3882" spans="1:7" ht="15.75" x14ac:dyDescent="0.25">
      <c r="A3882" s="15">
        <f>'PEDIDO 48'!$B$2</f>
        <v>0</v>
      </c>
      <c r="B3882" s="12" t="s">
        <v>472</v>
      </c>
      <c r="C3882" s="1">
        <f>IFERROR(VLOOKUP(1262,'PEDIDO 48'!$C$2:$E$230,3,0),0)</f>
        <v>0</v>
      </c>
      <c r="D3882" s="1"/>
      <c r="E3882" s="1"/>
      <c r="F3882" s="1"/>
      <c r="G3882" s="18">
        <f t="shared" si="119"/>
        <v>0</v>
      </c>
    </row>
    <row r="3883" spans="1:7" ht="15.75" x14ac:dyDescent="0.25">
      <c r="A3883" s="15">
        <f>'PEDIDO 48'!$B$2</f>
        <v>0</v>
      </c>
      <c r="B3883" s="12" t="s">
        <v>473</v>
      </c>
      <c r="C3883" s="1">
        <f>IFERROR(VLOOKUP(1263,'PEDIDO 48'!$C$2:$E$230,3,0),0)</f>
        <v>0</v>
      </c>
      <c r="D3883" s="1"/>
      <c r="E3883" s="1"/>
      <c r="F3883" s="1"/>
      <c r="G3883" s="18">
        <f t="shared" si="119"/>
        <v>0</v>
      </c>
    </row>
    <row r="3884" spans="1:7" ht="15.75" x14ac:dyDescent="0.25">
      <c r="A3884" s="15">
        <f>'PEDIDO 48'!$B$2</f>
        <v>0</v>
      </c>
      <c r="B3884" s="12" t="s">
        <v>474</v>
      </c>
      <c r="C3884" s="1">
        <f>IFERROR(VLOOKUP(1264,'PEDIDO 48'!$C$2:$E$230,3,0),0)</f>
        <v>0</v>
      </c>
      <c r="D3884" s="1"/>
      <c r="E3884" s="1"/>
      <c r="F3884" s="1"/>
      <c r="G3884" s="18">
        <f t="shared" si="119"/>
        <v>0</v>
      </c>
    </row>
    <row r="3885" spans="1:7" ht="15.75" x14ac:dyDescent="0.25">
      <c r="A3885" s="15">
        <f>'PEDIDO 48'!$B$2</f>
        <v>0</v>
      </c>
      <c r="B3885" s="12" t="s">
        <v>475</v>
      </c>
      <c r="C3885" s="1">
        <f>IFERROR(VLOOKUP(1265,'PEDIDO 48'!$C$2:$E$230,3,0),0)</f>
        <v>0</v>
      </c>
      <c r="D3885" s="1"/>
      <c r="E3885" s="1"/>
      <c r="F3885" s="1"/>
      <c r="G3885" s="18">
        <f t="shared" si="119"/>
        <v>0</v>
      </c>
    </row>
    <row r="3886" spans="1:7" ht="15.75" x14ac:dyDescent="0.25">
      <c r="A3886" s="15">
        <f>'PEDIDO 48'!$B$2</f>
        <v>0</v>
      </c>
      <c r="B3886" s="12" t="s">
        <v>476</v>
      </c>
      <c r="C3886" s="1">
        <f>IFERROR(VLOOKUP(1266,'PEDIDO 48'!$C$2:$E$230,3,0),0)</f>
        <v>0</v>
      </c>
      <c r="D3886" s="1"/>
      <c r="E3886" s="1"/>
      <c r="F3886" s="1"/>
      <c r="G3886" s="18">
        <f t="shared" si="119"/>
        <v>0</v>
      </c>
    </row>
    <row r="3887" spans="1:7" ht="15.75" x14ac:dyDescent="0.25">
      <c r="A3887" s="15">
        <f>'PEDIDO 48'!$B$2</f>
        <v>0</v>
      </c>
      <c r="B3887" s="12" t="s">
        <v>477</v>
      </c>
      <c r="C3887" s="1">
        <f>IFERROR(VLOOKUP(1268,'PEDIDO 48'!$C$2:$E$230,3,0),0)</f>
        <v>0</v>
      </c>
      <c r="D3887" s="1">
        <f>IFERROR(VLOOKUP(1269,'PEDIDO 48'!$C$2:$E$230,3,0),0)</f>
        <v>0</v>
      </c>
      <c r="E3887" s="1">
        <f>IFERROR(VLOOKUP(1270,'PEDIDO 48'!$C$2:$E$230,3,0),0)</f>
        <v>0</v>
      </c>
      <c r="F3887" s="1">
        <f>IFERROR(VLOOKUP(1271,'PEDIDO 48'!$C$2:$E$230,3,0),0)</f>
        <v>0</v>
      </c>
      <c r="G3887" s="18">
        <f t="shared" ref="G3887" si="120">SUM(C3887+D3887+E3887+F3887)</f>
        <v>0</v>
      </c>
    </row>
    <row r="3890" spans="1:7" ht="15.75" x14ac:dyDescent="0.25">
      <c r="A3890" s="15">
        <f>'PEDIDO 49'!$B$2</f>
        <v>0</v>
      </c>
      <c r="B3890" s="12" t="s">
        <v>399</v>
      </c>
      <c r="C3890" s="1">
        <f>IFERROR(VLOOKUP(1,'PEDIDO 49'!$C$2:$E$230,3,0),0)</f>
        <v>0</v>
      </c>
      <c r="D3890" s="1">
        <f>IFERROR(VLOOKUP(2,'PEDIDO 49'!$C$2:$E$230,3,0),0)</f>
        <v>0</v>
      </c>
      <c r="E3890" s="1">
        <f>IFERROR(VLOOKUP(3,'PEDIDO 49'!$C$2:$E$230,3,0),0)</f>
        <v>0</v>
      </c>
      <c r="F3890" s="1">
        <f>IFERROR(VLOOKUP(282,'PEDIDO 49'!$C$2:$E$230,3,0),0)</f>
        <v>0</v>
      </c>
      <c r="G3890" s="18">
        <f>SUM(C3890+D3890+E3890+F3890)</f>
        <v>0</v>
      </c>
    </row>
    <row r="3891" spans="1:7" ht="15.75" x14ac:dyDescent="0.25">
      <c r="A3891" s="15">
        <f>'PEDIDO 49'!$B$2</f>
        <v>0</v>
      </c>
      <c r="B3891" s="12" t="s">
        <v>400</v>
      </c>
      <c r="C3891" s="1">
        <f>IFERROR(VLOOKUP(5,'PEDIDO 49'!$C$2:$E$230,3,0),0)</f>
        <v>0</v>
      </c>
      <c r="D3891" s="1">
        <f>IFERROR(VLOOKUP(6,'PEDIDO 49'!$C$2:$E$230,3,0),0)</f>
        <v>0</v>
      </c>
      <c r="E3891" s="1">
        <f>IFERROR(VLOOKUP(7,'PEDIDO 49'!$C$2:$E$230,3,0),0)</f>
        <v>0</v>
      </c>
      <c r="F3891" s="1">
        <f>IFERROR(VLOOKUP(258,'PEDIDO 49'!$C$2:$E$230,3,0),0)</f>
        <v>0</v>
      </c>
      <c r="G3891" s="18">
        <f t="shared" ref="G3891:G3954" si="121">SUM(C3891+D3891+E3891+F3891)</f>
        <v>0</v>
      </c>
    </row>
    <row r="3892" spans="1:7" ht="15.75" x14ac:dyDescent="0.25">
      <c r="A3892" s="15">
        <f>'PEDIDO 49'!$B$2</f>
        <v>0</v>
      </c>
      <c r="B3892" s="12" t="s">
        <v>401</v>
      </c>
      <c r="C3892" s="1">
        <f>IFERROR(VLOOKUP(13,'PEDIDO 49'!$C$2:$E$230,3,0),0)</f>
        <v>0</v>
      </c>
      <c r="D3892" s="1">
        <f>IFERROR(VLOOKUP(14,'PEDIDO 49'!$C$2:$E$230,3,0),0)</f>
        <v>0</v>
      </c>
      <c r="E3892" s="1">
        <f>IFERROR(VLOOKUP(15,'PEDIDO 49'!$C$2:$E$230,3,0),0)</f>
        <v>0</v>
      </c>
      <c r="F3892" s="1">
        <f>IFERROR(VLOOKUP(289,'PEDIDO 49'!$C$2:$E$230,3,0),0)</f>
        <v>0</v>
      </c>
      <c r="G3892" s="18">
        <f t="shared" si="121"/>
        <v>0</v>
      </c>
    </row>
    <row r="3893" spans="1:7" ht="15.75" x14ac:dyDescent="0.25">
      <c r="A3893" s="15">
        <f>'PEDIDO 49'!$B$2</f>
        <v>0</v>
      </c>
      <c r="B3893" s="12" t="s">
        <v>402</v>
      </c>
      <c r="C3893" s="1">
        <f>IFERROR(VLOOKUP(267,'PEDIDO 49'!$C$2:$E$230,3,0),0)</f>
        <v>0</v>
      </c>
      <c r="D3893" s="1">
        <f>IFERROR(VLOOKUP(268,'PEDIDO 49'!$C$2:$E$230,3,0),0)</f>
        <v>0</v>
      </c>
      <c r="E3893" s="1">
        <f>IFERROR(VLOOKUP(270,'PEDIDO 49'!$C$2:$E$230,3,0),0)</f>
        <v>0</v>
      </c>
      <c r="F3893" s="1">
        <f>IFERROR(VLOOKUP(269,'PEDIDO 49'!$C$2:$E$230,3,0),0)</f>
        <v>0</v>
      </c>
      <c r="G3893" s="18">
        <f t="shared" si="121"/>
        <v>0</v>
      </c>
    </row>
    <row r="3894" spans="1:7" ht="15.75" x14ac:dyDescent="0.25">
      <c r="A3894" s="15">
        <f>'PEDIDO 49'!$B$2</f>
        <v>0</v>
      </c>
      <c r="B3894" s="12" t="s">
        <v>403</v>
      </c>
      <c r="C3894" s="1">
        <f>IFERROR(VLOOKUP(17,'PEDIDO 49'!$C$2:$E$230,3,0),0)</f>
        <v>0</v>
      </c>
      <c r="D3894" s="1">
        <f>IFERROR(VLOOKUP(18,'PEDIDO 49'!$C$2:$E$230,3,0),0)</f>
        <v>0</v>
      </c>
      <c r="E3894" s="1">
        <f>IFERROR(VLOOKUP(19,'PEDIDO 49'!$C$2:$E$230,3,0),0)</f>
        <v>0</v>
      </c>
      <c r="F3894" s="1">
        <f>IFERROR(VLOOKUP(290,'PEDIDO 49'!$C$2:$E$230,3,0),0)</f>
        <v>0</v>
      </c>
      <c r="G3894" s="18">
        <f t="shared" si="121"/>
        <v>0</v>
      </c>
    </row>
    <row r="3895" spans="1:7" ht="15.75" x14ac:dyDescent="0.25">
      <c r="A3895" s="15">
        <f>'PEDIDO 49'!$B$2</f>
        <v>0</v>
      </c>
      <c r="B3895" s="12" t="s">
        <v>404</v>
      </c>
      <c r="C3895" s="1">
        <f>IFERROR(VLOOKUP(23,'PEDIDO 49'!$C$2:$E$230,3,0),0)</f>
        <v>0</v>
      </c>
      <c r="D3895" s="1">
        <f>IFERROR(VLOOKUP(24,'PEDIDO 49'!$C$2:$E$230,3,0),0)</f>
        <v>0</v>
      </c>
      <c r="E3895" s="1">
        <f>IFERROR(VLOOKUP(25,'PEDIDO 49'!$C$2:$E$230,3,0),0)</f>
        <v>0</v>
      </c>
      <c r="F3895" s="1">
        <f>IFERROR(VLOOKUP(291,'PEDIDO 49'!$C$2:$E$230,3,0),0)</f>
        <v>0</v>
      </c>
      <c r="G3895" s="18">
        <f t="shared" si="121"/>
        <v>0</v>
      </c>
    </row>
    <row r="3896" spans="1:7" ht="15.75" x14ac:dyDescent="0.25">
      <c r="A3896" s="15">
        <f>'PEDIDO 49'!$B$2</f>
        <v>0</v>
      </c>
      <c r="B3896" s="12" t="s">
        <v>405</v>
      </c>
      <c r="C3896" s="1">
        <f>IFERROR(VLOOKUP(27,'PEDIDO 49'!$C$2:$E$230,3,0),0)</f>
        <v>0</v>
      </c>
      <c r="D3896" s="1">
        <f>IFERROR(VLOOKUP(28,'PEDIDO 49'!$C$2:$E$230,3,0),0)</f>
        <v>0</v>
      </c>
      <c r="E3896" s="1">
        <f>IFERROR(VLOOKUP(29,'PEDIDO 49'!$C$2:$E$230,3,0),0)</f>
        <v>0</v>
      </c>
      <c r="F3896" s="1">
        <f>IFERROR(VLOOKUP(292,'PEDIDO 49'!$C$2:$E$230,3,0),0)</f>
        <v>0</v>
      </c>
      <c r="G3896" s="18">
        <f t="shared" si="121"/>
        <v>0</v>
      </c>
    </row>
    <row r="3897" spans="1:7" ht="15.75" x14ac:dyDescent="0.25">
      <c r="A3897" s="15">
        <f>'PEDIDO 49'!$B$2</f>
        <v>0</v>
      </c>
      <c r="B3897" s="12" t="s">
        <v>406</v>
      </c>
      <c r="C3897" s="1">
        <f>IFERROR(VLOOKUP(227,'PEDIDO 49'!$C$2:$E$230,3,0),0)</f>
        <v>0</v>
      </c>
      <c r="D3897" s="1">
        <f>IFERROR(VLOOKUP(228,'PEDIDO 49'!$C$2:$E$230,3,0),0)</f>
        <v>0</v>
      </c>
      <c r="E3897" s="1">
        <f>IFERROR(VLOOKUP(229,'PEDIDO 49'!$C$2:$E$230,3,0),0)</f>
        <v>0</v>
      </c>
      <c r="F3897" s="1">
        <f>IFERROR(VLOOKUP(230,'PEDIDO 49'!$C$2:$E$230,3,0),0)</f>
        <v>0</v>
      </c>
      <c r="G3897" s="18">
        <f t="shared" si="121"/>
        <v>0</v>
      </c>
    </row>
    <row r="3898" spans="1:7" ht="15.75" x14ac:dyDescent="0.25">
      <c r="A3898" s="15">
        <f>'PEDIDO 49'!$B$2</f>
        <v>0</v>
      </c>
      <c r="B3898" s="12" t="s">
        <v>407</v>
      </c>
      <c r="C3898" s="1">
        <f>IFERROR(VLOOKUP(231,'PEDIDO 49'!$C$2:$E$230,3,0),0)</f>
        <v>0</v>
      </c>
      <c r="D3898" s="1">
        <f>IFERROR(VLOOKUP(232,'PEDIDO 49'!$C$2:$E$230,3,0),0)</f>
        <v>0</v>
      </c>
      <c r="E3898" s="1">
        <f>IFERROR(VLOOKUP(234,'PEDIDO 49'!$C$2:$E$230,3,0),0)</f>
        <v>0</v>
      </c>
      <c r="F3898" s="1">
        <f>IFERROR(VLOOKUP(233,'PEDIDO 49'!$C$2:$E$230,3,0),0)</f>
        <v>0</v>
      </c>
      <c r="G3898" s="18">
        <f t="shared" si="121"/>
        <v>0</v>
      </c>
    </row>
    <row r="3899" spans="1:7" ht="15.75" x14ac:dyDescent="0.25">
      <c r="A3899" s="15">
        <f>'PEDIDO 49'!$B$2</f>
        <v>0</v>
      </c>
      <c r="B3899" s="12" t="s">
        <v>408</v>
      </c>
      <c r="C3899" s="1">
        <f>IFERROR(VLOOKUP(237,'PEDIDO 49'!$C$2:$E$230,3,0),0)</f>
        <v>0</v>
      </c>
      <c r="D3899" s="1">
        <f>IFERROR(VLOOKUP(238,'PEDIDO 49'!$C$2:$E$230,3,0),0)</f>
        <v>0</v>
      </c>
      <c r="E3899" s="1">
        <f>IFERROR(VLOOKUP(240,'PEDIDO 49'!$C$2:$E$230,3,0),0)</f>
        <v>0</v>
      </c>
      <c r="F3899" s="1">
        <f>IFERROR(VLOOKUP(239,'PEDIDO 49'!$C$2:$E$230,3,0),0)</f>
        <v>0</v>
      </c>
      <c r="G3899" s="18">
        <f t="shared" si="121"/>
        <v>0</v>
      </c>
    </row>
    <row r="3900" spans="1:7" ht="15.75" x14ac:dyDescent="0.25">
      <c r="A3900" s="15">
        <f>'PEDIDO 49'!$B$2</f>
        <v>0</v>
      </c>
      <c r="B3900" s="12" t="s">
        <v>409</v>
      </c>
      <c r="C3900" s="1">
        <f>IFERROR(VLOOKUP(25707,'PEDIDO 49'!$C$2:$E$230,3,0),0)</f>
        <v>0</v>
      </c>
      <c r="D3900" s="1">
        <f>IFERROR(VLOOKUP(25708,'PEDIDO 49'!$C$2:$E$230,3,0),0)</f>
        <v>0</v>
      </c>
      <c r="E3900" s="1">
        <f>IFERROR(VLOOKUP(25710,'PEDIDO 49'!$C$2:$E$230,3,0),0)</f>
        <v>0</v>
      </c>
      <c r="F3900" s="1">
        <f>IFERROR(VLOOKUP(25709,'PEDIDO 49'!$C$2:$E$230,3,0),0)</f>
        <v>0</v>
      </c>
      <c r="G3900" s="18">
        <f t="shared" si="121"/>
        <v>0</v>
      </c>
    </row>
    <row r="3901" spans="1:7" ht="15.75" x14ac:dyDescent="0.25">
      <c r="A3901" s="15">
        <f>'PEDIDO 49'!$B$2</f>
        <v>0</v>
      </c>
      <c r="B3901" s="12" t="s">
        <v>410</v>
      </c>
      <c r="C3901" s="1">
        <f>IFERROR(VLOOKUP(25711,'PEDIDO 49'!$C$2:$E$230,3,0),0)</f>
        <v>0</v>
      </c>
      <c r="D3901" s="1"/>
      <c r="E3901" s="1"/>
      <c r="F3901" s="1"/>
      <c r="G3901" s="18">
        <f t="shared" si="121"/>
        <v>0</v>
      </c>
    </row>
    <row r="3902" spans="1:7" ht="15.75" x14ac:dyDescent="0.25">
      <c r="A3902" s="15">
        <f>'PEDIDO 49'!$B$2</f>
        <v>0</v>
      </c>
      <c r="B3902" s="12" t="s">
        <v>411</v>
      </c>
      <c r="C3902" s="1">
        <f>IFERROR(VLOOKUP(35,'PEDIDO 49'!$C$2:$E$230,3,0),0)</f>
        <v>0</v>
      </c>
      <c r="D3902" s="1">
        <f>IFERROR(VLOOKUP(36,'PEDIDO 49'!$C$2:$E$230,3,0),0)</f>
        <v>0</v>
      </c>
      <c r="E3902" s="1">
        <f>IFERROR(VLOOKUP(37,'PEDIDO 49'!$C$2:$E$230,3,0),0)</f>
        <v>0</v>
      </c>
      <c r="F3902" s="1">
        <f>IFERROR(VLOOKUP(294,'PEDIDO 49'!$C$2:$E$230,3,0),0)</f>
        <v>0</v>
      </c>
      <c r="G3902" s="18">
        <f t="shared" si="121"/>
        <v>0</v>
      </c>
    </row>
    <row r="3903" spans="1:7" ht="15.75" x14ac:dyDescent="0.25">
      <c r="A3903" s="15">
        <f>'PEDIDO 49'!$B$2</f>
        <v>0</v>
      </c>
      <c r="B3903" s="12" t="s">
        <v>412</v>
      </c>
      <c r="C3903" s="1">
        <f>IFERROR(VLOOKUP(39,'PEDIDO 49'!$C$2:$E$230,3,0),0)</f>
        <v>0</v>
      </c>
      <c r="D3903" s="1">
        <f>IFERROR(VLOOKUP(40,'PEDIDO 49'!$C$2:$E$230,3,0),0)</f>
        <v>0</v>
      </c>
      <c r="E3903" s="1">
        <f>IFERROR(VLOOKUP(42,'PEDIDO 49'!$C$2:$E$230,3,0),0)</f>
        <v>0</v>
      </c>
      <c r="F3903" s="1">
        <f>IFERROR(VLOOKUP(295,'PEDIDO 49'!$C$2:$E$230,3,0),0)</f>
        <v>0</v>
      </c>
      <c r="G3903" s="18">
        <f t="shared" si="121"/>
        <v>0</v>
      </c>
    </row>
    <row r="3904" spans="1:7" ht="15.75" x14ac:dyDescent="0.25">
      <c r="A3904" s="15">
        <f>'PEDIDO 49'!$B$2</f>
        <v>0</v>
      </c>
      <c r="B3904" s="12" t="s">
        <v>413</v>
      </c>
      <c r="C3904" s="1">
        <f>IFERROR(VLOOKUP(44,'PEDIDO 49'!$C$2:$E$230,3,0),0)</f>
        <v>0</v>
      </c>
      <c r="D3904" s="1">
        <f>IFERROR(VLOOKUP(45,'PEDIDO 49'!$C$2:$E$230,3,0),0)</f>
        <v>0</v>
      </c>
      <c r="E3904" s="1">
        <f>IFERROR(VLOOKUP(46,'PEDIDO 49'!$C$2:$E$230,3,0),0)</f>
        <v>0</v>
      </c>
      <c r="F3904" s="1">
        <f>IFERROR(VLOOKUP(283,'PEDIDO 49'!$C$2:$E$230,3,0),0)</f>
        <v>0</v>
      </c>
      <c r="G3904" s="18">
        <f t="shared" si="121"/>
        <v>0</v>
      </c>
    </row>
    <row r="3905" spans="1:7" ht="15.75" x14ac:dyDescent="0.25">
      <c r="A3905" s="15">
        <f>'PEDIDO 49'!$B$2</f>
        <v>0</v>
      </c>
      <c r="B3905" s="12" t="s">
        <v>414</v>
      </c>
      <c r="C3905" s="1">
        <f>IFERROR(VLOOKUP(48,'PEDIDO 49'!$C$2:$E$230,3,0),0)</f>
        <v>0</v>
      </c>
      <c r="D3905" s="1">
        <f>IFERROR(VLOOKUP(49,'PEDIDO 49'!$C$2:$E$230,3,0),0)</f>
        <v>0</v>
      </c>
      <c r="E3905" s="1">
        <f>IFERROR(VLOOKUP(50,'PEDIDO 49'!$C$2:$E$230,3,0),0)</f>
        <v>0</v>
      </c>
      <c r="F3905" s="1">
        <f>IFERROR(VLOOKUP(298,'PEDIDO 49'!$C$2:$E$230,3,0),0)</f>
        <v>0</v>
      </c>
      <c r="G3905" s="18">
        <f t="shared" si="121"/>
        <v>0</v>
      </c>
    </row>
    <row r="3906" spans="1:7" ht="15.75" x14ac:dyDescent="0.25">
      <c r="A3906" s="15">
        <f>'PEDIDO 49'!$B$2</f>
        <v>0</v>
      </c>
      <c r="B3906" s="12" t="s">
        <v>415</v>
      </c>
      <c r="C3906" s="1">
        <f>IFERROR(VLOOKUP(52,'PEDIDO 49'!$C$2:$E$230,3,0),0)</f>
        <v>0</v>
      </c>
      <c r="D3906" s="1">
        <f>IFERROR(VLOOKUP(53,'PEDIDO 49'!$C$2:$E$230,3,0),0)</f>
        <v>0</v>
      </c>
      <c r="E3906" s="1">
        <f>IFERROR(VLOOKUP(54,'PEDIDO 49'!$C$2:$E$230,3,0),0)</f>
        <v>0</v>
      </c>
      <c r="F3906" s="1">
        <f>IFERROR(VLOOKUP(299,'PEDIDO 49'!$C$2:$E$230,3,0),0)</f>
        <v>0</v>
      </c>
      <c r="G3906" s="18">
        <f t="shared" si="121"/>
        <v>0</v>
      </c>
    </row>
    <row r="3907" spans="1:7" ht="15.75" x14ac:dyDescent="0.25">
      <c r="A3907" s="15">
        <f>'PEDIDO 49'!$B$2</f>
        <v>0</v>
      </c>
      <c r="B3907" s="12" t="s">
        <v>416</v>
      </c>
      <c r="C3907" s="1">
        <f>IFERROR(VLOOKUP(56,'PEDIDO 49'!$C$2:$E$230,3,0),0)</f>
        <v>0</v>
      </c>
      <c r="D3907" s="1">
        <f>IFERROR(VLOOKUP(61,'PEDIDO 49'!$C$2:$E$230,3,0),0)</f>
        <v>0</v>
      </c>
      <c r="E3907" s="1">
        <f>IFERROR(VLOOKUP(58,'PEDIDO 49'!$C$2:$E$230,3,0),0)</f>
        <v>0</v>
      </c>
      <c r="F3907" s="1">
        <f>IFERROR(VLOOKUP(300,'PEDIDO 49'!$C$2:$E$230,3,0),0)</f>
        <v>0</v>
      </c>
      <c r="G3907" s="18">
        <f t="shared" si="121"/>
        <v>0</v>
      </c>
    </row>
    <row r="3908" spans="1:7" ht="15.75" x14ac:dyDescent="0.25">
      <c r="A3908" s="15">
        <f>'PEDIDO 49'!$B$2</f>
        <v>0</v>
      </c>
      <c r="B3908" s="12" t="s">
        <v>417</v>
      </c>
      <c r="C3908" s="1">
        <f>IFERROR(VLOOKUP(60,'PEDIDO 49'!$C$2:$E$230,3,0),0)</f>
        <v>0</v>
      </c>
      <c r="D3908" s="1">
        <f>IFERROR(VLOOKUP(120,'PEDIDO 49'!$C$2:$E$230,3,0),0)</f>
        <v>0</v>
      </c>
      <c r="E3908" s="1">
        <f>IFERROR(VLOOKUP(62,'PEDIDO 49'!$C$2:$E$230,3,0),0)</f>
        <v>0</v>
      </c>
      <c r="F3908" s="1">
        <f>IFERROR(VLOOKUP(301,'PEDIDO 49'!$C$2:$E$230,3,0),0)</f>
        <v>0</v>
      </c>
      <c r="G3908" s="18">
        <f t="shared" si="121"/>
        <v>0</v>
      </c>
    </row>
    <row r="3909" spans="1:7" ht="15.75" x14ac:dyDescent="0.25">
      <c r="A3909" s="15">
        <f>'PEDIDO 49'!$B$2</f>
        <v>0</v>
      </c>
      <c r="B3909" s="12" t="s">
        <v>426</v>
      </c>
      <c r="C3909" s="1">
        <f>IFERROR(VLOOKUP(112,'PEDIDO 49'!$C$2:$E$230,3,0),0)</f>
        <v>0</v>
      </c>
      <c r="D3909" s="1">
        <f>IFERROR(VLOOKUP(113,'PEDIDO 49'!$C$2:$E$230,3,0),0)</f>
        <v>0</v>
      </c>
      <c r="E3909" s="1">
        <f>IFERROR(VLOOKUP(114,'PEDIDO 49'!$C$2:$E$230,3,0),0)</f>
        <v>0</v>
      </c>
      <c r="F3909" s="1">
        <f>IFERROR(VLOOKUP(296,'PEDIDO 49'!$C$2:$E$230,3,0),0)</f>
        <v>0</v>
      </c>
      <c r="G3909" s="18">
        <f t="shared" si="121"/>
        <v>0</v>
      </c>
    </row>
    <row r="3910" spans="1:7" ht="15.75" x14ac:dyDescent="0.25">
      <c r="A3910" s="15">
        <f>'PEDIDO 49'!$B$2</f>
        <v>0</v>
      </c>
      <c r="B3910" s="12" t="s">
        <v>427</v>
      </c>
      <c r="C3910" s="1">
        <f>IFERROR(VLOOKUP(116,'PEDIDO 49'!$C$2:$E$230,3,0),0)</f>
        <v>0</v>
      </c>
      <c r="D3910" s="1">
        <f>IFERROR(VLOOKUP(117,'PEDIDO 49'!$C$2:$E$230,3,0),0)</f>
        <v>0</v>
      </c>
      <c r="E3910" s="1">
        <f>IFERROR(VLOOKUP(118,'PEDIDO 49'!$C$2:$E$230,3,0),0)</f>
        <v>0</v>
      </c>
      <c r="F3910" s="1">
        <f>IFERROR(VLOOKUP(293,'PEDIDO 49'!$C$2:$E$230,3,0),0)</f>
        <v>0</v>
      </c>
      <c r="G3910" s="18">
        <f t="shared" si="121"/>
        <v>0</v>
      </c>
    </row>
    <row r="3911" spans="1:7" ht="15.75" x14ac:dyDescent="0.25">
      <c r="A3911" s="15">
        <f>'PEDIDO 49'!$B$2</f>
        <v>0</v>
      </c>
      <c r="B3911" s="12" t="s">
        <v>418</v>
      </c>
      <c r="C3911" s="1">
        <f>IFERROR(VLOOKUP(963,'PEDIDO 49'!$C$2:$E$230,3,0),0)</f>
        <v>0</v>
      </c>
      <c r="D3911" s="1">
        <f>IFERROR(VLOOKUP(965,'PEDIDO 49'!$C$2:$E$230,3,0),0)</f>
        <v>0</v>
      </c>
      <c r="E3911" s="1">
        <f>IFERROR(VLOOKUP(966,'PEDIDO 49'!$C$2:$E$230,3,0),0)</f>
        <v>0</v>
      </c>
      <c r="F3911" s="1">
        <f>IFERROR(VLOOKUP(964,'PEDIDO 49'!$C$2:$E$230,3,0),0)</f>
        <v>0</v>
      </c>
      <c r="G3911" s="18">
        <f t="shared" si="121"/>
        <v>0</v>
      </c>
    </row>
    <row r="3912" spans="1:7" ht="15.75" x14ac:dyDescent="0.25">
      <c r="A3912" s="15">
        <f>'PEDIDO 49'!$B$2</f>
        <v>0</v>
      </c>
      <c r="B3912" s="12" t="s">
        <v>419</v>
      </c>
      <c r="C3912" s="1">
        <f>IFERROR(VLOOKUP(2042,'PEDIDO 49'!$C$2:$E$230,3,0),0)</f>
        <v>0</v>
      </c>
      <c r="D3912" s="1">
        <f>IFERROR(VLOOKUP(2041,'PEDIDO 49'!$C$2:$E$230,3,0),0)</f>
        <v>0</v>
      </c>
      <c r="E3912" s="1">
        <f>IFERROR(VLOOKUP(2043,'PEDIDO 49'!$C$2:$E$230,3,0),0)</f>
        <v>0</v>
      </c>
      <c r="F3912" s="1">
        <f>IFERROR(VLOOKUP(2040,'PEDIDO 49'!$C$2:$E$230,3,0),0)</f>
        <v>0</v>
      </c>
      <c r="G3912" s="18">
        <f t="shared" si="121"/>
        <v>0</v>
      </c>
    </row>
    <row r="3913" spans="1:7" ht="15.75" x14ac:dyDescent="0.25">
      <c r="A3913" s="15">
        <f>'PEDIDO 49'!$B$2</f>
        <v>0</v>
      </c>
      <c r="B3913" s="12" t="s">
        <v>420</v>
      </c>
      <c r="C3913" s="1">
        <f>IFERROR(VLOOKUP(2045,'PEDIDO 49'!$C$2:$E$230,3,0),0)</f>
        <v>0</v>
      </c>
      <c r="D3913" s="1">
        <f>IFERROR(VLOOKUP(2046,'PEDIDO 49'!$C$2:$E$230,3,0),0)</f>
        <v>0</v>
      </c>
      <c r="E3913" s="1">
        <f>IFERROR(VLOOKUP(2047,'PEDIDO 49'!$C$2:$E$230,3,0),0)</f>
        <v>0</v>
      </c>
      <c r="F3913" s="1">
        <f>IFERROR(VLOOKUP(2048,'PEDIDO 49'!$C$2:$E$230,3,0),0)</f>
        <v>0</v>
      </c>
      <c r="G3913" s="18">
        <f t="shared" si="121"/>
        <v>0</v>
      </c>
    </row>
    <row r="3914" spans="1:7" ht="15.75" x14ac:dyDescent="0.25">
      <c r="A3914" s="15">
        <f>'PEDIDO 49'!$B$2</f>
        <v>0</v>
      </c>
      <c r="B3914" s="12" t="s">
        <v>421</v>
      </c>
      <c r="C3914" s="1">
        <f>IFERROR(VLOOKUP(2050,'PEDIDO 49'!$C$2:$E$230,3,0),0)</f>
        <v>0</v>
      </c>
      <c r="D3914" s="1">
        <f>IFERROR(VLOOKUP(2051,'PEDIDO 49'!$C$2:$E$230,3,0),0)</f>
        <v>0</v>
      </c>
      <c r="E3914" s="1">
        <f>IFERROR(VLOOKUP(2052,'PEDIDO 49'!$C$2:$E$230,3,0),0)</f>
        <v>0</v>
      </c>
      <c r="F3914" s="1">
        <f>IFERROR(VLOOKUP(2053,'PEDIDO 49'!$C$2:$E$230,3,0),0)</f>
        <v>0</v>
      </c>
      <c r="G3914" s="18">
        <f t="shared" si="121"/>
        <v>0</v>
      </c>
    </row>
    <row r="3915" spans="1:7" ht="15.75" x14ac:dyDescent="0.25">
      <c r="A3915" s="15">
        <f>'PEDIDO 49'!$B$2</f>
        <v>0</v>
      </c>
      <c r="B3915" s="12" t="s">
        <v>422</v>
      </c>
      <c r="C3915" s="1">
        <f>IFERROR(VLOOKUP(216,'PEDIDO 49'!$C$2:$E$230,3,0),0)</f>
        <v>0</v>
      </c>
      <c r="D3915" s="1">
        <f>IFERROR(VLOOKUP(217,'PEDIDO 49'!$C$2:$E$230,3,0),0)</f>
        <v>0</v>
      </c>
      <c r="E3915" s="1">
        <f>IFERROR(VLOOKUP(218,'PEDIDO 49'!$C$2:$E$230,3,0),0)</f>
        <v>0</v>
      </c>
      <c r="F3915" s="1">
        <f>IFERROR(VLOOKUP(305,'PEDIDO 49'!$C$2:$E$230,3,0),0)</f>
        <v>0</v>
      </c>
      <c r="G3915" s="18">
        <f t="shared" si="121"/>
        <v>0</v>
      </c>
    </row>
    <row r="3916" spans="1:7" ht="15.75" x14ac:dyDescent="0.25">
      <c r="A3916" s="15">
        <f>'PEDIDO 49'!$B$2</f>
        <v>0</v>
      </c>
      <c r="B3916" s="12" t="s">
        <v>423</v>
      </c>
      <c r="C3916" s="1">
        <f>IFERROR(VLOOKUP(100,'PEDIDO 49'!$C$2:$E$230,3,0),0)</f>
        <v>0</v>
      </c>
      <c r="D3916" s="1">
        <f>IFERROR(VLOOKUP(101,'PEDIDO 49'!$C$2:$E$230,3,0),0)</f>
        <v>0</v>
      </c>
      <c r="E3916" s="1">
        <f>IFERROR(VLOOKUP(102,'PEDIDO 49'!$C$2:$E$230,3,0),0)</f>
        <v>0</v>
      </c>
      <c r="F3916" s="1">
        <f>IFERROR(VLOOKUP(306,'PEDIDO 49'!$C$2:$E$230,3,0),0)</f>
        <v>0</v>
      </c>
      <c r="G3916" s="18">
        <f t="shared" si="121"/>
        <v>0</v>
      </c>
    </row>
    <row r="3917" spans="1:7" ht="15.75" x14ac:dyDescent="0.25">
      <c r="A3917" s="15">
        <f>'PEDIDO 49'!$B$2</f>
        <v>0</v>
      </c>
      <c r="B3917" s="12" t="s">
        <v>424</v>
      </c>
      <c r="C3917" s="1">
        <f>IFERROR(VLOOKUP(104,'PEDIDO 49'!$C$2:$E$230,3,0),0)</f>
        <v>0</v>
      </c>
      <c r="D3917" s="1">
        <f>IFERROR(VLOOKUP(105,'PEDIDO 49'!$C$2:$E$230,3,0),0)</f>
        <v>0</v>
      </c>
      <c r="E3917" s="1">
        <f>IFERROR(VLOOKUP(106,'PEDIDO 49'!$C$2:$E$230,3,0),0)</f>
        <v>0</v>
      </c>
      <c r="F3917" s="1">
        <f>IFERROR(VLOOKUP(307,'PEDIDO 49'!$C$2:$E$230,3,0),0)</f>
        <v>0</v>
      </c>
      <c r="G3917" s="18">
        <f t="shared" si="121"/>
        <v>0</v>
      </c>
    </row>
    <row r="3918" spans="1:7" ht="15.75" x14ac:dyDescent="0.25">
      <c r="A3918" s="15">
        <f>'PEDIDO 49'!$B$2</f>
        <v>0</v>
      </c>
      <c r="B3918" s="12" t="s">
        <v>425</v>
      </c>
      <c r="C3918" s="1">
        <f>IFERROR(VLOOKUP(400,'PEDIDO 49'!$C$2:$E$230,3,0),0)</f>
        <v>0</v>
      </c>
      <c r="D3918" s="1">
        <f>IFERROR(VLOOKUP(401,'PEDIDO 49'!$C$2:$E$230,3,0),0)</f>
        <v>0</v>
      </c>
      <c r="E3918" s="1">
        <f>IFERROR(VLOOKUP(402,'PEDIDO 49'!$C$2:$E$230,3,0),0)</f>
        <v>0</v>
      </c>
      <c r="F3918" s="1">
        <f>IFERROR(VLOOKUP(403,'PEDIDO 49'!$C$2:$E$230,3,0),0)</f>
        <v>0</v>
      </c>
      <c r="G3918" s="18">
        <f t="shared" si="121"/>
        <v>0</v>
      </c>
    </row>
    <row r="3919" spans="1:7" ht="15.75" x14ac:dyDescent="0.25">
      <c r="A3919" s="15">
        <f>'PEDIDO 49'!$B$2</f>
        <v>0</v>
      </c>
      <c r="B3919" s="12" t="s">
        <v>428</v>
      </c>
      <c r="C3919" s="1">
        <f>IFERROR(VLOOKUP(22,'PEDIDO 49'!$C$2:$E$230,3,0),0)</f>
        <v>0</v>
      </c>
      <c r="D3919" s="1"/>
      <c r="E3919" s="1"/>
      <c r="F3919" s="1"/>
      <c r="G3919" s="18">
        <f t="shared" si="121"/>
        <v>0</v>
      </c>
    </row>
    <row r="3920" spans="1:7" ht="15.75" x14ac:dyDescent="0.25">
      <c r="A3920" s="15">
        <f>'PEDIDO 49'!$B$2</f>
        <v>0</v>
      </c>
      <c r="B3920" s="12" t="s">
        <v>429</v>
      </c>
      <c r="C3920" s="1">
        <f>IFERROR(VLOOKUP(21,'PEDIDO 49'!$C$2:$E$230,3,0),0)</f>
        <v>0</v>
      </c>
      <c r="D3920" s="1"/>
      <c r="E3920" s="1"/>
      <c r="F3920" s="1"/>
      <c r="G3920" s="18">
        <f t="shared" si="121"/>
        <v>0</v>
      </c>
    </row>
    <row r="3921" spans="1:7" ht="15.75" x14ac:dyDescent="0.25">
      <c r="A3921" s="15">
        <f>'PEDIDO 49'!$B$2</f>
        <v>0</v>
      </c>
      <c r="B3921" s="12" t="s">
        <v>430</v>
      </c>
      <c r="C3921" s="1">
        <f>IFERROR(VLOOKUP(1125,'PEDIDO 49'!$C$2:$E$230,3,0),0)</f>
        <v>0</v>
      </c>
      <c r="D3921" s="1">
        <f>IFERROR(VLOOKUP(1126,'PEDIDO 49'!$C$2:$E$230,3,0),0)</f>
        <v>0</v>
      </c>
      <c r="E3921" s="1">
        <f>IFERROR(VLOOKUP(1127,'PEDIDO 49'!$C$2:$E$230,3,0),0)</f>
        <v>0</v>
      </c>
      <c r="F3921" s="1">
        <f>IFERROR(VLOOKUP(1128,'PEDIDO 49'!$C$2:$E$230,3,0),0)</f>
        <v>0</v>
      </c>
      <c r="G3921" s="18">
        <f t="shared" si="121"/>
        <v>0</v>
      </c>
    </row>
    <row r="3922" spans="1:7" ht="15.75" x14ac:dyDescent="0.25">
      <c r="A3922" s="15">
        <f>'PEDIDO 49'!$B$2</f>
        <v>0</v>
      </c>
      <c r="B3922" s="12" t="s">
        <v>431</v>
      </c>
      <c r="C3922" s="1">
        <f>IFERROR(VLOOKUP(1133,'PEDIDO 49'!$C$2:$E$230,3,0),0)</f>
        <v>0</v>
      </c>
      <c r="D3922" s="1">
        <f>IFERROR(VLOOKUP(1134,'PEDIDO 49'!$C$2:$E$230,3,0),0)</f>
        <v>0</v>
      </c>
      <c r="E3922" s="1">
        <f>IFERROR(VLOOKUP(1135,'PEDIDO 49'!$C$2:$E$230,3,0),0)</f>
        <v>0</v>
      </c>
      <c r="F3922" s="1">
        <f>IFERROR(VLOOKUP(1136,'PEDIDO 49'!$C$2:$E$230,3,0),0)</f>
        <v>0</v>
      </c>
      <c r="G3922" s="18">
        <f t="shared" si="121"/>
        <v>0</v>
      </c>
    </row>
    <row r="3923" spans="1:7" ht="15.75" x14ac:dyDescent="0.25">
      <c r="A3923" s="15">
        <f>'PEDIDO 49'!$B$2</f>
        <v>0</v>
      </c>
      <c r="B3923" s="12" t="s">
        <v>432</v>
      </c>
      <c r="C3923" s="1">
        <f>IFERROR(VLOOKUP(1105,'PEDIDO 49'!$C$2:$E$230,3,0),0)</f>
        <v>0</v>
      </c>
      <c r="D3923" s="1">
        <f>IFERROR(VLOOKUP(1106,'PEDIDO 49'!$C$2:$E$230,3,0),0)</f>
        <v>0</v>
      </c>
      <c r="E3923" s="1">
        <f>IFERROR(VLOOKUP(1107,'PEDIDO 49'!$C$2:$E$230,3,0),0)</f>
        <v>0</v>
      </c>
      <c r="F3923" s="1">
        <f>IFERROR(VLOOKUP(1108,'PEDIDO 49'!$C$2:$E$230,3,0),0)</f>
        <v>0</v>
      </c>
      <c r="G3923" s="18">
        <f t="shared" si="121"/>
        <v>0</v>
      </c>
    </row>
    <row r="3924" spans="1:7" ht="15.75" x14ac:dyDescent="0.25">
      <c r="A3924" s="15">
        <f>'PEDIDO 49'!$B$2</f>
        <v>0</v>
      </c>
      <c r="B3924" s="12" t="s">
        <v>433</v>
      </c>
      <c r="C3924" s="1">
        <f>IFERROR(VLOOKUP(1109,'PEDIDO 49'!$C$2:$E$230,3,0),0)</f>
        <v>0</v>
      </c>
      <c r="D3924" s="1">
        <f>IFERROR(VLOOKUP(1110,'PEDIDO 49'!$C$2:$E$230,3,0),0)</f>
        <v>0</v>
      </c>
      <c r="E3924" s="1">
        <f>IFERROR(VLOOKUP(1111,'PEDIDO 49'!$C$2:$E$230,3,0),0)</f>
        <v>0</v>
      </c>
      <c r="F3924" s="1">
        <f>IFERROR(VLOOKUP(1112,'PEDIDO 49'!$C$2:$E$230,3,0),0)</f>
        <v>0</v>
      </c>
      <c r="G3924" s="18">
        <f t="shared" si="121"/>
        <v>0</v>
      </c>
    </row>
    <row r="3925" spans="1:7" ht="15.75" x14ac:dyDescent="0.25">
      <c r="A3925" s="15">
        <f>'PEDIDO 49'!$B$2</f>
        <v>0</v>
      </c>
      <c r="B3925" s="12" t="s">
        <v>434</v>
      </c>
      <c r="C3925" s="1">
        <f>IFERROR(VLOOKUP(1113,'PEDIDO 49'!$C$2:$E$230,3,0),0)</f>
        <v>0</v>
      </c>
      <c r="D3925" s="1">
        <f>IFERROR(VLOOKUP(1114,'PEDIDO 49'!$C$2:$E$230,3,0),0)</f>
        <v>0</v>
      </c>
      <c r="E3925" s="1">
        <f>IFERROR(VLOOKUP(1115,'PEDIDO 49'!$C$2:$E$230,3,0),0)</f>
        <v>0</v>
      </c>
      <c r="F3925" s="1">
        <f>IFERROR(VLOOKUP(1116,'PEDIDO 49'!$C$2:$E$230,3,0),0)</f>
        <v>0</v>
      </c>
      <c r="G3925" s="18">
        <f t="shared" si="121"/>
        <v>0</v>
      </c>
    </row>
    <row r="3926" spans="1:7" ht="15.75" x14ac:dyDescent="0.25">
      <c r="A3926" s="15">
        <f>'PEDIDO 49'!$B$2</f>
        <v>0</v>
      </c>
      <c r="B3926" s="12" t="s">
        <v>435</v>
      </c>
      <c r="C3926" s="1">
        <f>IFERROR(VLOOKUP(1117,'PEDIDO 49'!$C$2:$E$230,3,0),0)</f>
        <v>0</v>
      </c>
      <c r="D3926" s="1">
        <f>IFERROR(VLOOKUP(1118,'PEDIDO 49'!$C$2:$E$230,3,0),0)</f>
        <v>0</v>
      </c>
      <c r="E3926" s="1">
        <f>IFERROR(VLOOKUP(1119,'PEDIDO 49'!$C$2:$E$230,3,0),0)</f>
        <v>0</v>
      </c>
      <c r="F3926" s="1">
        <f>IFERROR(VLOOKUP(1120,'PEDIDO 49'!$C$2:$E$230,3,0),0)</f>
        <v>0</v>
      </c>
      <c r="G3926" s="18">
        <f t="shared" si="121"/>
        <v>0</v>
      </c>
    </row>
    <row r="3927" spans="1:7" ht="15.75" x14ac:dyDescent="0.25">
      <c r="A3927" s="15">
        <f>'PEDIDO 49'!$B$2</f>
        <v>0</v>
      </c>
      <c r="B3927" s="12" t="s">
        <v>436</v>
      </c>
      <c r="C3927" s="1">
        <f>IFERROR(VLOOKUP(1121,'PEDIDO 49'!$C$2:$E$230,3,0),0)</f>
        <v>0</v>
      </c>
      <c r="D3927" s="1">
        <f>IFERROR(VLOOKUP(1122,'PEDIDO 49'!$C$2:$E$230,3,0),0)</f>
        <v>0</v>
      </c>
      <c r="E3927" s="1">
        <f>IFERROR(VLOOKUP(1123,'PEDIDO 49'!$C$2:$E$230,3,0),0)</f>
        <v>0</v>
      </c>
      <c r="F3927" s="1">
        <f>IFERROR(VLOOKUP(1124,'PEDIDO 49'!$C$2:$E$230,3,0),0)</f>
        <v>0</v>
      </c>
      <c r="G3927" s="18">
        <f t="shared" si="121"/>
        <v>0</v>
      </c>
    </row>
    <row r="3928" spans="1:7" ht="15.75" x14ac:dyDescent="0.25">
      <c r="A3928" s="15">
        <f>'PEDIDO 49'!$B$2</f>
        <v>0</v>
      </c>
      <c r="B3928" s="12" t="s">
        <v>437</v>
      </c>
      <c r="C3928" s="1">
        <f>IFERROR(VLOOKUP(1129,'PEDIDO 49'!$C$2:$E$230,3,0),0)</f>
        <v>0</v>
      </c>
      <c r="D3928" s="1">
        <f>IFERROR(VLOOKUP(1130,'PEDIDO 49'!$C$2:$E$230,3,0),0)</f>
        <v>0</v>
      </c>
      <c r="E3928" s="1">
        <f>IFERROR(VLOOKUP(1131,'PEDIDO 49'!$C$2:$E$230,3,0),0)</f>
        <v>0</v>
      </c>
      <c r="F3928" s="1">
        <f>IFERROR(VLOOKUP(1132,'PEDIDO 49'!$C$2:$E$230,3,0),0)</f>
        <v>0</v>
      </c>
      <c r="G3928" s="18">
        <f t="shared" si="121"/>
        <v>0</v>
      </c>
    </row>
    <row r="3929" spans="1:7" ht="15.75" x14ac:dyDescent="0.25">
      <c r="A3929" s="15">
        <f>'PEDIDO 49'!$B$2</f>
        <v>0</v>
      </c>
      <c r="B3929" s="12" t="s">
        <v>438</v>
      </c>
      <c r="C3929" s="1">
        <f>IFERROR(VLOOKUP(1137,'PEDIDO 49'!$C$2:$E$230,3,0),0)</f>
        <v>0</v>
      </c>
      <c r="D3929" s="1">
        <f>IFERROR(VLOOKUP(1138,'PEDIDO 49'!$C$2:$E$230,3,0),0)</f>
        <v>0</v>
      </c>
      <c r="E3929" s="1">
        <f>IFERROR(VLOOKUP(1139,'PEDIDO 49'!$C$2:$E$230,3,0),0)</f>
        <v>0</v>
      </c>
      <c r="F3929" s="1">
        <f>IFERROR(VLOOKUP(1140,'PEDIDO 49'!$C$2:$E$230,3,0),0)</f>
        <v>0</v>
      </c>
      <c r="G3929" s="18">
        <f t="shared" si="121"/>
        <v>0</v>
      </c>
    </row>
    <row r="3930" spans="1:7" ht="15.75" x14ac:dyDescent="0.25">
      <c r="A3930" s="15">
        <f>'PEDIDO 49'!$B$2</f>
        <v>0</v>
      </c>
      <c r="B3930" s="12" t="s">
        <v>439</v>
      </c>
      <c r="C3930" s="1">
        <f>IFERROR(VLOOKUP(1141,'PEDIDO 49'!$C$2:$E$230,3,0),0)</f>
        <v>0</v>
      </c>
      <c r="D3930" s="1">
        <f>IFERROR(VLOOKUP(1142,'PEDIDO 49'!$C$2:$E$230,3,0),0)</f>
        <v>0</v>
      </c>
      <c r="E3930" s="1">
        <f>IFERROR(VLOOKUP(1143,'PEDIDO 49'!$C$2:$E$230,3,0),0)</f>
        <v>0</v>
      </c>
      <c r="F3930" s="1">
        <f>IFERROR(VLOOKUP(1144,'PEDIDO 49'!$C$2:$E$230,3,0),0)</f>
        <v>0</v>
      </c>
      <c r="G3930" s="18">
        <f t="shared" si="121"/>
        <v>0</v>
      </c>
    </row>
    <row r="3931" spans="1:7" ht="15.75" x14ac:dyDescent="0.25">
      <c r="A3931" s="15">
        <f>'PEDIDO 49'!$B$2</f>
        <v>0</v>
      </c>
      <c r="B3931" s="12" t="s">
        <v>440</v>
      </c>
      <c r="C3931" s="1">
        <f>IFERROR(VLOOKUP(1145,'PEDIDO 49'!$C$2:$E$230,3,0),0)</f>
        <v>0</v>
      </c>
      <c r="D3931" s="1">
        <f>IFERROR(VLOOKUP(1146,'PEDIDO 49'!$C$2:$E$230,3,0),0)</f>
        <v>0</v>
      </c>
      <c r="E3931" s="1">
        <f>IFERROR(VLOOKUP(1147,'PEDIDO 49'!$C$2:$E$230,3,0),0)</f>
        <v>0</v>
      </c>
      <c r="F3931" s="1">
        <f>IFERROR(VLOOKUP(1148,'PEDIDO 49'!$C$2:$E$230,3,0),0)</f>
        <v>0</v>
      </c>
      <c r="G3931" s="18">
        <f t="shared" si="121"/>
        <v>0</v>
      </c>
    </row>
    <row r="3932" spans="1:7" ht="15.75" x14ac:dyDescent="0.25">
      <c r="A3932" s="15">
        <f>'PEDIDO 49'!$B$2</f>
        <v>0</v>
      </c>
      <c r="B3932" s="12" t="s">
        <v>441</v>
      </c>
      <c r="C3932" s="1">
        <f>IFERROR(VLOOKUP(1149,'PEDIDO 49'!$C$2:$E$230,3,0),0)</f>
        <v>0</v>
      </c>
      <c r="D3932" s="1">
        <f>IFERROR(VLOOKUP(1150,'PEDIDO 49'!$C$2:$E$230,3,0),0)</f>
        <v>0</v>
      </c>
      <c r="E3932" s="1">
        <f>IFERROR(VLOOKUP(1151,'PEDIDO 49'!$C$2:$E$230,3,0),0)</f>
        <v>0</v>
      </c>
      <c r="F3932" s="1">
        <f>IFERROR(VLOOKUP(1152,'PEDIDO 49'!$C$2:$E$230,3,0),0)</f>
        <v>0</v>
      </c>
      <c r="G3932" s="18">
        <f t="shared" si="121"/>
        <v>0</v>
      </c>
    </row>
    <row r="3933" spans="1:7" ht="15.75" x14ac:dyDescent="0.25">
      <c r="A3933" s="15">
        <f>'PEDIDO 49'!$B$2</f>
        <v>0</v>
      </c>
      <c r="B3933" s="12" t="s">
        <v>442</v>
      </c>
      <c r="C3933" s="1">
        <f>IFERROR(VLOOKUP(1153,'PEDIDO 49'!$C$2:$E$230,3,0),0)</f>
        <v>0</v>
      </c>
      <c r="D3933" s="1">
        <f>IFERROR(VLOOKUP(1154,'PEDIDO 49'!$C$2:$E$230,3,0),0)</f>
        <v>0</v>
      </c>
      <c r="E3933" s="1">
        <f>IFERROR(VLOOKUP(1155,'PEDIDO 49'!$C$2:$E$230,3,0),0)</f>
        <v>0</v>
      </c>
      <c r="F3933" s="1">
        <f>IFERROR(VLOOKUP(1156,'PEDIDO 49'!$C$2:$E$230,3,0),0)</f>
        <v>0</v>
      </c>
      <c r="G3933" s="18">
        <f t="shared" si="121"/>
        <v>0</v>
      </c>
    </row>
    <row r="3934" spans="1:7" ht="15.75" x14ac:dyDescent="0.25">
      <c r="A3934" s="15">
        <f>'PEDIDO 49'!$B$2</f>
        <v>0</v>
      </c>
      <c r="B3934" s="12" t="s">
        <v>443</v>
      </c>
      <c r="C3934" s="1">
        <f>IFERROR(VLOOKUP(1157,'PEDIDO 49'!$C$2:$E$230,3,0),0)</f>
        <v>0</v>
      </c>
      <c r="D3934" s="1">
        <f>IFERROR(VLOOKUP(1158,'PEDIDO 49'!$C$2:$E$230,3,0),0)</f>
        <v>0</v>
      </c>
      <c r="E3934" s="1">
        <f>IFERROR(VLOOKUP(1159,'PEDIDO 49'!$C$2:$E$230,3,0),0)</f>
        <v>0</v>
      </c>
      <c r="F3934" s="1">
        <f>IFERROR(VLOOKUP(1160,'PEDIDO 49'!$C$2:$E$230,3,0),0)</f>
        <v>0</v>
      </c>
      <c r="G3934" s="18">
        <f t="shared" si="121"/>
        <v>0</v>
      </c>
    </row>
    <row r="3935" spans="1:7" ht="15.75" x14ac:dyDescent="0.25">
      <c r="A3935" s="15">
        <f>'PEDIDO 49'!$B$2</f>
        <v>0</v>
      </c>
      <c r="B3935" s="12" t="s">
        <v>444</v>
      </c>
      <c r="C3935" s="1">
        <f>IFERROR(VLOOKUP(1161,'PEDIDO 49'!$C$2:$E$230,3,0),0)</f>
        <v>0</v>
      </c>
      <c r="D3935" s="1">
        <f>IFERROR(VLOOKUP(1162,'PEDIDO 49'!$C$2:$E$230,3,0),0)</f>
        <v>0</v>
      </c>
      <c r="E3935" s="1">
        <f>IFERROR(VLOOKUP(1163,'PEDIDO 49'!$C$2:$E$230,3,0),0)</f>
        <v>0</v>
      </c>
      <c r="F3935" s="1">
        <f>IFERROR(VLOOKUP(1164,'PEDIDO 49'!$C$2:$E$230,3,0),0)</f>
        <v>0</v>
      </c>
      <c r="G3935" s="18">
        <f t="shared" si="121"/>
        <v>0</v>
      </c>
    </row>
    <row r="3936" spans="1:7" ht="15.75" x14ac:dyDescent="0.25">
      <c r="A3936" s="15">
        <f>'PEDIDO 49'!$B$2</f>
        <v>0</v>
      </c>
      <c r="B3936" s="12" t="s">
        <v>445</v>
      </c>
      <c r="C3936" s="1">
        <f>IFERROR(VLOOKUP(1165,'PEDIDO 49'!$C$2:$E$230,3,0),0)</f>
        <v>0</v>
      </c>
      <c r="D3936" s="1">
        <f>IFERROR(VLOOKUP(1166,'PEDIDO 49'!$C$2:$E$230,3,0),0)</f>
        <v>0</v>
      </c>
      <c r="E3936" s="1">
        <f>IFERROR(VLOOKUP(1167,'PEDIDO 49'!$C$2:$E$230,3,0),0)</f>
        <v>0</v>
      </c>
      <c r="F3936" s="1">
        <f>IFERROR(VLOOKUP(1168,'PEDIDO 49'!$C$2:$E$230,3,0),0)</f>
        <v>0</v>
      </c>
      <c r="G3936" s="18">
        <f t="shared" si="121"/>
        <v>0</v>
      </c>
    </row>
    <row r="3937" spans="1:7" ht="15.75" x14ac:dyDescent="0.25">
      <c r="A3937" s="15">
        <f>'PEDIDO 49'!$B$2</f>
        <v>0</v>
      </c>
      <c r="B3937" s="12" t="s">
        <v>446</v>
      </c>
      <c r="C3937" s="1">
        <f>IFERROR(VLOOKUP(1169,'PEDIDO 49'!$C$2:$E$230,3,0),0)</f>
        <v>0</v>
      </c>
      <c r="D3937" s="1">
        <f>IFERROR(VLOOKUP(1170,'PEDIDO 49'!$C$2:$E$230,3,0),0)</f>
        <v>0</v>
      </c>
      <c r="E3937" s="1">
        <f>IFERROR(VLOOKUP(1171,'PEDIDO 49'!$C$2:$E$230,3,0),0)</f>
        <v>0</v>
      </c>
      <c r="F3937" s="1">
        <f>IFERROR(VLOOKUP(1172,'PEDIDO 49'!$C$2:$E$230,3,0),0)</f>
        <v>0</v>
      </c>
      <c r="G3937" s="18">
        <f t="shared" si="121"/>
        <v>0</v>
      </c>
    </row>
    <row r="3938" spans="1:7" ht="15.75" x14ac:dyDescent="0.25">
      <c r="A3938" s="15">
        <f>'PEDIDO 49'!$B$2</f>
        <v>0</v>
      </c>
      <c r="B3938" s="12" t="s">
        <v>447</v>
      </c>
      <c r="C3938" s="1">
        <f>IFERROR(VLOOKUP(1173,'PEDIDO 49'!$C$2:$E$230,3,0),0)</f>
        <v>0</v>
      </c>
      <c r="D3938" s="1">
        <f>IFERROR(VLOOKUP(1174,'PEDIDO 49'!$C$2:$E$230,3,0),0)</f>
        <v>0</v>
      </c>
      <c r="E3938" s="1">
        <f>IFERROR(VLOOKUP(1175,'PEDIDO 49'!$C$2:$E$230,3,0),0)</f>
        <v>0</v>
      </c>
      <c r="F3938" s="1">
        <f>IFERROR(VLOOKUP(1176,'PEDIDO 49'!$C$2:$E$230,3,0),0)</f>
        <v>0</v>
      </c>
      <c r="G3938" s="18">
        <f t="shared" si="121"/>
        <v>0</v>
      </c>
    </row>
    <row r="3939" spans="1:7" ht="15.75" x14ac:dyDescent="0.25">
      <c r="A3939" s="15">
        <f>'PEDIDO 49'!$B$2</f>
        <v>0</v>
      </c>
      <c r="B3939" s="12" t="s">
        <v>448</v>
      </c>
      <c r="C3939" s="1">
        <f>IFERROR(VLOOKUP(1249,'PEDIDO 49'!$C$2:$E$230,3,0),0)</f>
        <v>0</v>
      </c>
      <c r="D3939" s="1">
        <f>IFERROR(VLOOKUP(1250,'PEDIDO 49'!$C$2:$E$230,3,0),0)</f>
        <v>0</v>
      </c>
      <c r="E3939" s="1">
        <f>IFERROR(VLOOKUP(1251,'PEDIDO 49'!$C$2:$E$230,3,0),0)</f>
        <v>0</v>
      </c>
      <c r="F3939" s="1">
        <f>IFERROR(VLOOKUP(1252,'PEDIDO 49'!$C$2:$E$230,3,0),0)</f>
        <v>0</v>
      </c>
      <c r="G3939" s="18">
        <f t="shared" si="121"/>
        <v>0</v>
      </c>
    </row>
    <row r="3940" spans="1:7" ht="15.75" x14ac:dyDescent="0.25">
      <c r="A3940" s="15">
        <f>'PEDIDO 49'!$B$2</f>
        <v>0</v>
      </c>
      <c r="B3940" s="12" t="s">
        <v>449</v>
      </c>
      <c r="C3940" s="1">
        <f>IFERROR(VLOOKUP(1177,'PEDIDO 49'!$C$2:$E$230,3,0),0)</f>
        <v>0</v>
      </c>
      <c r="D3940" s="1">
        <f>IFERROR(VLOOKUP(1178,'PEDIDO 49'!$C$2:$E$230,3,0),0)</f>
        <v>0</v>
      </c>
      <c r="E3940" s="1">
        <f>IFERROR(VLOOKUP(1179,'PEDIDO 49'!$C$2:$E$230,3,0),0)</f>
        <v>0</v>
      </c>
      <c r="F3940" s="1">
        <f>IFERROR(VLOOKUP(1180,'PEDIDO 49'!$C$2:$E$230,3,0),0)</f>
        <v>0</v>
      </c>
      <c r="G3940" s="18">
        <f t="shared" si="121"/>
        <v>0</v>
      </c>
    </row>
    <row r="3941" spans="1:7" ht="15.75" x14ac:dyDescent="0.25">
      <c r="A3941" s="15">
        <f>'PEDIDO 49'!$B$2</f>
        <v>0</v>
      </c>
      <c r="B3941" s="12" t="s">
        <v>450</v>
      </c>
      <c r="C3941" s="1">
        <f>IFERROR(VLOOKUP(1181,'PEDIDO 49'!$C$2:$E$230,3,0),0)</f>
        <v>0</v>
      </c>
      <c r="D3941" s="1">
        <f>IFERROR(VLOOKUP(1182,'PEDIDO 49'!$C$2:$E$230,3,0),0)</f>
        <v>0</v>
      </c>
      <c r="E3941" s="1">
        <f>IFERROR(VLOOKUP(1183,'PEDIDO 49'!$C$2:$E$230,3,0),0)</f>
        <v>0</v>
      </c>
      <c r="F3941" s="1">
        <f>IFERROR(VLOOKUP(1184,'PEDIDO 49'!$C$2:$E$230,3,0),0)</f>
        <v>0</v>
      </c>
      <c r="G3941" s="18">
        <f t="shared" si="121"/>
        <v>0</v>
      </c>
    </row>
    <row r="3942" spans="1:7" ht="15.75" x14ac:dyDescent="0.25">
      <c r="A3942" s="15">
        <f>'PEDIDO 49'!$B$2</f>
        <v>0</v>
      </c>
      <c r="B3942" s="12" t="s">
        <v>451</v>
      </c>
      <c r="C3942" s="1">
        <f>IFERROR(VLOOKUP(1185,'PEDIDO 49'!$C$2:$E$230,3,0),0)</f>
        <v>0</v>
      </c>
      <c r="D3942" s="1">
        <f>IFERROR(VLOOKUP(1186,'PEDIDO 49'!$C$2:$E$230,3,0),0)</f>
        <v>0</v>
      </c>
      <c r="E3942" s="1">
        <f>IFERROR(VLOOKUP(1187,'PEDIDO 49'!$C$2:$E$230,3,0),0)</f>
        <v>0</v>
      </c>
      <c r="F3942" s="1">
        <f>IFERROR(VLOOKUP(1188,'PEDIDO 49'!$C$2:$E$230,3,0),0)</f>
        <v>0</v>
      </c>
      <c r="G3942" s="18">
        <f t="shared" si="121"/>
        <v>0</v>
      </c>
    </row>
    <row r="3943" spans="1:7" ht="15.75" x14ac:dyDescent="0.25">
      <c r="A3943" s="15">
        <f>'PEDIDO 49'!$B$2</f>
        <v>0</v>
      </c>
      <c r="B3943" s="12" t="s">
        <v>452</v>
      </c>
      <c r="C3943" s="1">
        <f>IFERROR(VLOOKUP(1189,'PEDIDO 49'!$C$2:$E$230,3,0),0)</f>
        <v>0</v>
      </c>
      <c r="D3943" s="1">
        <f>IFERROR(VLOOKUP(1190,'PEDIDO 49'!$C$2:$E$230,3,0),0)</f>
        <v>0</v>
      </c>
      <c r="E3943" s="1">
        <f>IFERROR(VLOOKUP(1191,'PEDIDO 49'!$C$2:$E$230,3,0),0)</f>
        <v>0</v>
      </c>
      <c r="F3943" s="1">
        <f>IFERROR(VLOOKUP(1192,'PEDIDO 49'!$C$2:$E$230,3,0),0)</f>
        <v>0</v>
      </c>
      <c r="G3943" s="18">
        <f t="shared" si="121"/>
        <v>0</v>
      </c>
    </row>
    <row r="3944" spans="1:7" ht="15.75" x14ac:dyDescent="0.25">
      <c r="A3944" s="15">
        <f>'PEDIDO 49'!$B$2</f>
        <v>0</v>
      </c>
      <c r="B3944" s="12" t="s">
        <v>453</v>
      </c>
      <c r="C3944" s="1">
        <f>IFERROR(VLOOKUP(1193,'PEDIDO 49'!$C$2:$E$230,3,0),0)</f>
        <v>0</v>
      </c>
      <c r="D3944" s="1">
        <f>IFERROR(VLOOKUP(1194,'PEDIDO 49'!$C$2:$E$230,3,0),0)</f>
        <v>0</v>
      </c>
      <c r="E3944" s="1">
        <f>IFERROR(VLOOKUP(1195,'PEDIDO 49'!$C$2:$E$230,3,0),0)</f>
        <v>0</v>
      </c>
      <c r="F3944" s="1">
        <f>IFERROR(VLOOKUP(1196,'PEDIDO 49'!$C$2:$E$230,3,0),0)</f>
        <v>0</v>
      </c>
      <c r="G3944" s="18">
        <f t="shared" si="121"/>
        <v>0</v>
      </c>
    </row>
    <row r="3945" spans="1:7" ht="15.75" x14ac:dyDescent="0.25">
      <c r="A3945" s="15">
        <f>'PEDIDO 49'!$B$2</f>
        <v>0</v>
      </c>
      <c r="B3945" s="12" t="s">
        <v>454</v>
      </c>
      <c r="C3945" s="1">
        <f>IFERROR(VLOOKUP(1197,'PEDIDO 49'!$C$2:$E$230,3,0),0)</f>
        <v>0</v>
      </c>
      <c r="D3945" s="1">
        <f>IFERROR(VLOOKUP(1198,'PEDIDO 49'!$C$2:$E$230,3,0),0)</f>
        <v>0</v>
      </c>
      <c r="E3945" s="1">
        <f>IFERROR(VLOOKUP(1199,'PEDIDO 49'!$C$2:$E$230,3,0),0)</f>
        <v>0</v>
      </c>
      <c r="F3945" s="1">
        <f>IFERROR(VLOOKUP(1200,'PEDIDO 49'!$C$2:$E$230,3,0),0)</f>
        <v>0</v>
      </c>
      <c r="G3945" s="18">
        <f t="shared" si="121"/>
        <v>0</v>
      </c>
    </row>
    <row r="3946" spans="1:7" ht="15.75" x14ac:dyDescent="0.25">
      <c r="A3946" s="15">
        <f>'PEDIDO 49'!$B$2</f>
        <v>0</v>
      </c>
      <c r="B3946" s="12" t="s">
        <v>455</v>
      </c>
      <c r="C3946" s="1">
        <f>IFERROR(VLOOKUP(1201,'PEDIDO 49'!$C$2:$E$230,3,0),0)</f>
        <v>0</v>
      </c>
      <c r="D3946" s="1">
        <f>IFERROR(VLOOKUP(1202,'PEDIDO 49'!$C$2:$E$230,3,0),0)</f>
        <v>0</v>
      </c>
      <c r="E3946" s="1">
        <f>IFERROR(VLOOKUP(1203,'PEDIDO 49'!$C$2:$E$230,3,0),0)</f>
        <v>0</v>
      </c>
      <c r="F3946" s="1">
        <f>IFERROR(VLOOKUP(1204,'PEDIDO 49'!$C$2:$E$230,3,0),0)</f>
        <v>0</v>
      </c>
      <c r="G3946" s="18">
        <f t="shared" si="121"/>
        <v>0</v>
      </c>
    </row>
    <row r="3947" spans="1:7" ht="15.75" x14ac:dyDescent="0.25">
      <c r="A3947" s="15">
        <f>'PEDIDO 49'!$B$2</f>
        <v>0</v>
      </c>
      <c r="B3947" s="12" t="s">
        <v>456</v>
      </c>
      <c r="C3947" s="1">
        <f>IFERROR(VLOOKUP(1205,'PEDIDO 49'!$C$2:$E$230,3,0),0)</f>
        <v>0</v>
      </c>
      <c r="D3947" s="1">
        <f>IFERROR(VLOOKUP(1206,'PEDIDO 49'!$C$2:$E$230,3,0),0)</f>
        <v>0</v>
      </c>
      <c r="E3947" s="1">
        <f>IFERROR(VLOOKUP(1207,'PEDIDO 49'!$C$2:$E$230,3,0),0)</f>
        <v>0</v>
      </c>
      <c r="F3947" s="1">
        <f>IFERROR(VLOOKUP(1208,'PEDIDO 49'!$C$2:$E$230,3,0),0)</f>
        <v>0</v>
      </c>
      <c r="G3947" s="18">
        <f t="shared" si="121"/>
        <v>0</v>
      </c>
    </row>
    <row r="3948" spans="1:7" ht="15.75" x14ac:dyDescent="0.25">
      <c r="A3948" s="15">
        <f>'PEDIDO 49'!$B$2</f>
        <v>0</v>
      </c>
      <c r="B3948" s="12" t="s">
        <v>457</v>
      </c>
      <c r="C3948" s="1">
        <f>IFERROR(VLOOKUP(1213,'PEDIDO 49'!$C$2:$E$230,3,0),0)</f>
        <v>0</v>
      </c>
      <c r="D3948" s="1">
        <f>IFERROR(VLOOKUP(1214,'PEDIDO 49'!$C$2:$E$230,3,0),0)</f>
        <v>0</v>
      </c>
      <c r="E3948" s="1">
        <f>IFERROR(VLOOKUP(1215,'PEDIDO 49'!$C$2:$E$230,3,0),0)</f>
        <v>0</v>
      </c>
      <c r="F3948" s="10">
        <f>IFERROR(VLOOKUP(1216,'PEDIDO 49'!$C$2:$E$230,3,0),0)</f>
        <v>0</v>
      </c>
      <c r="G3948" s="18">
        <f t="shared" si="121"/>
        <v>0</v>
      </c>
    </row>
    <row r="3949" spans="1:7" ht="15.75" x14ac:dyDescent="0.25">
      <c r="A3949" s="15">
        <f>'PEDIDO 49'!$B$2</f>
        <v>0</v>
      </c>
      <c r="B3949" s="12" t="s">
        <v>458</v>
      </c>
      <c r="C3949" s="1">
        <f>IFERROR(VLOOKUP(1209,'PEDIDO 49'!$C$2:$E$230,3,0),0)</f>
        <v>0</v>
      </c>
      <c r="D3949" s="1">
        <f>IFERROR(VLOOKUP(1210,'PEDIDO 49'!$C$2:$E$230,3,0),0)</f>
        <v>0</v>
      </c>
      <c r="E3949" s="1">
        <f>IFERROR(VLOOKUP(1211,'PEDIDO 49'!$C$2:$E$230,3,0),0)</f>
        <v>0</v>
      </c>
      <c r="F3949" s="1">
        <f>IFERROR(VLOOKUP(1212,'PEDIDO 49'!$C$2:$E$230,3,0),0)</f>
        <v>0</v>
      </c>
      <c r="G3949" s="18">
        <f t="shared" si="121"/>
        <v>0</v>
      </c>
    </row>
    <row r="3950" spans="1:7" ht="15.75" x14ac:dyDescent="0.25">
      <c r="A3950" s="15">
        <f>'PEDIDO 49'!$B$2</f>
        <v>0</v>
      </c>
      <c r="B3950" s="12" t="s">
        <v>459</v>
      </c>
      <c r="C3950" s="1">
        <f>IFERROR(VLOOKUP(1217,'PEDIDO 49'!$C$2:$E$230,3,0),0)</f>
        <v>0</v>
      </c>
      <c r="D3950" s="1">
        <f>IFERROR(VLOOKUP(1218,'PEDIDO 49'!$C$2:$E$230,3,0),0)</f>
        <v>0</v>
      </c>
      <c r="E3950" s="1">
        <f>IFERROR(VLOOKUP(1219,'PEDIDO 49'!$C$2:$E$230,3,0),0)</f>
        <v>0</v>
      </c>
      <c r="F3950" s="1">
        <f>IFERROR(VLOOKUP(1220,'PEDIDO 49'!$C$2:$E$230,3,0),0)</f>
        <v>0</v>
      </c>
      <c r="G3950" s="18">
        <f t="shared" si="121"/>
        <v>0</v>
      </c>
    </row>
    <row r="3951" spans="1:7" ht="15.75" x14ac:dyDescent="0.25">
      <c r="A3951" s="15">
        <f>'PEDIDO 49'!$B$2</f>
        <v>0</v>
      </c>
      <c r="B3951" s="12" t="s">
        <v>461</v>
      </c>
      <c r="C3951" s="1">
        <f>IFERROR(VLOOKUP(1225,'PEDIDO 49'!$C$2:$E$230,3,0),0)</f>
        <v>0</v>
      </c>
      <c r="D3951" s="1">
        <f>IFERROR(VLOOKUP(1226,'PEDIDO 49'!$C$2:$E$230,3,0),0)</f>
        <v>0</v>
      </c>
      <c r="E3951" s="1">
        <f>IFERROR(VLOOKUP(1227,'PEDIDO 49'!$C$2:$E$230,3,0),0)</f>
        <v>0</v>
      </c>
      <c r="F3951" s="1">
        <f>IFERROR(VLOOKUP(1228,'PEDIDO 49'!$C$2:$E$230,3,0),0)</f>
        <v>0</v>
      </c>
      <c r="G3951" s="18">
        <f t="shared" si="121"/>
        <v>0</v>
      </c>
    </row>
    <row r="3952" spans="1:7" ht="15.75" x14ac:dyDescent="0.25">
      <c r="A3952" s="15">
        <f>'PEDIDO 49'!$B$2</f>
        <v>0</v>
      </c>
      <c r="B3952" s="12" t="s">
        <v>462</v>
      </c>
      <c r="C3952" s="1">
        <f>IFERROR(VLOOKUP(1221,'PEDIDO 49'!$C$2:$E$230,3,0),0)</f>
        <v>0</v>
      </c>
      <c r="D3952" s="1">
        <f>IFERROR(VLOOKUP(1222,'PEDIDO 49'!$C$2:$E$230,3,0),0)</f>
        <v>0</v>
      </c>
      <c r="E3952" s="1">
        <f>IFERROR(VLOOKUP(1223,'PEDIDO 49'!$C$2:$E$230,3,0),0)</f>
        <v>0</v>
      </c>
      <c r="F3952" s="1">
        <f>IFERROR(VLOOKUP(1224,'PEDIDO 49'!$C$2:$E$230,3,0),0)</f>
        <v>0</v>
      </c>
      <c r="G3952" s="18">
        <f t="shared" si="121"/>
        <v>0</v>
      </c>
    </row>
    <row r="3953" spans="1:7" ht="15.75" x14ac:dyDescent="0.25">
      <c r="A3953" s="15">
        <f>'PEDIDO 49'!$B$2</f>
        <v>0</v>
      </c>
      <c r="B3953" s="12" t="s">
        <v>460</v>
      </c>
      <c r="C3953" s="1">
        <f>IFERROR(VLOOKUP(1229,'PEDIDO 49'!$C$2:$E$230,3,0),0)</f>
        <v>0</v>
      </c>
      <c r="D3953" s="1">
        <f>IFERROR(VLOOKUP(1230,'PEDIDO 49'!$C$2:$E$230,3,0),0)</f>
        <v>0</v>
      </c>
      <c r="E3953" s="1">
        <f>IFERROR(VLOOKUP(1231,'PEDIDO 49'!$C$2:$E$230,3,0),0)</f>
        <v>0</v>
      </c>
      <c r="F3953" s="1">
        <f>IFERROR(VLOOKUP(1232,'PEDIDO 49'!$C$2:$E$230,3,0),0)</f>
        <v>0</v>
      </c>
      <c r="G3953" s="18">
        <f t="shared" si="121"/>
        <v>0</v>
      </c>
    </row>
    <row r="3954" spans="1:7" ht="15.75" x14ac:dyDescent="0.25">
      <c r="A3954" s="15">
        <f>'PEDIDO 49'!$B$2</f>
        <v>0</v>
      </c>
      <c r="B3954" s="12" t="s">
        <v>463</v>
      </c>
      <c r="C3954" s="1">
        <f>IFERROR(VLOOKUP(1233,'PEDIDO 49'!$C$2:$E$230,3,0),0)</f>
        <v>0</v>
      </c>
      <c r="D3954" s="1">
        <f>IFERROR(VLOOKUP(1234,'PEDIDO 49'!$C$2:$E$230,3,0),0)</f>
        <v>0</v>
      </c>
      <c r="E3954" s="1">
        <f>IFERROR(VLOOKUP(1235,'PEDIDO 49'!$C$2:$E$230,3,0),0)</f>
        <v>0</v>
      </c>
      <c r="F3954" s="1">
        <f>IFERROR(VLOOKUP(1236,'PEDIDO 49'!$C$2:$E$230,3,0),0)</f>
        <v>0</v>
      </c>
      <c r="G3954" s="18">
        <f t="shared" si="121"/>
        <v>0</v>
      </c>
    </row>
    <row r="3955" spans="1:7" ht="15.75" x14ac:dyDescent="0.25">
      <c r="A3955" s="15">
        <f>'PEDIDO 49'!$B$2</f>
        <v>0</v>
      </c>
      <c r="B3955" s="12" t="s">
        <v>464</v>
      </c>
      <c r="C3955" s="1">
        <f>IFERROR(VLOOKUP(1237,'PEDIDO 49'!$C$2:$E$230,3,0),0)</f>
        <v>0</v>
      </c>
      <c r="D3955" s="1">
        <f>IFERROR(VLOOKUP(1238,'PEDIDO 49'!$C$2:$E$230,3,0),0)</f>
        <v>0</v>
      </c>
      <c r="E3955" s="1">
        <f>IFERROR(VLOOKUP(1239,'PEDIDO 49'!$C$2:$E$230,3,0),0)</f>
        <v>0</v>
      </c>
      <c r="F3955" s="1">
        <f>IFERROR(VLOOKUP(1240,'PEDIDO 49'!$C$2:$E$230,3,0),0)</f>
        <v>0</v>
      </c>
      <c r="G3955" s="18">
        <f t="shared" ref="G3955:G3967" si="122">SUM(C3955+D3955+E3955+F3955)</f>
        <v>0</v>
      </c>
    </row>
    <row r="3956" spans="1:7" ht="15.75" x14ac:dyDescent="0.25">
      <c r="A3956" s="15">
        <f>'PEDIDO 49'!$B$2</f>
        <v>0</v>
      </c>
      <c r="B3956" s="12" t="s">
        <v>465</v>
      </c>
      <c r="C3956" s="1">
        <f>IFERROR(VLOOKUP(1241,'PEDIDO 49'!$C$2:$E$230,3,0),0)</f>
        <v>0</v>
      </c>
      <c r="D3956" s="1">
        <f>IFERROR(VLOOKUP(1242,'PEDIDO 49'!$C$2:$E$230,3,0),0)</f>
        <v>0</v>
      </c>
      <c r="E3956" s="1">
        <f>IFERROR(VLOOKUP(1243,'PEDIDO 49'!$C$2:$E$230,3,0),0)</f>
        <v>0</v>
      </c>
      <c r="F3956" s="1">
        <f>IFERROR(VLOOKUP(1244,'PEDIDO 49'!$C$2:$E$230,3,0),0)</f>
        <v>0</v>
      </c>
      <c r="G3956" s="18">
        <f t="shared" si="122"/>
        <v>0</v>
      </c>
    </row>
    <row r="3957" spans="1:7" ht="15.75" x14ac:dyDescent="0.25">
      <c r="A3957" s="15">
        <f>'PEDIDO 49'!$B$2</f>
        <v>0</v>
      </c>
      <c r="B3957" s="12" t="s">
        <v>466</v>
      </c>
      <c r="C3957" s="1">
        <f>IFERROR(VLOOKUP(1245,'PEDIDO 49'!$C$2:$E$230,3,0),0)</f>
        <v>0</v>
      </c>
      <c r="D3957" s="1">
        <f>IFERROR(VLOOKUP(1246,'PEDIDO 49'!$C$2:$E$230,3,0),0)</f>
        <v>0</v>
      </c>
      <c r="E3957" s="1">
        <f>IFERROR(VLOOKUP(1247,'PEDIDO 49'!$C$2:$E$230,3,0),0)</f>
        <v>0</v>
      </c>
      <c r="F3957" s="1">
        <f>IFERROR(VLOOKUP(1248,'PEDIDO 49'!$C$2:$E$230,3,0),0)</f>
        <v>0</v>
      </c>
      <c r="G3957" s="18">
        <f t="shared" si="122"/>
        <v>0</v>
      </c>
    </row>
    <row r="3958" spans="1:7" ht="15.75" x14ac:dyDescent="0.25">
      <c r="A3958" s="15">
        <f>'PEDIDO 49'!$B$2</f>
        <v>0</v>
      </c>
      <c r="B3958" s="12" t="s">
        <v>467</v>
      </c>
      <c r="C3958" s="1">
        <f>IFERROR(VLOOKUP(25714,'PEDIDO 49'!$C$2:$E$230,3,0),0)</f>
        <v>0</v>
      </c>
      <c r="D3958" s="1"/>
      <c r="E3958" s="1"/>
      <c r="F3958" s="1"/>
      <c r="G3958" s="18">
        <f t="shared" si="122"/>
        <v>0</v>
      </c>
    </row>
    <row r="3959" spans="1:7" ht="15.75" x14ac:dyDescent="0.25">
      <c r="A3959" s="15">
        <f>'PEDIDO 49'!$B$2</f>
        <v>0</v>
      </c>
      <c r="B3959" s="12" t="s">
        <v>468</v>
      </c>
      <c r="C3959" s="1">
        <f>IFERROR(VLOOKUP(25712,'PEDIDO 49'!$C$2:$E$230,3,0),0)</f>
        <v>0</v>
      </c>
      <c r="D3959" s="1"/>
      <c r="E3959" s="1"/>
      <c r="F3959" s="1"/>
      <c r="G3959" s="18">
        <f t="shared" si="122"/>
        <v>0</v>
      </c>
    </row>
    <row r="3960" spans="1:7" ht="15.75" x14ac:dyDescent="0.25">
      <c r="A3960" s="15">
        <f>'PEDIDO 49'!$B$2</f>
        <v>0</v>
      </c>
      <c r="B3960" s="12" t="s">
        <v>469</v>
      </c>
      <c r="C3960" s="1">
        <f>IFERROR(VLOOKUP(25713,'PEDIDO 49'!$C$2:$E$230,3,0),0)</f>
        <v>0</v>
      </c>
      <c r="D3960" s="1"/>
      <c r="E3960" s="1"/>
      <c r="F3960" s="1"/>
      <c r="G3960" s="18">
        <f t="shared" si="122"/>
        <v>0</v>
      </c>
    </row>
    <row r="3961" spans="1:7" ht="15.75" x14ac:dyDescent="0.25">
      <c r="A3961" s="15">
        <f>'PEDIDO 49'!$B$2</f>
        <v>0</v>
      </c>
      <c r="B3961" s="12" t="s">
        <v>470</v>
      </c>
      <c r="C3961" s="1">
        <f>IFERROR(VLOOKUP(1260,'PEDIDO 49'!$C$2:$E$230,3,0),0)</f>
        <v>0</v>
      </c>
      <c r="D3961" s="1"/>
      <c r="E3961" s="1"/>
      <c r="F3961" s="1"/>
      <c r="G3961" s="18">
        <f t="shared" si="122"/>
        <v>0</v>
      </c>
    </row>
    <row r="3962" spans="1:7" ht="15.75" x14ac:dyDescent="0.25">
      <c r="A3962" s="15">
        <f>'PEDIDO 49'!$B$2</f>
        <v>0</v>
      </c>
      <c r="B3962" s="12" t="s">
        <v>471</v>
      </c>
      <c r="C3962" s="1">
        <f>IFERROR(VLOOKUP(1261,'PEDIDO 49'!$C$2:$E$230,3,0),0)</f>
        <v>0</v>
      </c>
      <c r="D3962" s="1"/>
      <c r="E3962" s="1"/>
      <c r="F3962" s="1"/>
      <c r="G3962" s="18">
        <f t="shared" si="122"/>
        <v>0</v>
      </c>
    </row>
    <row r="3963" spans="1:7" ht="15.75" x14ac:dyDescent="0.25">
      <c r="A3963" s="15">
        <f>'PEDIDO 49'!$B$2</f>
        <v>0</v>
      </c>
      <c r="B3963" s="12" t="s">
        <v>472</v>
      </c>
      <c r="C3963" s="1">
        <f>IFERROR(VLOOKUP(1262,'PEDIDO 49'!$C$2:$E$230,3,0),0)</f>
        <v>0</v>
      </c>
      <c r="D3963" s="1"/>
      <c r="E3963" s="1"/>
      <c r="F3963" s="1"/>
      <c r="G3963" s="18">
        <f t="shared" si="122"/>
        <v>0</v>
      </c>
    </row>
    <row r="3964" spans="1:7" ht="15.75" x14ac:dyDescent="0.25">
      <c r="A3964" s="15">
        <f>'PEDIDO 49'!$B$2</f>
        <v>0</v>
      </c>
      <c r="B3964" s="12" t="s">
        <v>473</v>
      </c>
      <c r="C3964" s="1">
        <f>IFERROR(VLOOKUP(1263,'PEDIDO 49'!$C$2:$E$230,3,0),0)</f>
        <v>0</v>
      </c>
      <c r="D3964" s="1"/>
      <c r="E3964" s="1"/>
      <c r="F3964" s="1"/>
      <c r="G3964" s="18">
        <f t="shared" si="122"/>
        <v>0</v>
      </c>
    </row>
    <row r="3965" spans="1:7" ht="15.75" x14ac:dyDescent="0.25">
      <c r="A3965" s="15">
        <f>'PEDIDO 49'!$B$2</f>
        <v>0</v>
      </c>
      <c r="B3965" s="12" t="s">
        <v>474</v>
      </c>
      <c r="C3965" s="1">
        <f>IFERROR(VLOOKUP(1264,'PEDIDO 49'!$C$2:$E$230,3,0),0)</f>
        <v>0</v>
      </c>
      <c r="D3965" s="1"/>
      <c r="E3965" s="1"/>
      <c r="F3965" s="1"/>
      <c r="G3965" s="18">
        <f t="shared" si="122"/>
        <v>0</v>
      </c>
    </row>
    <row r="3966" spans="1:7" ht="15.75" x14ac:dyDescent="0.25">
      <c r="A3966" s="15">
        <f>'PEDIDO 49'!$B$2</f>
        <v>0</v>
      </c>
      <c r="B3966" s="12" t="s">
        <v>475</v>
      </c>
      <c r="C3966" s="1">
        <f>IFERROR(VLOOKUP(1265,'PEDIDO 49'!$C$2:$E$230,3,0),0)</f>
        <v>0</v>
      </c>
      <c r="D3966" s="1"/>
      <c r="E3966" s="1"/>
      <c r="F3966" s="1"/>
      <c r="G3966" s="18">
        <f t="shared" si="122"/>
        <v>0</v>
      </c>
    </row>
    <row r="3967" spans="1:7" ht="15.75" x14ac:dyDescent="0.25">
      <c r="A3967" s="15">
        <f>'PEDIDO 49'!$B$2</f>
        <v>0</v>
      </c>
      <c r="B3967" s="12" t="s">
        <v>476</v>
      </c>
      <c r="C3967" s="1">
        <f>IFERROR(VLOOKUP(1266,'PEDIDO 49'!$C$2:$E$230,3,0),0)</f>
        <v>0</v>
      </c>
      <c r="D3967" s="1"/>
      <c r="E3967" s="1"/>
      <c r="F3967" s="1"/>
      <c r="G3967" s="18">
        <f t="shared" si="122"/>
        <v>0</v>
      </c>
    </row>
    <row r="3968" spans="1:7" ht="15.75" x14ac:dyDescent="0.25">
      <c r="A3968" s="15">
        <f>'PEDIDO 49'!$B$2</f>
        <v>0</v>
      </c>
      <c r="B3968" s="12" t="s">
        <v>477</v>
      </c>
      <c r="C3968" s="1">
        <f>IFERROR(VLOOKUP(1268,'PEDIDO 49'!$C$2:$E$230,3,0),0)</f>
        <v>0</v>
      </c>
      <c r="D3968" s="1">
        <f>IFERROR(VLOOKUP(1269,'PEDIDO 49'!$C$2:$E$230,3,0),0)</f>
        <v>0</v>
      </c>
      <c r="E3968" s="1">
        <f>IFERROR(VLOOKUP(1270,'PEDIDO 49'!$C$2:$E$230,3,0),0)</f>
        <v>0</v>
      </c>
      <c r="F3968" s="1">
        <f>IFERROR(VLOOKUP(1271,'PEDIDO 49'!$C$2:$E$230,3,0),0)</f>
        <v>0</v>
      </c>
      <c r="G3968" s="18">
        <f t="shared" ref="G3968" si="123">SUM(C3968+D3968+E3968+F3968)</f>
        <v>0</v>
      </c>
    </row>
    <row r="3971" spans="1:7" ht="15.75" x14ac:dyDescent="0.25">
      <c r="A3971" s="15">
        <f>'PEDIDO 50'!$B$2</f>
        <v>0</v>
      </c>
      <c r="B3971" s="12" t="s">
        <v>399</v>
      </c>
      <c r="C3971" s="1">
        <f>IFERROR(VLOOKUP(1,'PEDIDO 50'!$C$2:$E$230,3,0),0)</f>
        <v>0</v>
      </c>
      <c r="D3971" s="1">
        <f>IFERROR(VLOOKUP(2,'PEDIDO 50'!$C$2:$E$230,3,0),0)</f>
        <v>0</v>
      </c>
      <c r="E3971" s="1">
        <f>IFERROR(VLOOKUP(3,'PEDIDO 50'!$C$2:$E$230,3,0),0)</f>
        <v>0</v>
      </c>
      <c r="F3971" s="1">
        <f>IFERROR(VLOOKUP(282,'PEDIDO 50'!$C$2:$E$230,3,0),0)</f>
        <v>0</v>
      </c>
      <c r="G3971" s="18">
        <f>SUM(C3971+D3971+E3971+F3971)</f>
        <v>0</v>
      </c>
    </row>
    <row r="3972" spans="1:7" ht="15.75" x14ac:dyDescent="0.25">
      <c r="A3972" s="15">
        <f>'PEDIDO 50'!$B$2</f>
        <v>0</v>
      </c>
      <c r="B3972" s="12" t="s">
        <v>400</v>
      </c>
      <c r="C3972" s="1">
        <f>IFERROR(VLOOKUP(5,'PEDIDO 50'!$C$2:$E$230,3,0),0)</f>
        <v>0</v>
      </c>
      <c r="D3972" s="1">
        <f>IFERROR(VLOOKUP(6,'PEDIDO 50'!$C$2:$E$230,3,0),0)</f>
        <v>0</v>
      </c>
      <c r="E3972" s="1">
        <f>IFERROR(VLOOKUP(7,'PEDIDO 50'!$C$2:$E$230,3,0),0)</f>
        <v>0</v>
      </c>
      <c r="F3972" s="1">
        <f>IFERROR(VLOOKUP(258,'PEDIDO 50'!$C$2:$E$230,3,0),0)</f>
        <v>0</v>
      </c>
      <c r="G3972" s="18">
        <f t="shared" ref="G3972:G4035" si="124">SUM(C3972+D3972+E3972+F3972)</f>
        <v>0</v>
      </c>
    </row>
    <row r="3973" spans="1:7" ht="15.75" x14ac:dyDescent="0.25">
      <c r="A3973" s="15">
        <f>'PEDIDO 50'!$B$2</f>
        <v>0</v>
      </c>
      <c r="B3973" s="12" t="s">
        <v>401</v>
      </c>
      <c r="C3973" s="1">
        <f>IFERROR(VLOOKUP(13,'PEDIDO 50'!$C$2:$E$230,3,0),0)</f>
        <v>0</v>
      </c>
      <c r="D3973" s="1">
        <f>IFERROR(VLOOKUP(14,'PEDIDO 50'!$C$2:$E$230,3,0),0)</f>
        <v>0</v>
      </c>
      <c r="E3973" s="1">
        <f>IFERROR(VLOOKUP(15,'PEDIDO 50'!$C$2:$E$230,3,0),0)</f>
        <v>0</v>
      </c>
      <c r="F3973" s="1">
        <f>IFERROR(VLOOKUP(289,'PEDIDO 50'!$C$2:$E$230,3,0),0)</f>
        <v>0</v>
      </c>
      <c r="G3973" s="18">
        <f t="shared" si="124"/>
        <v>0</v>
      </c>
    </row>
    <row r="3974" spans="1:7" ht="15.75" x14ac:dyDescent="0.25">
      <c r="A3974" s="15">
        <f>'PEDIDO 50'!$B$2</f>
        <v>0</v>
      </c>
      <c r="B3974" s="12" t="s">
        <v>402</v>
      </c>
      <c r="C3974" s="1">
        <f>IFERROR(VLOOKUP(267,'PEDIDO 50'!$C$2:$E$230,3,0),0)</f>
        <v>0</v>
      </c>
      <c r="D3974" s="1">
        <f>IFERROR(VLOOKUP(268,'PEDIDO 50'!$C$2:$E$230,3,0),0)</f>
        <v>0</v>
      </c>
      <c r="E3974" s="1">
        <f>IFERROR(VLOOKUP(270,'PEDIDO 50'!$C$2:$E$230,3,0),0)</f>
        <v>0</v>
      </c>
      <c r="F3974" s="1">
        <f>IFERROR(VLOOKUP(269,'PEDIDO 50'!$C$2:$E$230,3,0),0)</f>
        <v>0</v>
      </c>
      <c r="G3974" s="18">
        <f t="shared" si="124"/>
        <v>0</v>
      </c>
    </row>
    <row r="3975" spans="1:7" ht="15.75" x14ac:dyDescent="0.25">
      <c r="A3975" s="15">
        <f>'PEDIDO 50'!$B$2</f>
        <v>0</v>
      </c>
      <c r="B3975" s="12" t="s">
        <v>403</v>
      </c>
      <c r="C3975" s="1">
        <f>IFERROR(VLOOKUP(17,'PEDIDO 50'!$C$2:$E$230,3,0),0)</f>
        <v>0</v>
      </c>
      <c r="D3975" s="1">
        <f>IFERROR(VLOOKUP(18,'PEDIDO 50'!$C$2:$E$230,3,0),0)</f>
        <v>0</v>
      </c>
      <c r="E3975" s="1">
        <f>IFERROR(VLOOKUP(19,'PEDIDO 50'!$C$2:$E$230,3,0),0)</f>
        <v>0</v>
      </c>
      <c r="F3975" s="1">
        <f>IFERROR(VLOOKUP(290,'PEDIDO 50'!$C$2:$E$230,3,0),0)</f>
        <v>0</v>
      </c>
      <c r="G3975" s="18">
        <f t="shared" si="124"/>
        <v>0</v>
      </c>
    </row>
    <row r="3976" spans="1:7" ht="15.75" x14ac:dyDescent="0.25">
      <c r="A3976" s="15">
        <f>'PEDIDO 50'!$B$2</f>
        <v>0</v>
      </c>
      <c r="B3976" s="12" t="s">
        <v>404</v>
      </c>
      <c r="C3976" s="1">
        <f>IFERROR(VLOOKUP(23,'PEDIDO 50'!$C$2:$E$230,3,0),0)</f>
        <v>0</v>
      </c>
      <c r="D3976" s="1">
        <f>IFERROR(VLOOKUP(24,'PEDIDO 50'!$C$2:$E$230,3,0),0)</f>
        <v>0</v>
      </c>
      <c r="E3976" s="1">
        <f>IFERROR(VLOOKUP(25,'PEDIDO 50'!$C$2:$E$230,3,0),0)</f>
        <v>0</v>
      </c>
      <c r="F3976" s="1">
        <f>IFERROR(VLOOKUP(291,'PEDIDO 50'!$C$2:$E$230,3,0),0)</f>
        <v>0</v>
      </c>
      <c r="G3976" s="18">
        <f t="shared" si="124"/>
        <v>0</v>
      </c>
    </row>
    <row r="3977" spans="1:7" ht="15.75" x14ac:dyDescent="0.25">
      <c r="A3977" s="15">
        <f>'PEDIDO 50'!$B$2</f>
        <v>0</v>
      </c>
      <c r="B3977" s="12" t="s">
        <v>405</v>
      </c>
      <c r="C3977" s="1">
        <f>IFERROR(VLOOKUP(27,'PEDIDO 50'!$C$2:$E$230,3,0),0)</f>
        <v>0</v>
      </c>
      <c r="D3977" s="1">
        <f>IFERROR(VLOOKUP(28,'PEDIDO 50'!$C$2:$E$230,3,0),0)</f>
        <v>0</v>
      </c>
      <c r="E3977" s="1">
        <f>IFERROR(VLOOKUP(29,'PEDIDO 50'!$C$2:$E$230,3,0),0)</f>
        <v>0</v>
      </c>
      <c r="F3977" s="1">
        <f>IFERROR(VLOOKUP(292,'PEDIDO 50'!$C$2:$E$230,3,0),0)</f>
        <v>0</v>
      </c>
      <c r="G3977" s="18">
        <f t="shared" si="124"/>
        <v>0</v>
      </c>
    </row>
    <row r="3978" spans="1:7" ht="15.75" x14ac:dyDescent="0.25">
      <c r="A3978" s="15">
        <f>'PEDIDO 50'!$B$2</f>
        <v>0</v>
      </c>
      <c r="B3978" s="12" t="s">
        <v>406</v>
      </c>
      <c r="C3978" s="1">
        <f>IFERROR(VLOOKUP(227,'PEDIDO 50'!$C$2:$E$230,3,0),0)</f>
        <v>0</v>
      </c>
      <c r="D3978" s="1">
        <f>IFERROR(VLOOKUP(228,'PEDIDO 50'!$C$2:$E$230,3,0),0)</f>
        <v>0</v>
      </c>
      <c r="E3978" s="1">
        <f>IFERROR(VLOOKUP(229,'PEDIDO 50'!$C$2:$E$230,3,0),0)</f>
        <v>0</v>
      </c>
      <c r="F3978" s="1">
        <f>IFERROR(VLOOKUP(230,'PEDIDO 50'!$C$2:$E$230,3,0),0)</f>
        <v>0</v>
      </c>
      <c r="G3978" s="18">
        <f t="shared" si="124"/>
        <v>0</v>
      </c>
    </row>
    <row r="3979" spans="1:7" ht="15.75" x14ac:dyDescent="0.25">
      <c r="A3979" s="15">
        <f>'PEDIDO 50'!$B$2</f>
        <v>0</v>
      </c>
      <c r="B3979" s="12" t="s">
        <v>407</v>
      </c>
      <c r="C3979" s="1">
        <f>IFERROR(VLOOKUP(231,'PEDIDO 50'!$C$2:$E$230,3,0),0)</f>
        <v>0</v>
      </c>
      <c r="D3979" s="1">
        <f>IFERROR(VLOOKUP(232,'PEDIDO 50'!$C$2:$E$230,3,0),0)</f>
        <v>0</v>
      </c>
      <c r="E3979" s="1">
        <f>IFERROR(VLOOKUP(234,'PEDIDO 50'!$C$2:$E$230,3,0),0)</f>
        <v>0</v>
      </c>
      <c r="F3979" s="1">
        <f>IFERROR(VLOOKUP(233,'PEDIDO 50'!$C$2:$E$230,3,0),0)</f>
        <v>0</v>
      </c>
      <c r="G3979" s="18">
        <f t="shared" si="124"/>
        <v>0</v>
      </c>
    </row>
    <row r="3980" spans="1:7" ht="15.75" x14ac:dyDescent="0.25">
      <c r="A3980" s="15">
        <f>'PEDIDO 50'!$B$2</f>
        <v>0</v>
      </c>
      <c r="B3980" s="12" t="s">
        <v>408</v>
      </c>
      <c r="C3980" s="1">
        <f>IFERROR(VLOOKUP(237,'PEDIDO 50'!$C$2:$E$230,3,0),0)</f>
        <v>0</v>
      </c>
      <c r="D3980" s="1">
        <f>IFERROR(VLOOKUP(238,'PEDIDO 50'!$C$2:$E$230,3,0),0)</f>
        <v>0</v>
      </c>
      <c r="E3980" s="1">
        <f>IFERROR(VLOOKUP(240,'PEDIDO 50'!$C$2:$E$230,3,0),0)</f>
        <v>0</v>
      </c>
      <c r="F3980" s="1">
        <f>IFERROR(VLOOKUP(239,'PEDIDO 50'!$C$2:$E$230,3,0),0)</f>
        <v>0</v>
      </c>
      <c r="G3980" s="18">
        <f t="shared" si="124"/>
        <v>0</v>
      </c>
    </row>
    <row r="3981" spans="1:7" ht="15.75" x14ac:dyDescent="0.25">
      <c r="A3981" s="15">
        <f>'PEDIDO 50'!$B$2</f>
        <v>0</v>
      </c>
      <c r="B3981" s="12" t="s">
        <v>409</v>
      </c>
      <c r="C3981" s="1">
        <f>IFERROR(VLOOKUP(25707,'PEDIDO 50'!$C$2:$E$230,3,0),0)</f>
        <v>0</v>
      </c>
      <c r="D3981" s="1">
        <f>IFERROR(VLOOKUP(25708,'PEDIDO 50'!$C$2:$E$230,3,0),0)</f>
        <v>0</v>
      </c>
      <c r="E3981" s="1">
        <f>IFERROR(VLOOKUP(25710,'PEDIDO 50'!$C$2:$E$230,3,0),0)</f>
        <v>0</v>
      </c>
      <c r="F3981" s="1">
        <f>IFERROR(VLOOKUP(25709,'PEDIDO 50'!$C$2:$E$230,3,0),0)</f>
        <v>0</v>
      </c>
      <c r="G3981" s="18">
        <f t="shared" si="124"/>
        <v>0</v>
      </c>
    </row>
    <row r="3982" spans="1:7" ht="15.75" x14ac:dyDescent="0.25">
      <c r="A3982" s="15">
        <f>'PEDIDO 50'!$B$2</f>
        <v>0</v>
      </c>
      <c r="B3982" s="12" t="s">
        <v>410</v>
      </c>
      <c r="C3982" s="1">
        <f>IFERROR(VLOOKUP(25711,'PEDIDO 50'!$C$2:$E$230,3,0),0)</f>
        <v>0</v>
      </c>
      <c r="D3982" s="1"/>
      <c r="E3982" s="1"/>
      <c r="F3982" s="1"/>
      <c r="G3982" s="18">
        <f t="shared" si="124"/>
        <v>0</v>
      </c>
    </row>
    <row r="3983" spans="1:7" ht="15.75" x14ac:dyDescent="0.25">
      <c r="A3983" s="15">
        <f>'PEDIDO 50'!$B$2</f>
        <v>0</v>
      </c>
      <c r="B3983" s="12" t="s">
        <v>411</v>
      </c>
      <c r="C3983" s="1">
        <f>IFERROR(VLOOKUP(35,'PEDIDO 50'!$C$2:$E$230,3,0),0)</f>
        <v>0</v>
      </c>
      <c r="D3983" s="1">
        <f>IFERROR(VLOOKUP(36,'PEDIDO 50'!$C$2:$E$230,3,0),0)</f>
        <v>0</v>
      </c>
      <c r="E3983" s="1">
        <f>IFERROR(VLOOKUP(37,'PEDIDO 50'!$C$2:$E$230,3,0),0)</f>
        <v>0</v>
      </c>
      <c r="F3983" s="1">
        <f>IFERROR(VLOOKUP(294,'PEDIDO 50'!$C$2:$E$230,3,0),0)</f>
        <v>0</v>
      </c>
      <c r="G3983" s="18">
        <f t="shared" si="124"/>
        <v>0</v>
      </c>
    </row>
    <row r="3984" spans="1:7" ht="15.75" x14ac:dyDescent="0.25">
      <c r="A3984" s="15">
        <f>'PEDIDO 50'!$B$2</f>
        <v>0</v>
      </c>
      <c r="B3984" s="12" t="s">
        <v>412</v>
      </c>
      <c r="C3984" s="1">
        <f>IFERROR(VLOOKUP(39,'PEDIDO 50'!$C$2:$E$230,3,0),0)</f>
        <v>0</v>
      </c>
      <c r="D3984" s="1">
        <f>IFERROR(VLOOKUP(40,'PEDIDO 50'!$C$2:$E$230,3,0),0)</f>
        <v>0</v>
      </c>
      <c r="E3984" s="1">
        <f>IFERROR(VLOOKUP(42,'PEDIDO 50'!$C$2:$E$230,3,0),0)</f>
        <v>0</v>
      </c>
      <c r="F3984" s="1">
        <f>IFERROR(VLOOKUP(295,'PEDIDO 50'!$C$2:$E$230,3,0),0)</f>
        <v>0</v>
      </c>
      <c r="G3984" s="18">
        <f t="shared" si="124"/>
        <v>0</v>
      </c>
    </row>
    <row r="3985" spans="1:7" ht="15.75" x14ac:dyDescent="0.25">
      <c r="A3985" s="15">
        <f>'PEDIDO 50'!$B$2</f>
        <v>0</v>
      </c>
      <c r="B3985" s="12" t="s">
        <v>413</v>
      </c>
      <c r="C3985" s="1">
        <f>IFERROR(VLOOKUP(44,'PEDIDO 50'!$C$2:$E$230,3,0),0)</f>
        <v>0</v>
      </c>
      <c r="D3985" s="1">
        <f>IFERROR(VLOOKUP(45,'PEDIDO 50'!$C$2:$E$230,3,0),0)</f>
        <v>0</v>
      </c>
      <c r="E3985" s="1">
        <f>IFERROR(VLOOKUP(46,'PEDIDO 50'!$C$2:$E$230,3,0),0)</f>
        <v>0</v>
      </c>
      <c r="F3985" s="1">
        <f>IFERROR(VLOOKUP(283,'PEDIDO 50'!$C$2:$E$230,3,0),0)</f>
        <v>0</v>
      </c>
      <c r="G3985" s="18">
        <f t="shared" si="124"/>
        <v>0</v>
      </c>
    </row>
    <row r="3986" spans="1:7" ht="15.75" x14ac:dyDescent="0.25">
      <c r="A3986" s="15">
        <f>'PEDIDO 50'!$B$2</f>
        <v>0</v>
      </c>
      <c r="B3986" s="12" t="s">
        <v>414</v>
      </c>
      <c r="C3986" s="1">
        <f>IFERROR(VLOOKUP(48,'PEDIDO 50'!$C$2:$E$230,3,0),0)</f>
        <v>0</v>
      </c>
      <c r="D3986" s="1">
        <f>IFERROR(VLOOKUP(49,'PEDIDO 50'!$C$2:$E$230,3,0),0)</f>
        <v>0</v>
      </c>
      <c r="E3986" s="1">
        <f>IFERROR(VLOOKUP(50,'PEDIDO 50'!$C$2:$E$230,3,0),0)</f>
        <v>0</v>
      </c>
      <c r="F3986" s="1">
        <f>IFERROR(VLOOKUP(298,'PEDIDO 50'!$C$2:$E$230,3,0),0)</f>
        <v>0</v>
      </c>
      <c r="G3986" s="18">
        <f t="shared" si="124"/>
        <v>0</v>
      </c>
    </row>
    <row r="3987" spans="1:7" ht="15.75" x14ac:dyDescent="0.25">
      <c r="A3987" s="15">
        <f>'PEDIDO 50'!$B$2</f>
        <v>0</v>
      </c>
      <c r="B3987" s="12" t="s">
        <v>415</v>
      </c>
      <c r="C3987" s="1">
        <f>IFERROR(VLOOKUP(52,'PEDIDO 50'!$C$2:$E$230,3,0),0)</f>
        <v>0</v>
      </c>
      <c r="D3987" s="1">
        <f>IFERROR(VLOOKUP(53,'PEDIDO 50'!$C$2:$E$230,3,0),0)</f>
        <v>0</v>
      </c>
      <c r="E3987" s="1">
        <f>IFERROR(VLOOKUP(54,'PEDIDO 50'!$C$2:$E$230,3,0),0)</f>
        <v>0</v>
      </c>
      <c r="F3987" s="1">
        <f>IFERROR(VLOOKUP(299,'PEDIDO 50'!$C$2:$E$230,3,0),0)</f>
        <v>0</v>
      </c>
      <c r="G3987" s="18">
        <f t="shared" si="124"/>
        <v>0</v>
      </c>
    </row>
    <row r="3988" spans="1:7" ht="15.75" x14ac:dyDescent="0.25">
      <c r="A3988" s="15">
        <f>'PEDIDO 50'!$B$2</f>
        <v>0</v>
      </c>
      <c r="B3988" s="12" t="s">
        <v>416</v>
      </c>
      <c r="C3988" s="1">
        <f>IFERROR(VLOOKUP(56,'PEDIDO 50'!$C$2:$E$230,3,0),0)</f>
        <v>0</v>
      </c>
      <c r="D3988" s="1">
        <f>IFERROR(VLOOKUP(61,'PEDIDO 50'!$C$2:$E$230,3,0),0)</f>
        <v>0</v>
      </c>
      <c r="E3988" s="1">
        <f>IFERROR(VLOOKUP(58,'PEDIDO 50'!$C$2:$E$230,3,0),0)</f>
        <v>0</v>
      </c>
      <c r="F3988" s="1">
        <f>IFERROR(VLOOKUP(300,'PEDIDO 50'!$C$2:$E$230,3,0),0)</f>
        <v>0</v>
      </c>
      <c r="G3988" s="18">
        <f t="shared" si="124"/>
        <v>0</v>
      </c>
    </row>
    <row r="3989" spans="1:7" ht="15.75" x14ac:dyDescent="0.25">
      <c r="A3989" s="15">
        <f>'PEDIDO 50'!$B$2</f>
        <v>0</v>
      </c>
      <c r="B3989" s="12" t="s">
        <v>417</v>
      </c>
      <c r="C3989" s="1">
        <f>IFERROR(VLOOKUP(60,'PEDIDO 50'!$C$2:$E$230,3,0),0)</f>
        <v>0</v>
      </c>
      <c r="D3989" s="1">
        <f>IFERROR(VLOOKUP(120,'PEDIDO 50'!$C$2:$E$230,3,0),0)</f>
        <v>0</v>
      </c>
      <c r="E3989" s="1">
        <f>IFERROR(VLOOKUP(62,'PEDIDO 50'!$C$2:$E$230,3,0),0)</f>
        <v>0</v>
      </c>
      <c r="F3989" s="1">
        <f>IFERROR(VLOOKUP(301,'PEDIDO 50'!$C$2:$E$230,3,0),0)</f>
        <v>0</v>
      </c>
      <c r="G3989" s="18">
        <f t="shared" si="124"/>
        <v>0</v>
      </c>
    </row>
    <row r="3990" spans="1:7" ht="15.75" x14ac:dyDescent="0.25">
      <c r="A3990" s="15">
        <f>'PEDIDO 50'!$B$2</f>
        <v>0</v>
      </c>
      <c r="B3990" s="12" t="s">
        <v>426</v>
      </c>
      <c r="C3990" s="1">
        <f>IFERROR(VLOOKUP(112,'PEDIDO 50'!$C$2:$E$230,3,0),0)</f>
        <v>0</v>
      </c>
      <c r="D3990" s="1">
        <f>IFERROR(VLOOKUP(113,'PEDIDO 50'!$C$2:$E$230,3,0),0)</f>
        <v>0</v>
      </c>
      <c r="E3990" s="1">
        <f>IFERROR(VLOOKUP(114,'PEDIDO 50'!$C$2:$E$230,3,0),0)</f>
        <v>0</v>
      </c>
      <c r="F3990" s="1">
        <f>IFERROR(VLOOKUP(296,'PEDIDO 50'!$C$2:$E$230,3,0),0)</f>
        <v>0</v>
      </c>
      <c r="G3990" s="18">
        <f t="shared" si="124"/>
        <v>0</v>
      </c>
    </row>
    <row r="3991" spans="1:7" ht="15.75" x14ac:dyDescent="0.25">
      <c r="A3991" s="15">
        <f>'PEDIDO 50'!$B$2</f>
        <v>0</v>
      </c>
      <c r="B3991" s="12" t="s">
        <v>427</v>
      </c>
      <c r="C3991" s="1">
        <f>IFERROR(VLOOKUP(116,'PEDIDO 50'!$C$2:$E$230,3,0),0)</f>
        <v>0</v>
      </c>
      <c r="D3991" s="1">
        <f>IFERROR(VLOOKUP(117,'PEDIDO 50'!$C$2:$E$230,3,0),0)</f>
        <v>0</v>
      </c>
      <c r="E3991" s="1">
        <f>IFERROR(VLOOKUP(118,'PEDIDO 50'!$C$2:$E$230,3,0),0)</f>
        <v>0</v>
      </c>
      <c r="F3991" s="1">
        <f>IFERROR(VLOOKUP(293,'PEDIDO 50'!$C$2:$E$230,3,0),0)</f>
        <v>0</v>
      </c>
      <c r="G3991" s="18">
        <f t="shared" si="124"/>
        <v>0</v>
      </c>
    </row>
    <row r="3992" spans="1:7" ht="15.75" x14ac:dyDescent="0.25">
      <c r="A3992" s="15">
        <f>'PEDIDO 50'!$B$2</f>
        <v>0</v>
      </c>
      <c r="B3992" s="12" t="s">
        <v>418</v>
      </c>
      <c r="C3992" s="1">
        <f>IFERROR(VLOOKUP(963,'PEDIDO 50'!$C$2:$E$230,3,0),0)</f>
        <v>0</v>
      </c>
      <c r="D3992" s="1">
        <f>IFERROR(VLOOKUP(965,'PEDIDO 50'!$C$2:$E$230,3,0),0)</f>
        <v>0</v>
      </c>
      <c r="E3992" s="1">
        <f>IFERROR(VLOOKUP(966,'PEDIDO 50'!$C$2:$E$230,3,0),0)</f>
        <v>0</v>
      </c>
      <c r="F3992" s="1">
        <f>IFERROR(VLOOKUP(964,'PEDIDO 50'!$C$2:$E$230,3,0),0)</f>
        <v>0</v>
      </c>
      <c r="G3992" s="18">
        <f t="shared" si="124"/>
        <v>0</v>
      </c>
    </row>
    <row r="3993" spans="1:7" ht="15.75" x14ac:dyDescent="0.25">
      <c r="A3993" s="15">
        <f>'PEDIDO 50'!$B$2</f>
        <v>0</v>
      </c>
      <c r="B3993" s="12" t="s">
        <v>419</v>
      </c>
      <c r="C3993" s="1">
        <f>IFERROR(VLOOKUP(2042,'PEDIDO 50'!$C$2:$E$230,3,0),0)</f>
        <v>0</v>
      </c>
      <c r="D3993" s="1">
        <f>IFERROR(VLOOKUP(2041,'PEDIDO 50'!$C$2:$E$230,3,0),0)</f>
        <v>0</v>
      </c>
      <c r="E3993" s="1">
        <f>IFERROR(VLOOKUP(2043,'PEDIDO 50'!$C$2:$E$230,3,0),0)</f>
        <v>0</v>
      </c>
      <c r="F3993" s="1">
        <f>IFERROR(VLOOKUP(2040,'PEDIDO 50'!$C$2:$E$230,3,0),0)</f>
        <v>0</v>
      </c>
      <c r="G3993" s="18">
        <f t="shared" si="124"/>
        <v>0</v>
      </c>
    </row>
    <row r="3994" spans="1:7" ht="15.75" x14ac:dyDescent="0.25">
      <c r="A3994" s="15">
        <f>'PEDIDO 50'!$B$2</f>
        <v>0</v>
      </c>
      <c r="B3994" s="12" t="s">
        <v>420</v>
      </c>
      <c r="C3994" s="1">
        <f>IFERROR(VLOOKUP(2045,'PEDIDO 50'!$C$2:$E$230,3,0),0)</f>
        <v>0</v>
      </c>
      <c r="D3994" s="1">
        <f>IFERROR(VLOOKUP(2046,'PEDIDO 50'!$C$2:$E$230,3,0),0)</f>
        <v>0</v>
      </c>
      <c r="E3994" s="1">
        <f>IFERROR(VLOOKUP(2047,'PEDIDO 50'!$C$2:$E$230,3,0),0)</f>
        <v>0</v>
      </c>
      <c r="F3994" s="1">
        <f>IFERROR(VLOOKUP(2048,'PEDIDO 50'!$C$2:$E$230,3,0),0)</f>
        <v>0</v>
      </c>
      <c r="G3994" s="18">
        <f t="shared" si="124"/>
        <v>0</v>
      </c>
    </row>
    <row r="3995" spans="1:7" ht="15.75" x14ac:dyDescent="0.25">
      <c r="A3995" s="15">
        <f>'PEDIDO 50'!$B$2</f>
        <v>0</v>
      </c>
      <c r="B3995" s="12" t="s">
        <v>421</v>
      </c>
      <c r="C3995" s="1">
        <f>IFERROR(VLOOKUP(2050,'PEDIDO 50'!$C$2:$E$230,3,0),0)</f>
        <v>0</v>
      </c>
      <c r="D3995" s="1">
        <f>IFERROR(VLOOKUP(2051,'PEDIDO 50'!$C$2:$E$230,3,0),0)</f>
        <v>0</v>
      </c>
      <c r="E3995" s="1">
        <f>IFERROR(VLOOKUP(2052,'PEDIDO 50'!$C$2:$E$230,3,0),0)</f>
        <v>0</v>
      </c>
      <c r="F3995" s="1">
        <f>IFERROR(VLOOKUP(2053,'PEDIDO 50'!$C$2:$E$230,3,0),0)</f>
        <v>0</v>
      </c>
      <c r="G3995" s="18">
        <f t="shared" si="124"/>
        <v>0</v>
      </c>
    </row>
    <row r="3996" spans="1:7" ht="15.75" x14ac:dyDescent="0.25">
      <c r="A3996" s="15">
        <f>'PEDIDO 50'!$B$2</f>
        <v>0</v>
      </c>
      <c r="B3996" s="12" t="s">
        <v>422</v>
      </c>
      <c r="C3996" s="1">
        <f>IFERROR(VLOOKUP(216,'PEDIDO 50'!$C$2:$E$230,3,0),0)</f>
        <v>0</v>
      </c>
      <c r="D3996" s="1">
        <f>IFERROR(VLOOKUP(217,'PEDIDO 50'!$C$2:$E$230,3,0),0)</f>
        <v>0</v>
      </c>
      <c r="E3996" s="1">
        <f>IFERROR(VLOOKUP(218,'PEDIDO 50'!$C$2:$E$230,3,0),0)</f>
        <v>0</v>
      </c>
      <c r="F3996" s="1">
        <f>IFERROR(VLOOKUP(305,'PEDIDO 50'!$C$2:$E$230,3,0),0)</f>
        <v>0</v>
      </c>
      <c r="G3996" s="18">
        <f t="shared" si="124"/>
        <v>0</v>
      </c>
    </row>
    <row r="3997" spans="1:7" ht="15.75" x14ac:dyDescent="0.25">
      <c r="A3997" s="15">
        <f>'PEDIDO 50'!$B$2</f>
        <v>0</v>
      </c>
      <c r="B3997" s="12" t="s">
        <v>423</v>
      </c>
      <c r="C3997" s="1">
        <f>IFERROR(VLOOKUP(100,'PEDIDO 50'!$C$2:$E$230,3,0),0)</f>
        <v>0</v>
      </c>
      <c r="D3997" s="1">
        <f>IFERROR(VLOOKUP(101,'PEDIDO 50'!$C$2:$E$230,3,0),0)</f>
        <v>0</v>
      </c>
      <c r="E3997" s="1">
        <f>IFERROR(VLOOKUP(102,'PEDIDO 50'!$C$2:$E$230,3,0),0)</f>
        <v>0</v>
      </c>
      <c r="F3997" s="1">
        <f>IFERROR(VLOOKUP(306,'PEDIDO 50'!$C$2:$E$230,3,0),0)</f>
        <v>0</v>
      </c>
      <c r="G3997" s="18">
        <f t="shared" si="124"/>
        <v>0</v>
      </c>
    </row>
    <row r="3998" spans="1:7" ht="15.75" x14ac:dyDescent="0.25">
      <c r="A3998" s="15">
        <f>'PEDIDO 50'!$B$2</f>
        <v>0</v>
      </c>
      <c r="B3998" s="12" t="s">
        <v>424</v>
      </c>
      <c r="C3998" s="1">
        <f>IFERROR(VLOOKUP(104,'PEDIDO 50'!$C$2:$E$230,3,0),0)</f>
        <v>0</v>
      </c>
      <c r="D3998" s="1">
        <f>IFERROR(VLOOKUP(105,'PEDIDO 50'!$C$2:$E$230,3,0),0)</f>
        <v>0</v>
      </c>
      <c r="E3998" s="1">
        <f>IFERROR(VLOOKUP(106,'PEDIDO 50'!$C$2:$E$230,3,0),0)</f>
        <v>0</v>
      </c>
      <c r="F3998" s="1">
        <f>IFERROR(VLOOKUP(307,'PEDIDO 50'!$C$2:$E$230,3,0),0)</f>
        <v>0</v>
      </c>
      <c r="G3998" s="18">
        <f t="shared" si="124"/>
        <v>0</v>
      </c>
    </row>
    <row r="3999" spans="1:7" ht="15.75" x14ac:dyDescent="0.25">
      <c r="A3999" s="15">
        <f>'PEDIDO 50'!$B$2</f>
        <v>0</v>
      </c>
      <c r="B3999" s="12" t="s">
        <v>425</v>
      </c>
      <c r="C3999" s="1">
        <f>IFERROR(VLOOKUP(400,'PEDIDO 50'!$C$2:$E$230,3,0),0)</f>
        <v>0</v>
      </c>
      <c r="D3999" s="1">
        <f>IFERROR(VLOOKUP(401,'PEDIDO 50'!$C$2:$E$230,3,0),0)</f>
        <v>0</v>
      </c>
      <c r="E3999" s="1">
        <f>IFERROR(VLOOKUP(402,'PEDIDO 50'!$C$2:$E$230,3,0),0)</f>
        <v>0</v>
      </c>
      <c r="F3999" s="1">
        <f>IFERROR(VLOOKUP(403,'PEDIDO 50'!$C$2:$E$230,3,0),0)</f>
        <v>0</v>
      </c>
      <c r="G3999" s="18">
        <f t="shared" si="124"/>
        <v>0</v>
      </c>
    </row>
    <row r="4000" spans="1:7" ht="15.75" x14ac:dyDescent="0.25">
      <c r="A4000" s="15">
        <f>'PEDIDO 50'!$B$2</f>
        <v>0</v>
      </c>
      <c r="B4000" s="12" t="s">
        <v>428</v>
      </c>
      <c r="C4000" s="1">
        <f>IFERROR(VLOOKUP(22,'PEDIDO 50'!$C$2:$E$230,3,0),0)</f>
        <v>0</v>
      </c>
      <c r="D4000" s="1"/>
      <c r="E4000" s="1"/>
      <c r="F4000" s="1"/>
      <c r="G4000" s="18">
        <f t="shared" si="124"/>
        <v>0</v>
      </c>
    </row>
    <row r="4001" spans="1:7" ht="15.75" x14ac:dyDescent="0.25">
      <c r="A4001" s="15">
        <f>'PEDIDO 50'!$B$2</f>
        <v>0</v>
      </c>
      <c r="B4001" s="12" t="s">
        <v>429</v>
      </c>
      <c r="C4001" s="1">
        <f>IFERROR(VLOOKUP(21,'PEDIDO 50'!$C$2:$E$230,3,0),0)</f>
        <v>0</v>
      </c>
      <c r="D4001" s="1"/>
      <c r="E4001" s="1"/>
      <c r="F4001" s="1"/>
      <c r="G4001" s="18">
        <f t="shared" si="124"/>
        <v>0</v>
      </c>
    </row>
    <row r="4002" spans="1:7" ht="15.75" x14ac:dyDescent="0.25">
      <c r="A4002" s="15">
        <f>'PEDIDO 50'!$B$2</f>
        <v>0</v>
      </c>
      <c r="B4002" s="12" t="s">
        <v>430</v>
      </c>
      <c r="C4002" s="1">
        <f>IFERROR(VLOOKUP(1125,'PEDIDO 50'!$C$2:$E$230,3,0),0)</f>
        <v>0</v>
      </c>
      <c r="D4002" s="1">
        <f>IFERROR(VLOOKUP(1126,'PEDIDO 50'!$C$2:$E$230,3,0),0)</f>
        <v>0</v>
      </c>
      <c r="E4002" s="1">
        <f>IFERROR(VLOOKUP(1127,'PEDIDO 50'!$C$2:$E$230,3,0),0)</f>
        <v>0</v>
      </c>
      <c r="F4002" s="1">
        <f>IFERROR(VLOOKUP(1128,'PEDIDO 50'!$C$2:$E$230,3,0),0)</f>
        <v>0</v>
      </c>
      <c r="G4002" s="18">
        <f t="shared" si="124"/>
        <v>0</v>
      </c>
    </row>
    <row r="4003" spans="1:7" ht="15.75" x14ac:dyDescent="0.25">
      <c r="A4003" s="15">
        <f>'PEDIDO 50'!$B$2</f>
        <v>0</v>
      </c>
      <c r="B4003" s="12" t="s">
        <v>431</v>
      </c>
      <c r="C4003" s="1">
        <f>IFERROR(VLOOKUP(1133,'PEDIDO 50'!$C$2:$E$230,3,0),0)</f>
        <v>0</v>
      </c>
      <c r="D4003" s="1">
        <f>IFERROR(VLOOKUP(1134,'PEDIDO 50'!$C$2:$E$230,3,0),0)</f>
        <v>0</v>
      </c>
      <c r="E4003" s="1">
        <f>IFERROR(VLOOKUP(1135,'PEDIDO 50'!$C$2:$E$230,3,0),0)</f>
        <v>0</v>
      </c>
      <c r="F4003" s="1">
        <f>IFERROR(VLOOKUP(1136,'PEDIDO 50'!$C$2:$E$230,3,0),0)</f>
        <v>0</v>
      </c>
      <c r="G4003" s="18">
        <f t="shared" si="124"/>
        <v>0</v>
      </c>
    </row>
    <row r="4004" spans="1:7" ht="15.75" x14ac:dyDescent="0.25">
      <c r="A4004" s="15">
        <f>'PEDIDO 50'!$B$2</f>
        <v>0</v>
      </c>
      <c r="B4004" s="12" t="s">
        <v>432</v>
      </c>
      <c r="C4004" s="1">
        <f>IFERROR(VLOOKUP(1105,'PEDIDO 50'!$C$2:$E$230,3,0),0)</f>
        <v>0</v>
      </c>
      <c r="D4004" s="1">
        <f>IFERROR(VLOOKUP(1106,'PEDIDO 50'!$C$2:$E$230,3,0),0)</f>
        <v>0</v>
      </c>
      <c r="E4004" s="1">
        <f>IFERROR(VLOOKUP(1107,'PEDIDO 50'!$C$2:$E$230,3,0),0)</f>
        <v>0</v>
      </c>
      <c r="F4004" s="1">
        <f>IFERROR(VLOOKUP(1108,'PEDIDO 50'!$C$2:$E$230,3,0),0)</f>
        <v>0</v>
      </c>
      <c r="G4004" s="18">
        <f t="shared" si="124"/>
        <v>0</v>
      </c>
    </row>
    <row r="4005" spans="1:7" ht="15.75" x14ac:dyDescent="0.25">
      <c r="A4005" s="15">
        <f>'PEDIDO 50'!$B$2</f>
        <v>0</v>
      </c>
      <c r="B4005" s="12" t="s">
        <v>433</v>
      </c>
      <c r="C4005" s="1">
        <f>IFERROR(VLOOKUP(1109,'PEDIDO 50'!$C$2:$E$230,3,0),0)</f>
        <v>0</v>
      </c>
      <c r="D4005" s="1">
        <f>IFERROR(VLOOKUP(1110,'PEDIDO 50'!$C$2:$E$230,3,0),0)</f>
        <v>0</v>
      </c>
      <c r="E4005" s="1">
        <f>IFERROR(VLOOKUP(1111,'PEDIDO 50'!$C$2:$E$230,3,0),0)</f>
        <v>0</v>
      </c>
      <c r="F4005" s="1">
        <f>IFERROR(VLOOKUP(1112,'PEDIDO 50'!$C$2:$E$230,3,0),0)</f>
        <v>0</v>
      </c>
      <c r="G4005" s="18">
        <f t="shared" si="124"/>
        <v>0</v>
      </c>
    </row>
    <row r="4006" spans="1:7" ht="15.75" x14ac:dyDescent="0.25">
      <c r="A4006" s="15">
        <f>'PEDIDO 50'!$B$2</f>
        <v>0</v>
      </c>
      <c r="B4006" s="12" t="s">
        <v>434</v>
      </c>
      <c r="C4006" s="1">
        <f>IFERROR(VLOOKUP(1113,'PEDIDO 50'!$C$2:$E$230,3,0),0)</f>
        <v>0</v>
      </c>
      <c r="D4006" s="1">
        <f>IFERROR(VLOOKUP(1114,'PEDIDO 50'!$C$2:$E$230,3,0),0)</f>
        <v>0</v>
      </c>
      <c r="E4006" s="1">
        <f>IFERROR(VLOOKUP(1115,'PEDIDO 50'!$C$2:$E$230,3,0),0)</f>
        <v>0</v>
      </c>
      <c r="F4006" s="1">
        <f>IFERROR(VLOOKUP(1116,'PEDIDO 50'!$C$2:$E$230,3,0),0)</f>
        <v>0</v>
      </c>
      <c r="G4006" s="18">
        <f t="shared" si="124"/>
        <v>0</v>
      </c>
    </row>
    <row r="4007" spans="1:7" ht="15.75" x14ac:dyDescent="0.25">
      <c r="A4007" s="15">
        <f>'PEDIDO 50'!$B$2</f>
        <v>0</v>
      </c>
      <c r="B4007" s="12" t="s">
        <v>435</v>
      </c>
      <c r="C4007" s="1">
        <f>IFERROR(VLOOKUP(1117,'PEDIDO 50'!$C$2:$E$230,3,0),0)</f>
        <v>0</v>
      </c>
      <c r="D4007" s="1">
        <f>IFERROR(VLOOKUP(1118,'PEDIDO 50'!$C$2:$E$230,3,0),0)</f>
        <v>0</v>
      </c>
      <c r="E4007" s="1">
        <f>IFERROR(VLOOKUP(1119,'PEDIDO 50'!$C$2:$E$230,3,0),0)</f>
        <v>0</v>
      </c>
      <c r="F4007" s="1">
        <f>IFERROR(VLOOKUP(1120,'PEDIDO 50'!$C$2:$E$230,3,0),0)</f>
        <v>0</v>
      </c>
      <c r="G4007" s="18">
        <f t="shared" si="124"/>
        <v>0</v>
      </c>
    </row>
    <row r="4008" spans="1:7" ht="15.75" x14ac:dyDescent="0.25">
      <c r="A4008" s="15">
        <f>'PEDIDO 50'!$B$2</f>
        <v>0</v>
      </c>
      <c r="B4008" s="12" t="s">
        <v>436</v>
      </c>
      <c r="C4008" s="1">
        <f>IFERROR(VLOOKUP(1121,'PEDIDO 50'!$C$2:$E$230,3,0),0)</f>
        <v>0</v>
      </c>
      <c r="D4008" s="1">
        <f>IFERROR(VLOOKUP(1122,'PEDIDO 50'!$C$2:$E$230,3,0),0)</f>
        <v>0</v>
      </c>
      <c r="E4008" s="1">
        <f>IFERROR(VLOOKUP(1123,'PEDIDO 50'!$C$2:$E$230,3,0),0)</f>
        <v>0</v>
      </c>
      <c r="F4008" s="1">
        <f>IFERROR(VLOOKUP(1124,'PEDIDO 50'!$C$2:$E$230,3,0),0)</f>
        <v>0</v>
      </c>
      <c r="G4008" s="18">
        <f t="shared" si="124"/>
        <v>0</v>
      </c>
    </row>
    <row r="4009" spans="1:7" ht="15.75" x14ac:dyDescent="0.25">
      <c r="A4009" s="15">
        <f>'PEDIDO 50'!$B$2</f>
        <v>0</v>
      </c>
      <c r="B4009" s="12" t="s">
        <v>437</v>
      </c>
      <c r="C4009" s="1">
        <f>IFERROR(VLOOKUP(1129,'PEDIDO 50'!$C$2:$E$230,3,0),0)</f>
        <v>0</v>
      </c>
      <c r="D4009" s="1">
        <f>IFERROR(VLOOKUP(1130,'PEDIDO 50'!$C$2:$E$230,3,0),0)</f>
        <v>0</v>
      </c>
      <c r="E4009" s="1">
        <f>IFERROR(VLOOKUP(1131,'PEDIDO 50'!$C$2:$E$230,3,0),0)</f>
        <v>0</v>
      </c>
      <c r="F4009" s="1">
        <f>IFERROR(VLOOKUP(1132,'PEDIDO 50'!$C$2:$E$230,3,0),0)</f>
        <v>0</v>
      </c>
      <c r="G4009" s="18">
        <f t="shared" si="124"/>
        <v>0</v>
      </c>
    </row>
    <row r="4010" spans="1:7" ht="15.75" x14ac:dyDescent="0.25">
      <c r="A4010" s="15">
        <f>'PEDIDO 50'!$B$2</f>
        <v>0</v>
      </c>
      <c r="B4010" s="12" t="s">
        <v>438</v>
      </c>
      <c r="C4010" s="1">
        <f>IFERROR(VLOOKUP(1137,'PEDIDO 50'!$C$2:$E$230,3,0),0)</f>
        <v>0</v>
      </c>
      <c r="D4010" s="1">
        <f>IFERROR(VLOOKUP(1138,'PEDIDO 50'!$C$2:$E$230,3,0),0)</f>
        <v>0</v>
      </c>
      <c r="E4010" s="1">
        <f>IFERROR(VLOOKUP(1139,'PEDIDO 50'!$C$2:$E$230,3,0),0)</f>
        <v>0</v>
      </c>
      <c r="F4010" s="1">
        <f>IFERROR(VLOOKUP(1140,'PEDIDO 50'!$C$2:$E$230,3,0),0)</f>
        <v>0</v>
      </c>
      <c r="G4010" s="18">
        <f t="shared" si="124"/>
        <v>0</v>
      </c>
    </row>
    <row r="4011" spans="1:7" ht="15.75" x14ac:dyDescent="0.25">
      <c r="A4011" s="15">
        <f>'PEDIDO 50'!$B$2</f>
        <v>0</v>
      </c>
      <c r="B4011" s="12" t="s">
        <v>439</v>
      </c>
      <c r="C4011" s="1">
        <f>IFERROR(VLOOKUP(1141,'PEDIDO 50'!$C$2:$E$230,3,0),0)</f>
        <v>0</v>
      </c>
      <c r="D4011" s="1">
        <f>IFERROR(VLOOKUP(1142,'PEDIDO 50'!$C$2:$E$230,3,0),0)</f>
        <v>0</v>
      </c>
      <c r="E4011" s="1">
        <f>IFERROR(VLOOKUP(1143,'PEDIDO 50'!$C$2:$E$230,3,0),0)</f>
        <v>0</v>
      </c>
      <c r="F4011" s="1">
        <f>IFERROR(VLOOKUP(1144,'PEDIDO 50'!$C$2:$E$230,3,0),0)</f>
        <v>0</v>
      </c>
      <c r="G4011" s="18">
        <f t="shared" si="124"/>
        <v>0</v>
      </c>
    </row>
    <row r="4012" spans="1:7" ht="15.75" x14ac:dyDescent="0.25">
      <c r="A4012" s="15">
        <f>'PEDIDO 50'!$B$2</f>
        <v>0</v>
      </c>
      <c r="B4012" s="12" t="s">
        <v>440</v>
      </c>
      <c r="C4012" s="1">
        <f>IFERROR(VLOOKUP(1145,'PEDIDO 50'!$C$2:$E$230,3,0),0)</f>
        <v>0</v>
      </c>
      <c r="D4012" s="1">
        <f>IFERROR(VLOOKUP(1146,'PEDIDO 50'!$C$2:$E$230,3,0),0)</f>
        <v>0</v>
      </c>
      <c r="E4012" s="1">
        <f>IFERROR(VLOOKUP(1147,'PEDIDO 50'!$C$2:$E$230,3,0),0)</f>
        <v>0</v>
      </c>
      <c r="F4012" s="1">
        <f>IFERROR(VLOOKUP(1148,'PEDIDO 50'!$C$2:$E$230,3,0),0)</f>
        <v>0</v>
      </c>
      <c r="G4012" s="18">
        <f t="shared" si="124"/>
        <v>0</v>
      </c>
    </row>
    <row r="4013" spans="1:7" ht="15.75" x14ac:dyDescent="0.25">
      <c r="A4013" s="15">
        <f>'PEDIDO 50'!$B$2</f>
        <v>0</v>
      </c>
      <c r="B4013" s="12" t="s">
        <v>441</v>
      </c>
      <c r="C4013" s="1">
        <f>IFERROR(VLOOKUP(1149,'PEDIDO 50'!$C$2:$E$230,3,0),0)</f>
        <v>0</v>
      </c>
      <c r="D4013" s="1">
        <f>IFERROR(VLOOKUP(1150,'PEDIDO 50'!$C$2:$E$230,3,0),0)</f>
        <v>0</v>
      </c>
      <c r="E4013" s="1">
        <f>IFERROR(VLOOKUP(1151,'PEDIDO 50'!$C$2:$E$230,3,0),0)</f>
        <v>0</v>
      </c>
      <c r="F4013" s="1">
        <f>IFERROR(VLOOKUP(1152,'PEDIDO 50'!$C$2:$E$230,3,0),0)</f>
        <v>0</v>
      </c>
      <c r="G4013" s="18">
        <f t="shared" si="124"/>
        <v>0</v>
      </c>
    </row>
    <row r="4014" spans="1:7" ht="15.75" x14ac:dyDescent="0.25">
      <c r="A4014" s="15">
        <f>'PEDIDO 50'!$B$2</f>
        <v>0</v>
      </c>
      <c r="B4014" s="12" t="s">
        <v>442</v>
      </c>
      <c r="C4014" s="1">
        <f>IFERROR(VLOOKUP(1153,'PEDIDO 50'!$C$2:$E$230,3,0),0)</f>
        <v>0</v>
      </c>
      <c r="D4014" s="1">
        <f>IFERROR(VLOOKUP(1154,'PEDIDO 50'!$C$2:$E$230,3,0),0)</f>
        <v>0</v>
      </c>
      <c r="E4014" s="1">
        <f>IFERROR(VLOOKUP(1155,'PEDIDO 50'!$C$2:$E$230,3,0),0)</f>
        <v>0</v>
      </c>
      <c r="F4014" s="1">
        <f>IFERROR(VLOOKUP(1156,'PEDIDO 50'!$C$2:$E$230,3,0),0)</f>
        <v>0</v>
      </c>
      <c r="G4014" s="18">
        <f t="shared" si="124"/>
        <v>0</v>
      </c>
    </row>
    <row r="4015" spans="1:7" ht="15.75" x14ac:dyDescent="0.25">
      <c r="A4015" s="15">
        <f>'PEDIDO 50'!$B$2</f>
        <v>0</v>
      </c>
      <c r="B4015" s="12" t="s">
        <v>443</v>
      </c>
      <c r="C4015" s="1">
        <f>IFERROR(VLOOKUP(1157,'PEDIDO 50'!$C$2:$E$230,3,0),0)</f>
        <v>0</v>
      </c>
      <c r="D4015" s="1">
        <f>IFERROR(VLOOKUP(1158,'PEDIDO 50'!$C$2:$E$230,3,0),0)</f>
        <v>0</v>
      </c>
      <c r="E4015" s="1">
        <f>IFERROR(VLOOKUP(1159,'PEDIDO 50'!$C$2:$E$230,3,0),0)</f>
        <v>0</v>
      </c>
      <c r="F4015" s="1">
        <f>IFERROR(VLOOKUP(1160,'PEDIDO 50'!$C$2:$E$230,3,0),0)</f>
        <v>0</v>
      </c>
      <c r="G4015" s="18">
        <f t="shared" si="124"/>
        <v>0</v>
      </c>
    </row>
    <row r="4016" spans="1:7" ht="15.75" x14ac:dyDescent="0.25">
      <c r="A4016" s="15">
        <f>'PEDIDO 50'!$B$2</f>
        <v>0</v>
      </c>
      <c r="B4016" s="12" t="s">
        <v>444</v>
      </c>
      <c r="C4016" s="1">
        <f>IFERROR(VLOOKUP(1161,'PEDIDO 50'!$C$2:$E$230,3,0),0)</f>
        <v>0</v>
      </c>
      <c r="D4016" s="1">
        <f>IFERROR(VLOOKUP(1162,'PEDIDO 50'!$C$2:$E$230,3,0),0)</f>
        <v>0</v>
      </c>
      <c r="E4016" s="1">
        <f>IFERROR(VLOOKUP(1163,'PEDIDO 50'!$C$2:$E$230,3,0),0)</f>
        <v>0</v>
      </c>
      <c r="F4016" s="1">
        <f>IFERROR(VLOOKUP(1164,'PEDIDO 50'!$C$2:$E$230,3,0),0)</f>
        <v>0</v>
      </c>
      <c r="G4016" s="18">
        <f t="shared" si="124"/>
        <v>0</v>
      </c>
    </row>
    <row r="4017" spans="1:7" ht="15.75" x14ac:dyDescent="0.25">
      <c r="A4017" s="15">
        <f>'PEDIDO 50'!$B$2</f>
        <v>0</v>
      </c>
      <c r="B4017" s="12" t="s">
        <v>445</v>
      </c>
      <c r="C4017" s="1">
        <f>IFERROR(VLOOKUP(1165,'PEDIDO 50'!$C$2:$E$230,3,0),0)</f>
        <v>0</v>
      </c>
      <c r="D4017" s="1">
        <f>IFERROR(VLOOKUP(1166,'PEDIDO 50'!$C$2:$E$230,3,0),0)</f>
        <v>0</v>
      </c>
      <c r="E4017" s="1">
        <f>IFERROR(VLOOKUP(1167,'PEDIDO 50'!$C$2:$E$230,3,0),0)</f>
        <v>0</v>
      </c>
      <c r="F4017" s="1">
        <f>IFERROR(VLOOKUP(1168,'PEDIDO 50'!$C$2:$E$230,3,0),0)</f>
        <v>0</v>
      </c>
      <c r="G4017" s="18">
        <f t="shared" si="124"/>
        <v>0</v>
      </c>
    </row>
    <row r="4018" spans="1:7" ht="15.75" x14ac:dyDescent="0.25">
      <c r="A4018" s="15">
        <f>'PEDIDO 50'!$B$2</f>
        <v>0</v>
      </c>
      <c r="B4018" s="12" t="s">
        <v>446</v>
      </c>
      <c r="C4018" s="1">
        <f>IFERROR(VLOOKUP(1169,'PEDIDO 50'!$C$2:$E$230,3,0),0)</f>
        <v>0</v>
      </c>
      <c r="D4018" s="1">
        <f>IFERROR(VLOOKUP(1170,'PEDIDO 50'!$C$2:$E$230,3,0),0)</f>
        <v>0</v>
      </c>
      <c r="E4018" s="1">
        <f>IFERROR(VLOOKUP(1171,'PEDIDO 50'!$C$2:$E$230,3,0),0)</f>
        <v>0</v>
      </c>
      <c r="F4018" s="1">
        <f>IFERROR(VLOOKUP(1172,'PEDIDO 50'!$C$2:$E$230,3,0),0)</f>
        <v>0</v>
      </c>
      <c r="G4018" s="18">
        <f t="shared" si="124"/>
        <v>0</v>
      </c>
    </row>
    <row r="4019" spans="1:7" ht="15.75" x14ac:dyDescent="0.25">
      <c r="A4019" s="15">
        <f>'PEDIDO 50'!$B$2</f>
        <v>0</v>
      </c>
      <c r="B4019" s="12" t="s">
        <v>447</v>
      </c>
      <c r="C4019" s="1">
        <f>IFERROR(VLOOKUP(1173,'PEDIDO 50'!$C$2:$E$230,3,0),0)</f>
        <v>0</v>
      </c>
      <c r="D4019" s="1">
        <f>IFERROR(VLOOKUP(1174,'PEDIDO 50'!$C$2:$E$230,3,0),0)</f>
        <v>0</v>
      </c>
      <c r="E4019" s="1">
        <f>IFERROR(VLOOKUP(1175,'PEDIDO 50'!$C$2:$E$230,3,0),0)</f>
        <v>0</v>
      </c>
      <c r="F4019" s="1">
        <f>IFERROR(VLOOKUP(1176,'PEDIDO 50'!$C$2:$E$230,3,0),0)</f>
        <v>0</v>
      </c>
      <c r="G4019" s="18">
        <f t="shared" si="124"/>
        <v>0</v>
      </c>
    </row>
    <row r="4020" spans="1:7" ht="15.75" x14ac:dyDescent="0.25">
      <c r="A4020" s="15">
        <f>'PEDIDO 50'!$B$2</f>
        <v>0</v>
      </c>
      <c r="B4020" s="12" t="s">
        <v>448</v>
      </c>
      <c r="C4020" s="1">
        <f>IFERROR(VLOOKUP(1249,'PEDIDO 50'!$C$2:$E$230,3,0),0)</f>
        <v>0</v>
      </c>
      <c r="D4020" s="1">
        <f>IFERROR(VLOOKUP(1250,'PEDIDO 50'!$C$2:$E$230,3,0),0)</f>
        <v>0</v>
      </c>
      <c r="E4020" s="1">
        <f>IFERROR(VLOOKUP(1251,'PEDIDO 50'!$C$2:$E$230,3,0),0)</f>
        <v>0</v>
      </c>
      <c r="F4020" s="1">
        <f>IFERROR(VLOOKUP(1252,'PEDIDO 50'!$C$2:$E$230,3,0),0)</f>
        <v>0</v>
      </c>
      <c r="G4020" s="18">
        <f t="shared" si="124"/>
        <v>0</v>
      </c>
    </row>
    <row r="4021" spans="1:7" ht="15.75" x14ac:dyDescent="0.25">
      <c r="A4021" s="15">
        <f>'PEDIDO 50'!$B$2</f>
        <v>0</v>
      </c>
      <c r="B4021" s="12" t="s">
        <v>449</v>
      </c>
      <c r="C4021" s="1">
        <f>IFERROR(VLOOKUP(1177,'PEDIDO 50'!$C$2:$E$230,3,0),0)</f>
        <v>0</v>
      </c>
      <c r="D4021" s="1">
        <f>IFERROR(VLOOKUP(1178,'PEDIDO 50'!$C$2:$E$230,3,0),0)</f>
        <v>0</v>
      </c>
      <c r="E4021" s="1">
        <f>IFERROR(VLOOKUP(1179,'PEDIDO 50'!$C$2:$E$230,3,0),0)</f>
        <v>0</v>
      </c>
      <c r="F4021" s="1">
        <f>IFERROR(VLOOKUP(1180,'PEDIDO 50'!$C$2:$E$230,3,0),0)</f>
        <v>0</v>
      </c>
      <c r="G4021" s="18">
        <f t="shared" si="124"/>
        <v>0</v>
      </c>
    </row>
    <row r="4022" spans="1:7" ht="15.75" x14ac:dyDescent="0.25">
      <c r="A4022" s="15">
        <f>'PEDIDO 50'!$B$2</f>
        <v>0</v>
      </c>
      <c r="B4022" s="12" t="s">
        <v>450</v>
      </c>
      <c r="C4022" s="1">
        <f>IFERROR(VLOOKUP(1181,'PEDIDO 50'!$C$2:$E$230,3,0),0)</f>
        <v>0</v>
      </c>
      <c r="D4022" s="1">
        <f>IFERROR(VLOOKUP(1182,'PEDIDO 50'!$C$2:$E$230,3,0),0)</f>
        <v>0</v>
      </c>
      <c r="E4022" s="1">
        <f>IFERROR(VLOOKUP(1183,'PEDIDO 50'!$C$2:$E$230,3,0),0)</f>
        <v>0</v>
      </c>
      <c r="F4022" s="1">
        <f>IFERROR(VLOOKUP(1184,'PEDIDO 50'!$C$2:$E$230,3,0),0)</f>
        <v>0</v>
      </c>
      <c r="G4022" s="18">
        <f t="shared" si="124"/>
        <v>0</v>
      </c>
    </row>
    <row r="4023" spans="1:7" ht="15.75" x14ac:dyDescent="0.25">
      <c r="A4023" s="15">
        <f>'PEDIDO 50'!$B$2</f>
        <v>0</v>
      </c>
      <c r="B4023" s="12" t="s">
        <v>451</v>
      </c>
      <c r="C4023" s="1">
        <f>IFERROR(VLOOKUP(1185,'PEDIDO 50'!$C$2:$E$230,3,0),0)</f>
        <v>0</v>
      </c>
      <c r="D4023" s="1">
        <f>IFERROR(VLOOKUP(1186,'PEDIDO 50'!$C$2:$E$230,3,0),0)</f>
        <v>0</v>
      </c>
      <c r="E4023" s="1">
        <f>IFERROR(VLOOKUP(1187,'PEDIDO 50'!$C$2:$E$230,3,0),0)</f>
        <v>0</v>
      </c>
      <c r="F4023" s="1">
        <f>IFERROR(VLOOKUP(1188,'PEDIDO 50'!$C$2:$E$230,3,0),0)</f>
        <v>0</v>
      </c>
      <c r="G4023" s="18">
        <f t="shared" si="124"/>
        <v>0</v>
      </c>
    </row>
    <row r="4024" spans="1:7" ht="15.75" x14ac:dyDescent="0.25">
      <c r="A4024" s="15">
        <f>'PEDIDO 50'!$B$2</f>
        <v>0</v>
      </c>
      <c r="B4024" s="12" t="s">
        <v>452</v>
      </c>
      <c r="C4024" s="1">
        <f>IFERROR(VLOOKUP(1189,'PEDIDO 50'!$C$2:$E$230,3,0),0)</f>
        <v>0</v>
      </c>
      <c r="D4024" s="1">
        <f>IFERROR(VLOOKUP(1190,'PEDIDO 50'!$C$2:$E$230,3,0),0)</f>
        <v>0</v>
      </c>
      <c r="E4024" s="1">
        <f>IFERROR(VLOOKUP(1191,'PEDIDO 50'!$C$2:$E$230,3,0),0)</f>
        <v>0</v>
      </c>
      <c r="F4024" s="1">
        <f>IFERROR(VLOOKUP(1192,'PEDIDO 50'!$C$2:$E$230,3,0),0)</f>
        <v>0</v>
      </c>
      <c r="G4024" s="18">
        <f t="shared" si="124"/>
        <v>0</v>
      </c>
    </row>
    <row r="4025" spans="1:7" ht="15.75" x14ac:dyDescent="0.25">
      <c r="A4025" s="15">
        <f>'PEDIDO 50'!$B$2</f>
        <v>0</v>
      </c>
      <c r="B4025" s="12" t="s">
        <v>453</v>
      </c>
      <c r="C4025" s="1">
        <f>IFERROR(VLOOKUP(1193,'PEDIDO 50'!$C$2:$E$230,3,0),0)</f>
        <v>0</v>
      </c>
      <c r="D4025" s="1">
        <f>IFERROR(VLOOKUP(1194,'PEDIDO 50'!$C$2:$E$230,3,0),0)</f>
        <v>0</v>
      </c>
      <c r="E4025" s="1">
        <f>IFERROR(VLOOKUP(1195,'PEDIDO 50'!$C$2:$E$230,3,0),0)</f>
        <v>0</v>
      </c>
      <c r="F4025" s="1">
        <f>IFERROR(VLOOKUP(1196,'PEDIDO 50'!$C$2:$E$230,3,0),0)</f>
        <v>0</v>
      </c>
      <c r="G4025" s="18">
        <f t="shared" si="124"/>
        <v>0</v>
      </c>
    </row>
    <row r="4026" spans="1:7" ht="15.75" x14ac:dyDescent="0.25">
      <c r="A4026" s="15">
        <f>'PEDIDO 50'!$B$2</f>
        <v>0</v>
      </c>
      <c r="B4026" s="12" t="s">
        <v>454</v>
      </c>
      <c r="C4026" s="1">
        <f>IFERROR(VLOOKUP(1197,'PEDIDO 50'!$C$2:$E$230,3,0),0)</f>
        <v>0</v>
      </c>
      <c r="D4026" s="1">
        <f>IFERROR(VLOOKUP(1198,'PEDIDO 50'!$C$2:$E$230,3,0),0)</f>
        <v>0</v>
      </c>
      <c r="E4026" s="1">
        <f>IFERROR(VLOOKUP(1199,'PEDIDO 50'!$C$2:$E$230,3,0),0)</f>
        <v>0</v>
      </c>
      <c r="F4026" s="1">
        <f>IFERROR(VLOOKUP(1200,'PEDIDO 50'!$C$2:$E$230,3,0),0)</f>
        <v>0</v>
      </c>
      <c r="G4026" s="18">
        <f t="shared" si="124"/>
        <v>0</v>
      </c>
    </row>
    <row r="4027" spans="1:7" ht="15.75" x14ac:dyDescent="0.25">
      <c r="A4027" s="15">
        <f>'PEDIDO 50'!$B$2</f>
        <v>0</v>
      </c>
      <c r="B4027" s="12" t="s">
        <v>455</v>
      </c>
      <c r="C4027" s="1">
        <f>IFERROR(VLOOKUP(1201,'PEDIDO 50'!$C$2:$E$230,3,0),0)</f>
        <v>0</v>
      </c>
      <c r="D4027" s="1">
        <f>IFERROR(VLOOKUP(1202,'PEDIDO 50'!$C$2:$E$230,3,0),0)</f>
        <v>0</v>
      </c>
      <c r="E4027" s="1">
        <f>IFERROR(VLOOKUP(1203,'PEDIDO 50'!$C$2:$E$230,3,0),0)</f>
        <v>0</v>
      </c>
      <c r="F4027" s="1">
        <f>IFERROR(VLOOKUP(1204,'PEDIDO 50'!$C$2:$E$230,3,0),0)</f>
        <v>0</v>
      </c>
      <c r="G4027" s="18">
        <f t="shared" si="124"/>
        <v>0</v>
      </c>
    </row>
    <row r="4028" spans="1:7" ht="15.75" x14ac:dyDescent="0.25">
      <c r="A4028" s="15">
        <f>'PEDIDO 50'!$B$2</f>
        <v>0</v>
      </c>
      <c r="B4028" s="12" t="s">
        <v>456</v>
      </c>
      <c r="C4028" s="1">
        <f>IFERROR(VLOOKUP(1205,'PEDIDO 50'!$C$2:$E$230,3,0),0)</f>
        <v>0</v>
      </c>
      <c r="D4028" s="1">
        <f>IFERROR(VLOOKUP(1206,'PEDIDO 50'!$C$2:$E$230,3,0),0)</f>
        <v>0</v>
      </c>
      <c r="E4028" s="1">
        <f>IFERROR(VLOOKUP(1207,'PEDIDO 50'!$C$2:$E$230,3,0),0)</f>
        <v>0</v>
      </c>
      <c r="F4028" s="1">
        <f>IFERROR(VLOOKUP(1208,'PEDIDO 50'!$C$2:$E$230,3,0),0)</f>
        <v>0</v>
      </c>
      <c r="G4028" s="18">
        <f t="shared" si="124"/>
        <v>0</v>
      </c>
    </row>
    <row r="4029" spans="1:7" ht="15.75" x14ac:dyDescent="0.25">
      <c r="A4029" s="15">
        <f>'PEDIDO 50'!$B$2</f>
        <v>0</v>
      </c>
      <c r="B4029" s="12" t="s">
        <v>457</v>
      </c>
      <c r="C4029" s="1">
        <f>IFERROR(VLOOKUP(1213,'PEDIDO 50'!$C$2:$E$230,3,0),0)</f>
        <v>0</v>
      </c>
      <c r="D4029" s="1">
        <f>IFERROR(VLOOKUP(1214,'PEDIDO 50'!$C$2:$E$230,3,0),0)</f>
        <v>0</v>
      </c>
      <c r="E4029" s="1">
        <f>IFERROR(VLOOKUP(1215,'PEDIDO 50'!$C$2:$E$230,3,0),0)</f>
        <v>0</v>
      </c>
      <c r="F4029" s="10">
        <f>IFERROR(VLOOKUP(1216,'PEDIDO 50'!$C$2:$E$230,3,0),0)</f>
        <v>0</v>
      </c>
      <c r="G4029" s="18">
        <f t="shared" si="124"/>
        <v>0</v>
      </c>
    </row>
    <row r="4030" spans="1:7" ht="15.75" x14ac:dyDescent="0.25">
      <c r="A4030" s="15">
        <f>'PEDIDO 50'!$B$2</f>
        <v>0</v>
      </c>
      <c r="B4030" s="12" t="s">
        <v>458</v>
      </c>
      <c r="C4030" s="1">
        <f>IFERROR(VLOOKUP(1209,'PEDIDO 50'!$C$2:$E$230,3,0),0)</f>
        <v>0</v>
      </c>
      <c r="D4030" s="1">
        <f>IFERROR(VLOOKUP(1210,'PEDIDO 50'!$C$2:$E$230,3,0),0)</f>
        <v>0</v>
      </c>
      <c r="E4030" s="1">
        <f>IFERROR(VLOOKUP(1211,'PEDIDO 50'!$C$2:$E$230,3,0),0)</f>
        <v>0</v>
      </c>
      <c r="F4030" s="1">
        <f>IFERROR(VLOOKUP(1212,'PEDIDO 50'!$C$2:$E$230,3,0),0)</f>
        <v>0</v>
      </c>
      <c r="G4030" s="18">
        <f t="shared" si="124"/>
        <v>0</v>
      </c>
    </row>
    <row r="4031" spans="1:7" ht="15.75" x14ac:dyDescent="0.25">
      <c r="A4031" s="15">
        <f>'PEDIDO 50'!$B$2</f>
        <v>0</v>
      </c>
      <c r="B4031" s="12" t="s">
        <v>459</v>
      </c>
      <c r="C4031" s="1">
        <f>IFERROR(VLOOKUP(1217,'PEDIDO 50'!$C$2:$E$230,3,0),0)</f>
        <v>0</v>
      </c>
      <c r="D4031" s="1">
        <f>IFERROR(VLOOKUP(1218,'PEDIDO 50'!$C$2:$E$230,3,0),0)</f>
        <v>0</v>
      </c>
      <c r="E4031" s="1">
        <f>IFERROR(VLOOKUP(1219,'PEDIDO 50'!$C$2:$E$230,3,0),0)</f>
        <v>0</v>
      </c>
      <c r="F4031" s="1">
        <f>IFERROR(VLOOKUP(1220,'PEDIDO 50'!$C$2:$E$230,3,0),0)</f>
        <v>0</v>
      </c>
      <c r="G4031" s="18">
        <f t="shared" si="124"/>
        <v>0</v>
      </c>
    </row>
    <row r="4032" spans="1:7" ht="15.75" x14ac:dyDescent="0.25">
      <c r="A4032" s="15">
        <f>'PEDIDO 50'!$B$2</f>
        <v>0</v>
      </c>
      <c r="B4032" s="12" t="s">
        <v>461</v>
      </c>
      <c r="C4032" s="1">
        <f>IFERROR(VLOOKUP(1225,'PEDIDO 50'!$C$2:$E$230,3,0),0)</f>
        <v>0</v>
      </c>
      <c r="D4032" s="1">
        <f>IFERROR(VLOOKUP(1226,'PEDIDO 50'!$C$2:$E$230,3,0),0)</f>
        <v>0</v>
      </c>
      <c r="E4032" s="1">
        <f>IFERROR(VLOOKUP(1227,'PEDIDO 50'!$C$2:$E$230,3,0),0)</f>
        <v>0</v>
      </c>
      <c r="F4032" s="1">
        <f>IFERROR(VLOOKUP(1228,'PEDIDO 50'!$C$2:$E$230,3,0),0)</f>
        <v>0</v>
      </c>
      <c r="G4032" s="18">
        <f t="shared" si="124"/>
        <v>0</v>
      </c>
    </row>
    <row r="4033" spans="1:7" ht="15.75" x14ac:dyDescent="0.25">
      <c r="A4033" s="15">
        <f>'PEDIDO 50'!$B$2</f>
        <v>0</v>
      </c>
      <c r="B4033" s="12" t="s">
        <v>462</v>
      </c>
      <c r="C4033" s="1">
        <f>IFERROR(VLOOKUP(1221,'PEDIDO 50'!$C$2:$E$230,3,0),0)</f>
        <v>0</v>
      </c>
      <c r="D4033" s="1">
        <f>IFERROR(VLOOKUP(1222,'PEDIDO 50'!$C$2:$E$230,3,0),0)</f>
        <v>0</v>
      </c>
      <c r="E4033" s="1">
        <f>IFERROR(VLOOKUP(1223,'PEDIDO 50'!$C$2:$E$230,3,0),0)</f>
        <v>0</v>
      </c>
      <c r="F4033" s="1">
        <f>IFERROR(VLOOKUP(1224,'PEDIDO 50'!$C$2:$E$230,3,0),0)</f>
        <v>0</v>
      </c>
      <c r="G4033" s="18">
        <f t="shared" si="124"/>
        <v>0</v>
      </c>
    </row>
    <row r="4034" spans="1:7" ht="15.75" x14ac:dyDescent="0.25">
      <c r="A4034" s="15">
        <f>'PEDIDO 50'!$B$2</f>
        <v>0</v>
      </c>
      <c r="B4034" s="12" t="s">
        <v>460</v>
      </c>
      <c r="C4034" s="1">
        <f>IFERROR(VLOOKUP(1229,'PEDIDO 50'!$C$2:$E$230,3,0),0)</f>
        <v>0</v>
      </c>
      <c r="D4034" s="1">
        <f>IFERROR(VLOOKUP(1230,'PEDIDO 50'!$C$2:$E$230,3,0),0)</f>
        <v>0</v>
      </c>
      <c r="E4034" s="1">
        <f>IFERROR(VLOOKUP(1231,'PEDIDO 50'!$C$2:$E$230,3,0),0)</f>
        <v>0</v>
      </c>
      <c r="F4034" s="1">
        <f>IFERROR(VLOOKUP(1232,'PEDIDO 50'!$C$2:$E$230,3,0),0)</f>
        <v>0</v>
      </c>
      <c r="G4034" s="18">
        <f t="shared" si="124"/>
        <v>0</v>
      </c>
    </row>
    <row r="4035" spans="1:7" ht="15.75" x14ac:dyDescent="0.25">
      <c r="A4035" s="15">
        <f>'PEDIDO 50'!$B$2</f>
        <v>0</v>
      </c>
      <c r="B4035" s="12" t="s">
        <v>463</v>
      </c>
      <c r="C4035" s="1">
        <f>IFERROR(VLOOKUP(1233,'PEDIDO 50'!$C$2:$E$230,3,0),0)</f>
        <v>0</v>
      </c>
      <c r="D4035" s="1">
        <f>IFERROR(VLOOKUP(1234,'PEDIDO 50'!$C$2:$E$230,3,0),0)</f>
        <v>0</v>
      </c>
      <c r="E4035" s="1">
        <f>IFERROR(VLOOKUP(1235,'PEDIDO 50'!$C$2:$E$230,3,0),0)</f>
        <v>0</v>
      </c>
      <c r="F4035" s="1">
        <f>IFERROR(VLOOKUP(1236,'PEDIDO 50'!$C$2:$E$230,3,0),0)</f>
        <v>0</v>
      </c>
      <c r="G4035" s="18">
        <f t="shared" si="124"/>
        <v>0</v>
      </c>
    </row>
    <row r="4036" spans="1:7" ht="15.75" x14ac:dyDescent="0.25">
      <c r="A4036" s="15">
        <f>'PEDIDO 50'!$B$2</f>
        <v>0</v>
      </c>
      <c r="B4036" s="12" t="s">
        <v>464</v>
      </c>
      <c r="C4036" s="1">
        <f>IFERROR(VLOOKUP(1237,'PEDIDO 50'!$C$2:$E$230,3,0),0)</f>
        <v>0</v>
      </c>
      <c r="D4036" s="1">
        <f>IFERROR(VLOOKUP(1238,'PEDIDO 50'!$C$2:$E$230,3,0),0)</f>
        <v>0</v>
      </c>
      <c r="E4036" s="1">
        <f>IFERROR(VLOOKUP(1239,'PEDIDO 50'!$C$2:$E$230,3,0),0)</f>
        <v>0</v>
      </c>
      <c r="F4036" s="1">
        <f>IFERROR(VLOOKUP(1240,'PEDIDO 50'!$C$2:$E$230,3,0),0)</f>
        <v>0</v>
      </c>
      <c r="G4036" s="18">
        <f t="shared" ref="G4036:G4048" si="125">SUM(C4036+D4036+E4036+F4036)</f>
        <v>0</v>
      </c>
    </row>
    <row r="4037" spans="1:7" ht="15.75" x14ac:dyDescent="0.25">
      <c r="A4037" s="15">
        <f>'PEDIDO 50'!$B$2</f>
        <v>0</v>
      </c>
      <c r="B4037" s="12" t="s">
        <v>465</v>
      </c>
      <c r="C4037" s="1">
        <f>IFERROR(VLOOKUP(1241,'PEDIDO 50'!$C$2:$E$230,3,0),0)</f>
        <v>0</v>
      </c>
      <c r="D4037" s="1">
        <f>IFERROR(VLOOKUP(1242,'PEDIDO 50'!$C$2:$E$230,3,0),0)</f>
        <v>0</v>
      </c>
      <c r="E4037" s="1">
        <f>IFERROR(VLOOKUP(1243,'PEDIDO 50'!$C$2:$E$230,3,0),0)</f>
        <v>0</v>
      </c>
      <c r="F4037" s="1">
        <f>IFERROR(VLOOKUP(1244,'PEDIDO 50'!$C$2:$E$230,3,0),0)</f>
        <v>0</v>
      </c>
      <c r="G4037" s="18">
        <f t="shared" si="125"/>
        <v>0</v>
      </c>
    </row>
    <row r="4038" spans="1:7" ht="15.75" x14ac:dyDescent="0.25">
      <c r="A4038" s="15">
        <f>'PEDIDO 50'!$B$2</f>
        <v>0</v>
      </c>
      <c r="B4038" s="12" t="s">
        <v>466</v>
      </c>
      <c r="C4038" s="1">
        <f>IFERROR(VLOOKUP(1245,'PEDIDO 50'!$C$2:$E$230,3,0),0)</f>
        <v>0</v>
      </c>
      <c r="D4038" s="1">
        <f>IFERROR(VLOOKUP(1246,'PEDIDO 50'!$C$2:$E$230,3,0),0)</f>
        <v>0</v>
      </c>
      <c r="E4038" s="1">
        <f>IFERROR(VLOOKUP(1247,'PEDIDO 50'!$C$2:$E$230,3,0),0)</f>
        <v>0</v>
      </c>
      <c r="F4038" s="1">
        <f>IFERROR(VLOOKUP(1248,'PEDIDO 50'!$C$2:$E$230,3,0),0)</f>
        <v>0</v>
      </c>
      <c r="G4038" s="18">
        <f t="shared" si="125"/>
        <v>0</v>
      </c>
    </row>
    <row r="4039" spans="1:7" ht="15.75" x14ac:dyDescent="0.25">
      <c r="A4039" s="15">
        <f>'PEDIDO 50'!$B$2</f>
        <v>0</v>
      </c>
      <c r="B4039" s="12" t="s">
        <v>467</v>
      </c>
      <c r="C4039" s="1">
        <f>IFERROR(VLOOKUP(25714,'PEDIDO 50'!$C$2:$E$230,3,0),0)</f>
        <v>0</v>
      </c>
      <c r="D4039" s="1"/>
      <c r="E4039" s="1"/>
      <c r="F4039" s="1"/>
      <c r="G4039" s="18">
        <f t="shared" si="125"/>
        <v>0</v>
      </c>
    </row>
    <row r="4040" spans="1:7" ht="15.75" x14ac:dyDescent="0.25">
      <c r="A4040" s="15">
        <f>'PEDIDO 50'!$B$2</f>
        <v>0</v>
      </c>
      <c r="B4040" s="12" t="s">
        <v>468</v>
      </c>
      <c r="C4040" s="1">
        <f>IFERROR(VLOOKUP(25712,'PEDIDO 50'!$C$2:$E$230,3,0),0)</f>
        <v>0</v>
      </c>
      <c r="D4040" s="1"/>
      <c r="E4040" s="1"/>
      <c r="F4040" s="1"/>
      <c r="G4040" s="18">
        <f t="shared" si="125"/>
        <v>0</v>
      </c>
    </row>
    <row r="4041" spans="1:7" ht="15.75" x14ac:dyDescent="0.25">
      <c r="A4041" s="15">
        <f>'PEDIDO 50'!$B$2</f>
        <v>0</v>
      </c>
      <c r="B4041" s="12" t="s">
        <v>469</v>
      </c>
      <c r="C4041" s="1">
        <f>IFERROR(VLOOKUP(25713,'PEDIDO 50'!$C$2:$E$230,3,0),0)</f>
        <v>0</v>
      </c>
      <c r="D4041" s="1"/>
      <c r="E4041" s="1"/>
      <c r="F4041" s="1"/>
      <c r="G4041" s="18">
        <f t="shared" si="125"/>
        <v>0</v>
      </c>
    </row>
    <row r="4042" spans="1:7" ht="15.75" x14ac:dyDescent="0.25">
      <c r="A4042" s="15">
        <f>'PEDIDO 50'!$B$2</f>
        <v>0</v>
      </c>
      <c r="B4042" s="12" t="s">
        <v>470</v>
      </c>
      <c r="C4042" s="1">
        <f>IFERROR(VLOOKUP(1260,'PEDIDO 50'!$C$2:$E$230,3,0),0)</f>
        <v>0</v>
      </c>
      <c r="D4042" s="1"/>
      <c r="E4042" s="1"/>
      <c r="F4042" s="1"/>
      <c r="G4042" s="18">
        <f t="shared" si="125"/>
        <v>0</v>
      </c>
    </row>
    <row r="4043" spans="1:7" ht="15.75" x14ac:dyDescent="0.25">
      <c r="A4043" s="15">
        <f>'PEDIDO 50'!$B$2</f>
        <v>0</v>
      </c>
      <c r="B4043" s="12" t="s">
        <v>471</v>
      </c>
      <c r="C4043" s="1">
        <f>IFERROR(VLOOKUP(1261,'PEDIDO 50'!$C$2:$E$230,3,0),0)</f>
        <v>0</v>
      </c>
      <c r="D4043" s="1"/>
      <c r="E4043" s="1"/>
      <c r="F4043" s="1"/>
      <c r="G4043" s="18">
        <f t="shared" si="125"/>
        <v>0</v>
      </c>
    </row>
    <row r="4044" spans="1:7" ht="15.75" x14ac:dyDescent="0.25">
      <c r="A4044" s="15">
        <f>'PEDIDO 50'!$B$2</f>
        <v>0</v>
      </c>
      <c r="B4044" s="12" t="s">
        <v>472</v>
      </c>
      <c r="C4044" s="1">
        <f>IFERROR(VLOOKUP(1262,'PEDIDO 50'!$C$2:$E$230,3,0),0)</f>
        <v>0</v>
      </c>
      <c r="D4044" s="1"/>
      <c r="E4044" s="1"/>
      <c r="F4044" s="1"/>
      <c r="G4044" s="18">
        <f t="shared" si="125"/>
        <v>0</v>
      </c>
    </row>
    <row r="4045" spans="1:7" ht="15.75" x14ac:dyDescent="0.25">
      <c r="A4045" s="15">
        <f>'PEDIDO 50'!$B$2</f>
        <v>0</v>
      </c>
      <c r="B4045" s="12" t="s">
        <v>473</v>
      </c>
      <c r="C4045" s="1">
        <f>IFERROR(VLOOKUP(1263,'PEDIDO 50'!$C$2:$E$230,3,0),0)</f>
        <v>0</v>
      </c>
      <c r="D4045" s="1"/>
      <c r="E4045" s="1"/>
      <c r="F4045" s="1"/>
      <c r="G4045" s="18">
        <f t="shared" si="125"/>
        <v>0</v>
      </c>
    </row>
    <row r="4046" spans="1:7" ht="15.75" x14ac:dyDescent="0.25">
      <c r="A4046" s="15">
        <f>'PEDIDO 50'!$B$2</f>
        <v>0</v>
      </c>
      <c r="B4046" s="12" t="s">
        <v>474</v>
      </c>
      <c r="C4046" s="1">
        <f>IFERROR(VLOOKUP(1264,'PEDIDO 50'!$C$2:$E$230,3,0),0)</f>
        <v>0</v>
      </c>
      <c r="D4046" s="1"/>
      <c r="E4046" s="1"/>
      <c r="F4046" s="1"/>
      <c r="G4046" s="18">
        <f t="shared" si="125"/>
        <v>0</v>
      </c>
    </row>
    <row r="4047" spans="1:7" ht="15.75" x14ac:dyDescent="0.25">
      <c r="A4047" s="15">
        <f>'PEDIDO 50'!$B$2</f>
        <v>0</v>
      </c>
      <c r="B4047" s="12" t="s">
        <v>475</v>
      </c>
      <c r="C4047" s="1">
        <f>IFERROR(VLOOKUP(1265,'PEDIDO 50'!$C$2:$E$230,3,0),0)</f>
        <v>0</v>
      </c>
      <c r="D4047" s="1"/>
      <c r="E4047" s="1"/>
      <c r="F4047" s="1"/>
      <c r="G4047" s="18">
        <f t="shared" si="125"/>
        <v>0</v>
      </c>
    </row>
    <row r="4048" spans="1:7" ht="15.75" x14ac:dyDescent="0.25">
      <c r="A4048" s="15">
        <f>'PEDIDO 50'!$B$2</f>
        <v>0</v>
      </c>
      <c r="B4048" s="12" t="s">
        <v>476</v>
      </c>
      <c r="C4048" s="1">
        <f>IFERROR(VLOOKUP(1266,'PEDIDO 50'!$C$2:$E$230,3,0),0)</f>
        <v>0</v>
      </c>
      <c r="D4048" s="1"/>
      <c r="E4048" s="1"/>
      <c r="F4048" s="1"/>
      <c r="G4048" s="18">
        <f t="shared" si="125"/>
        <v>0</v>
      </c>
    </row>
    <row r="4049" spans="1:7" ht="15.75" x14ac:dyDescent="0.25">
      <c r="A4049" s="15">
        <f>'PEDIDO 50'!$B$2</f>
        <v>0</v>
      </c>
      <c r="B4049" s="12" t="s">
        <v>477</v>
      </c>
      <c r="C4049" s="1">
        <f>IFERROR(VLOOKUP(1268,'PEDIDO 50'!$C$2:$E$230,3,0),0)</f>
        <v>0</v>
      </c>
      <c r="D4049" s="1">
        <f>IFERROR(VLOOKUP(1269,'PEDIDO 50'!$C$2:$E$230,3,0),0)</f>
        <v>0</v>
      </c>
      <c r="E4049" s="1">
        <f>IFERROR(VLOOKUP(1270,'PEDIDO 50'!$C$2:$E$230,3,0),0)</f>
        <v>0</v>
      </c>
      <c r="F4049" s="1">
        <f>IFERROR(VLOOKUP(1271,'PEDIDO 50'!$C$2:$E$230,3,0),0)</f>
        <v>0</v>
      </c>
      <c r="G4049" s="18">
        <f t="shared" ref="G4049" si="126">SUM(C4049+D4049+E4049+F4049)</f>
        <v>0</v>
      </c>
    </row>
    <row r="4052" spans="1:7" ht="15.75" x14ac:dyDescent="0.25">
      <c r="A4052" s="15">
        <f>'PEDIDO 51'!$B$2</f>
        <v>0</v>
      </c>
      <c r="B4052" s="12" t="s">
        <v>399</v>
      </c>
      <c r="C4052" s="1">
        <f>IFERROR(VLOOKUP(1,'PEDIDO 51'!$C$2:$E$230,3,0),0)</f>
        <v>0</v>
      </c>
      <c r="D4052" s="1">
        <f>IFERROR(VLOOKUP(2,'PEDIDO 51'!$C$2:$E$230,3,0),0)</f>
        <v>0</v>
      </c>
      <c r="E4052" s="1">
        <f>IFERROR(VLOOKUP(3,'PEDIDO 51'!$C$2:$E$230,3,0),0)</f>
        <v>0</v>
      </c>
      <c r="F4052" s="1">
        <f>IFERROR(VLOOKUP(282,'PEDIDO 51'!$C$2:$E$230,3,0),0)</f>
        <v>0</v>
      </c>
      <c r="G4052" s="18">
        <f>SUM(C4052+D4052+E4052+F4052)</f>
        <v>0</v>
      </c>
    </row>
    <row r="4053" spans="1:7" ht="15.75" x14ac:dyDescent="0.25">
      <c r="A4053" s="15">
        <f>'PEDIDO 51'!$B$2</f>
        <v>0</v>
      </c>
      <c r="B4053" s="12" t="s">
        <v>400</v>
      </c>
      <c r="C4053" s="1">
        <f>IFERROR(VLOOKUP(5,'PEDIDO 51'!$C$2:$E$230,3,0),0)</f>
        <v>0</v>
      </c>
      <c r="D4053" s="1">
        <f>IFERROR(VLOOKUP(6,'PEDIDO 51'!$C$2:$E$230,3,0),0)</f>
        <v>0</v>
      </c>
      <c r="E4053" s="1">
        <f>IFERROR(VLOOKUP(7,'PEDIDO 51'!$C$2:$E$230,3,0),0)</f>
        <v>0</v>
      </c>
      <c r="F4053" s="1">
        <f>IFERROR(VLOOKUP(258,'PEDIDO 51'!$C$2:$E$230,3,0),0)</f>
        <v>0</v>
      </c>
      <c r="G4053" s="18">
        <f t="shared" ref="G4053:G4116" si="127">SUM(C4053+D4053+E4053+F4053)</f>
        <v>0</v>
      </c>
    </row>
    <row r="4054" spans="1:7" ht="15.75" x14ac:dyDescent="0.25">
      <c r="A4054" s="15">
        <f>'PEDIDO 51'!$B$2</f>
        <v>0</v>
      </c>
      <c r="B4054" s="12" t="s">
        <v>401</v>
      </c>
      <c r="C4054" s="1">
        <f>IFERROR(VLOOKUP(13,'PEDIDO 51'!$C$2:$E$230,3,0),0)</f>
        <v>0</v>
      </c>
      <c r="D4054" s="1">
        <f>IFERROR(VLOOKUP(14,'PEDIDO 51'!$C$2:$E$230,3,0),0)</f>
        <v>0</v>
      </c>
      <c r="E4054" s="1">
        <f>IFERROR(VLOOKUP(15,'PEDIDO 51'!$C$2:$E$230,3,0),0)</f>
        <v>0</v>
      </c>
      <c r="F4054" s="1">
        <f>IFERROR(VLOOKUP(289,'PEDIDO 51'!$C$2:$E$230,3,0),0)</f>
        <v>0</v>
      </c>
      <c r="G4054" s="18">
        <f t="shared" si="127"/>
        <v>0</v>
      </c>
    </row>
    <row r="4055" spans="1:7" ht="15.75" x14ac:dyDescent="0.25">
      <c r="A4055" s="15">
        <f>'PEDIDO 51'!$B$2</f>
        <v>0</v>
      </c>
      <c r="B4055" s="12" t="s">
        <v>402</v>
      </c>
      <c r="C4055" s="1">
        <f>IFERROR(VLOOKUP(267,'PEDIDO 51'!$C$2:$E$230,3,0),0)</f>
        <v>0</v>
      </c>
      <c r="D4055" s="1">
        <f>IFERROR(VLOOKUP(268,'PEDIDO 51'!$C$2:$E$230,3,0),0)</f>
        <v>0</v>
      </c>
      <c r="E4055" s="1">
        <f>IFERROR(VLOOKUP(270,'PEDIDO 51'!$C$2:$E$230,3,0),0)</f>
        <v>0</v>
      </c>
      <c r="F4055" s="1">
        <f>IFERROR(VLOOKUP(269,'PEDIDO 51'!$C$2:$E$230,3,0),0)</f>
        <v>0</v>
      </c>
      <c r="G4055" s="18">
        <f t="shared" si="127"/>
        <v>0</v>
      </c>
    </row>
    <row r="4056" spans="1:7" ht="15.75" x14ac:dyDescent="0.25">
      <c r="A4056" s="15">
        <f>'PEDIDO 51'!$B$2</f>
        <v>0</v>
      </c>
      <c r="B4056" s="12" t="s">
        <v>403</v>
      </c>
      <c r="C4056" s="1">
        <f>IFERROR(VLOOKUP(17,'PEDIDO 51'!$C$2:$E$230,3,0),0)</f>
        <v>0</v>
      </c>
      <c r="D4056" s="1">
        <f>IFERROR(VLOOKUP(18,'PEDIDO 51'!$C$2:$E$230,3,0),0)</f>
        <v>0</v>
      </c>
      <c r="E4056" s="1">
        <f>IFERROR(VLOOKUP(19,'PEDIDO 51'!$C$2:$E$230,3,0),0)</f>
        <v>0</v>
      </c>
      <c r="F4056" s="1">
        <f>IFERROR(VLOOKUP(290,'PEDIDO 51'!$C$2:$E$230,3,0),0)</f>
        <v>0</v>
      </c>
      <c r="G4056" s="18">
        <f t="shared" si="127"/>
        <v>0</v>
      </c>
    </row>
    <row r="4057" spans="1:7" ht="15.75" x14ac:dyDescent="0.25">
      <c r="A4057" s="15">
        <f>'PEDIDO 51'!$B$2</f>
        <v>0</v>
      </c>
      <c r="B4057" s="12" t="s">
        <v>404</v>
      </c>
      <c r="C4057" s="1">
        <f>IFERROR(VLOOKUP(23,'PEDIDO 51'!$C$2:$E$230,3,0),0)</f>
        <v>0</v>
      </c>
      <c r="D4057" s="1">
        <f>IFERROR(VLOOKUP(24,'PEDIDO 51'!$C$2:$E$230,3,0),0)</f>
        <v>0</v>
      </c>
      <c r="E4057" s="1">
        <f>IFERROR(VLOOKUP(25,'PEDIDO 51'!$C$2:$E$230,3,0),0)</f>
        <v>0</v>
      </c>
      <c r="F4057" s="1">
        <f>IFERROR(VLOOKUP(291,'PEDIDO 51'!$C$2:$E$230,3,0),0)</f>
        <v>0</v>
      </c>
      <c r="G4057" s="18">
        <f t="shared" si="127"/>
        <v>0</v>
      </c>
    </row>
    <row r="4058" spans="1:7" ht="15.75" x14ac:dyDescent="0.25">
      <c r="A4058" s="15">
        <f>'PEDIDO 51'!$B$2</f>
        <v>0</v>
      </c>
      <c r="B4058" s="12" t="s">
        <v>405</v>
      </c>
      <c r="C4058" s="1">
        <f>IFERROR(VLOOKUP(27,'PEDIDO 51'!$C$2:$E$230,3,0),0)</f>
        <v>0</v>
      </c>
      <c r="D4058" s="1">
        <f>IFERROR(VLOOKUP(28,'PEDIDO 51'!$C$2:$E$230,3,0),0)</f>
        <v>0</v>
      </c>
      <c r="E4058" s="1">
        <f>IFERROR(VLOOKUP(29,'PEDIDO 51'!$C$2:$E$230,3,0),0)</f>
        <v>0</v>
      </c>
      <c r="F4058" s="1">
        <f>IFERROR(VLOOKUP(292,'PEDIDO 51'!$C$2:$E$230,3,0),0)</f>
        <v>0</v>
      </c>
      <c r="G4058" s="18">
        <f t="shared" si="127"/>
        <v>0</v>
      </c>
    </row>
    <row r="4059" spans="1:7" ht="15.75" x14ac:dyDescent="0.25">
      <c r="A4059" s="15">
        <f>'PEDIDO 51'!$B$2</f>
        <v>0</v>
      </c>
      <c r="B4059" s="12" t="s">
        <v>406</v>
      </c>
      <c r="C4059" s="1">
        <f>IFERROR(VLOOKUP(227,'PEDIDO 51'!$C$2:$E$230,3,0),0)</f>
        <v>0</v>
      </c>
      <c r="D4059" s="1">
        <f>IFERROR(VLOOKUP(228,'PEDIDO 51'!$C$2:$E$230,3,0),0)</f>
        <v>0</v>
      </c>
      <c r="E4059" s="1">
        <f>IFERROR(VLOOKUP(229,'PEDIDO 51'!$C$2:$E$230,3,0),0)</f>
        <v>0</v>
      </c>
      <c r="F4059" s="1">
        <f>IFERROR(VLOOKUP(230,'PEDIDO 51'!$C$2:$E$230,3,0),0)</f>
        <v>0</v>
      </c>
      <c r="G4059" s="18">
        <f t="shared" si="127"/>
        <v>0</v>
      </c>
    </row>
    <row r="4060" spans="1:7" ht="15.75" x14ac:dyDescent="0.25">
      <c r="A4060" s="15">
        <f>'PEDIDO 51'!$B$2</f>
        <v>0</v>
      </c>
      <c r="B4060" s="12" t="s">
        <v>407</v>
      </c>
      <c r="C4060" s="1">
        <f>IFERROR(VLOOKUP(231,'PEDIDO 51'!$C$2:$E$230,3,0),0)</f>
        <v>0</v>
      </c>
      <c r="D4060" s="1">
        <f>IFERROR(VLOOKUP(232,'PEDIDO 51'!$C$2:$E$230,3,0),0)</f>
        <v>0</v>
      </c>
      <c r="E4060" s="1">
        <f>IFERROR(VLOOKUP(234,'PEDIDO 51'!$C$2:$E$230,3,0),0)</f>
        <v>0</v>
      </c>
      <c r="F4060" s="1">
        <f>IFERROR(VLOOKUP(233,'PEDIDO 51'!$C$2:$E$230,3,0),0)</f>
        <v>0</v>
      </c>
      <c r="G4060" s="18">
        <f t="shared" si="127"/>
        <v>0</v>
      </c>
    </row>
    <row r="4061" spans="1:7" ht="15.75" x14ac:dyDescent="0.25">
      <c r="A4061" s="15">
        <f>'PEDIDO 51'!$B$2</f>
        <v>0</v>
      </c>
      <c r="B4061" s="12" t="s">
        <v>408</v>
      </c>
      <c r="C4061" s="1">
        <f>IFERROR(VLOOKUP(237,'PEDIDO 51'!$C$2:$E$230,3,0),0)</f>
        <v>0</v>
      </c>
      <c r="D4061" s="1">
        <f>IFERROR(VLOOKUP(238,'PEDIDO 51'!$C$2:$E$230,3,0),0)</f>
        <v>0</v>
      </c>
      <c r="E4061" s="1">
        <f>IFERROR(VLOOKUP(240,'PEDIDO 51'!$C$2:$E$230,3,0),0)</f>
        <v>0</v>
      </c>
      <c r="F4061" s="1">
        <f>IFERROR(VLOOKUP(239,'PEDIDO 51'!$C$2:$E$230,3,0),0)</f>
        <v>0</v>
      </c>
      <c r="G4061" s="18">
        <f t="shared" si="127"/>
        <v>0</v>
      </c>
    </row>
    <row r="4062" spans="1:7" ht="15.75" x14ac:dyDescent="0.25">
      <c r="A4062" s="15">
        <f>'PEDIDO 51'!$B$2</f>
        <v>0</v>
      </c>
      <c r="B4062" s="12" t="s">
        <v>409</v>
      </c>
      <c r="C4062" s="1">
        <f>IFERROR(VLOOKUP(25707,'PEDIDO 51'!$C$2:$E$230,3,0),0)</f>
        <v>0</v>
      </c>
      <c r="D4062" s="1">
        <f>IFERROR(VLOOKUP(25708,'PEDIDO 51'!$C$2:$E$230,3,0),0)</f>
        <v>0</v>
      </c>
      <c r="E4062" s="1">
        <f>IFERROR(VLOOKUP(25710,'PEDIDO 51'!$C$2:$E$230,3,0),0)</f>
        <v>0</v>
      </c>
      <c r="F4062" s="1">
        <f>IFERROR(VLOOKUP(25709,'PEDIDO 51'!$C$2:$E$230,3,0),0)</f>
        <v>0</v>
      </c>
      <c r="G4062" s="18">
        <f t="shared" si="127"/>
        <v>0</v>
      </c>
    </row>
    <row r="4063" spans="1:7" ht="15.75" x14ac:dyDescent="0.25">
      <c r="A4063" s="15">
        <f>'PEDIDO 51'!$B$2</f>
        <v>0</v>
      </c>
      <c r="B4063" s="12" t="s">
        <v>410</v>
      </c>
      <c r="C4063" s="1">
        <f>IFERROR(VLOOKUP(25711,'PEDIDO 51'!$C$2:$E$230,3,0),0)</f>
        <v>0</v>
      </c>
      <c r="D4063" s="1"/>
      <c r="E4063" s="1"/>
      <c r="F4063" s="1"/>
      <c r="G4063" s="18">
        <f t="shared" si="127"/>
        <v>0</v>
      </c>
    </row>
    <row r="4064" spans="1:7" ht="15.75" x14ac:dyDescent="0.25">
      <c r="A4064" s="15">
        <f>'PEDIDO 51'!$B$2</f>
        <v>0</v>
      </c>
      <c r="B4064" s="12" t="s">
        <v>411</v>
      </c>
      <c r="C4064" s="1">
        <f>IFERROR(VLOOKUP(35,'PEDIDO 51'!$C$2:$E$230,3,0),0)</f>
        <v>0</v>
      </c>
      <c r="D4064" s="1">
        <f>IFERROR(VLOOKUP(36,'PEDIDO 51'!$C$2:$E$230,3,0),0)</f>
        <v>0</v>
      </c>
      <c r="E4064" s="1">
        <f>IFERROR(VLOOKUP(37,'PEDIDO 51'!$C$2:$E$230,3,0),0)</f>
        <v>0</v>
      </c>
      <c r="F4064" s="1">
        <f>IFERROR(VLOOKUP(294,'PEDIDO 51'!$C$2:$E$230,3,0),0)</f>
        <v>0</v>
      </c>
      <c r="G4064" s="18">
        <f t="shared" si="127"/>
        <v>0</v>
      </c>
    </row>
    <row r="4065" spans="1:7" ht="15.75" x14ac:dyDescent="0.25">
      <c r="A4065" s="15">
        <f>'PEDIDO 51'!$B$2</f>
        <v>0</v>
      </c>
      <c r="B4065" s="12" t="s">
        <v>412</v>
      </c>
      <c r="C4065" s="1">
        <f>IFERROR(VLOOKUP(39,'PEDIDO 51'!$C$2:$E$230,3,0),0)</f>
        <v>0</v>
      </c>
      <c r="D4065" s="1">
        <f>IFERROR(VLOOKUP(40,'PEDIDO 51'!$C$2:$E$230,3,0),0)</f>
        <v>0</v>
      </c>
      <c r="E4065" s="1">
        <f>IFERROR(VLOOKUP(42,'PEDIDO 51'!$C$2:$E$230,3,0),0)</f>
        <v>0</v>
      </c>
      <c r="F4065" s="1">
        <f>IFERROR(VLOOKUP(295,'PEDIDO 51'!$C$2:$E$230,3,0),0)</f>
        <v>0</v>
      </c>
      <c r="G4065" s="18">
        <f t="shared" si="127"/>
        <v>0</v>
      </c>
    </row>
    <row r="4066" spans="1:7" ht="15.75" x14ac:dyDescent="0.25">
      <c r="A4066" s="15">
        <f>'PEDIDO 51'!$B$2</f>
        <v>0</v>
      </c>
      <c r="B4066" s="12" t="s">
        <v>413</v>
      </c>
      <c r="C4066" s="1">
        <f>IFERROR(VLOOKUP(44,'PEDIDO 51'!$C$2:$E$230,3,0),0)</f>
        <v>0</v>
      </c>
      <c r="D4066" s="1">
        <f>IFERROR(VLOOKUP(45,'PEDIDO 51'!$C$2:$E$230,3,0),0)</f>
        <v>0</v>
      </c>
      <c r="E4066" s="1">
        <f>IFERROR(VLOOKUP(46,'PEDIDO 51'!$C$2:$E$230,3,0),0)</f>
        <v>0</v>
      </c>
      <c r="F4066" s="1">
        <f>IFERROR(VLOOKUP(283,'PEDIDO 51'!$C$2:$E$230,3,0),0)</f>
        <v>0</v>
      </c>
      <c r="G4066" s="18">
        <f t="shared" si="127"/>
        <v>0</v>
      </c>
    </row>
    <row r="4067" spans="1:7" ht="15.75" x14ac:dyDescent="0.25">
      <c r="A4067" s="15">
        <f>'PEDIDO 51'!$B$2</f>
        <v>0</v>
      </c>
      <c r="B4067" s="12" t="s">
        <v>414</v>
      </c>
      <c r="C4067" s="1">
        <f>IFERROR(VLOOKUP(48,'PEDIDO 51'!$C$2:$E$230,3,0),0)</f>
        <v>0</v>
      </c>
      <c r="D4067" s="1">
        <f>IFERROR(VLOOKUP(49,'PEDIDO 51'!$C$2:$E$230,3,0),0)</f>
        <v>0</v>
      </c>
      <c r="E4067" s="1">
        <f>IFERROR(VLOOKUP(50,'PEDIDO 51'!$C$2:$E$230,3,0),0)</f>
        <v>0</v>
      </c>
      <c r="F4067" s="1">
        <f>IFERROR(VLOOKUP(298,'PEDIDO 51'!$C$2:$E$230,3,0),0)</f>
        <v>0</v>
      </c>
      <c r="G4067" s="18">
        <f t="shared" si="127"/>
        <v>0</v>
      </c>
    </row>
    <row r="4068" spans="1:7" ht="15.75" x14ac:dyDescent="0.25">
      <c r="A4068" s="15">
        <f>'PEDIDO 51'!$B$2</f>
        <v>0</v>
      </c>
      <c r="B4068" s="12" t="s">
        <v>415</v>
      </c>
      <c r="C4068" s="1">
        <f>IFERROR(VLOOKUP(52,'PEDIDO 51'!$C$2:$E$230,3,0),0)</f>
        <v>0</v>
      </c>
      <c r="D4068" s="1">
        <f>IFERROR(VLOOKUP(53,'PEDIDO 51'!$C$2:$E$230,3,0),0)</f>
        <v>0</v>
      </c>
      <c r="E4068" s="1">
        <f>IFERROR(VLOOKUP(54,'PEDIDO 51'!$C$2:$E$230,3,0),0)</f>
        <v>0</v>
      </c>
      <c r="F4068" s="1">
        <f>IFERROR(VLOOKUP(299,'PEDIDO 51'!$C$2:$E$230,3,0),0)</f>
        <v>0</v>
      </c>
      <c r="G4068" s="18">
        <f t="shared" si="127"/>
        <v>0</v>
      </c>
    </row>
    <row r="4069" spans="1:7" ht="15.75" x14ac:dyDescent="0.25">
      <c r="A4069" s="15">
        <f>'PEDIDO 51'!$B$2</f>
        <v>0</v>
      </c>
      <c r="B4069" s="12" t="s">
        <v>416</v>
      </c>
      <c r="C4069" s="1">
        <f>IFERROR(VLOOKUP(56,'PEDIDO 51'!$C$2:$E$230,3,0),0)</f>
        <v>0</v>
      </c>
      <c r="D4069" s="1">
        <f>IFERROR(VLOOKUP(61,'PEDIDO 51'!$C$2:$E$230,3,0),0)</f>
        <v>0</v>
      </c>
      <c r="E4069" s="1">
        <f>IFERROR(VLOOKUP(58,'PEDIDO 51'!$C$2:$E$230,3,0),0)</f>
        <v>0</v>
      </c>
      <c r="F4069" s="1">
        <f>IFERROR(VLOOKUP(300,'PEDIDO 51'!$C$2:$E$230,3,0),0)</f>
        <v>0</v>
      </c>
      <c r="G4069" s="18">
        <f t="shared" si="127"/>
        <v>0</v>
      </c>
    </row>
    <row r="4070" spans="1:7" ht="15.75" x14ac:dyDescent="0.25">
      <c r="A4070" s="15">
        <f>'PEDIDO 51'!$B$2</f>
        <v>0</v>
      </c>
      <c r="B4070" s="12" t="s">
        <v>417</v>
      </c>
      <c r="C4070" s="1">
        <f>IFERROR(VLOOKUP(60,'PEDIDO 51'!$C$2:$E$230,3,0),0)</f>
        <v>0</v>
      </c>
      <c r="D4070" s="1">
        <f>IFERROR(VLOOKUP(120,'PEDIDO 51'!$C$2:$E$230,3,0),0)</f>
        <v>0</v>
      </c>
      <c r="E4070" s="1">
        <f>IFERROR(VLOOKUP(62,'PEDIDO 51'!$C$2:$E$230,3,0),0)</f>
        <v>0</v>
      </c>
      <c r="F4070" s="1">
        <f>IFERROR(VLOOKUP(301,'PEDIDO 51'!$C$2:$E$230,3,0),0)</f>
        <v>0</v>
      </c>
      <c r="G4070" s="18">
        <f t="shared" si="127"/>
        <v>0</v>
      </c>
    </row>
    <row r="4071" spans="1:7" ht="15.75" x14ac:dyDescent="0.25">
      <c r="A4071" s="15">
        <f>'PEDIDO 51'!$B$2</f>
        <v>0</v>
      </c>
      <c r="B4071" s="12" t="s">
        <v>426</v>
      </c>
      <c r="C4071" s="1">
        <f>IFERROR(VLOOKUP(112,'PEDIDO 51'!$C$2:$E$230,3,0),0)</f>
        <v>0</v>
      </c>
      <c r="D4071" s="1">
        <f>IFERROR(VLOOKUP(113,'PEDIDO 51'!$C$2:$E$230,3,0),0)</f>
        <v>0</v>
      </c>
      <c r="E4071" s="1">
        <f>IFERROR(VLOOKUP(114,'PEDIDO 51'!$C$2:$E$230,3,0),0)</f>
        <v>0</v>
      </c>
      <c r="F4071" s="1">
        <f>IFERROR(VLOOKUP(296,'PEDIDO 51'!$C$2:$E$230,3,0),0)</f>
        <v>0</v>
      </c>
      <c r="G4071" s="18">
        <f t="shared" si="127"/>
        <v>0</v>
      </c>
    </row>
    <row r="4072" spans="1:7" ht="15.75" x14ac:dyDescent="0.25">
      <c r="A4072" s="15">
        <f>'PEDIDO 51'!$B$2</f>
        <v>0</v>
      </c>
      <c r="B4072" s="12" t="s">
        <v>427</v>
      </c>
      <c r="C4072" s="1">
        <f>IFERROR(VLOOKUP(116,'PEDIDO 51'!$C$2:$E$230,3,0),0)</f>
        <v>0</v>
      </c>
      <c r="D4072" s="1">
        <f>IFERROR(VLOOKUP(117,'PEDIDO 51'!$C$2:$E$230,3,0),0)</f>
        <v>0</v>
      </c>
      <c r="E4072" s="1">
        <f>IFERROR(VLOOKUP(118,'PEDIDO 51'!$C$2:$E$230,3,0),0)</f>
        <v>0</v>
      </c>
      <c r="F4072" s="1">
        <f>IFERROR(VLOOKUP(293,'PEDIDO 51'!$C$2:$E$230,3,0),0)</f>
        <v>0</v>
      </c>
      <c r="G4072" s="18">
        <f t="shared" si="127"/>
        <v>0</v>
      </c>
    </row>
    <row r="4073" spans="1:7" ht="15.75" x14ac:dyDescent="0.25">
      <c r="A4073" s="15">
        <f>'PEDIDO 51'!$B$2</f>
        <v>0</v>
      </c>
      <c r="B4073" s="12" t="s">
        <v>418</v>
      </c>
      <c r="C4073" s="1">
        <f>IFERROR(VLOOKUP(963,'PEDIDO 51'!$C$2:$E$230,3,0),0)</f>
        <v>0</v>
      </c>
      <c r="D4073" s="1">
        <f>IFERROR(VLOOKUP(965,'PEDIDO 51'!$C$2:$E$230,3,0),0)</f>
        <v>0</v>
      </c>
      <c r="E4073" s="1">
        <f>IFERROR(VLOOKUP(966,'PEDIDO 51'!$C$2:$E$230,3,0),0)</f>
        <v>0</v>
      </c>
      <c r="F4073" s="1">
        <f>IFERROR(VLOOKUP(964,'PEDIDO 51'!$C$2:$E$230,3,0),0)</f>
        <v>0</v>
      </c>
      <c r="G4073" s="18">
        <f t="shared" si="127"/>
        <v>0</v>
      </c>
    </row>
    <row r="4074" spans="1:7" ht="15.75" x14ac:dyDescent="0.25">
      <c r="A4074" s="15">
        <f>'PEDIDO 51'!$B$2</f>
        <v>0</v>
      </c>
      <c r="B4074" s="12" t="s">
        <v>419</v>
      </c>
      <c r="C4074" s="1">
        <f>IFERROR(VLOOKUP(2042,'PEDIDO 51'!$C$2:$E$230,3,0),0)</f>
        <v>0</v>
      </c>
      <c r="D4074" s="1">
        <f>IFERROR(VLOOKUP(2041,'PEDIDO 51'!$C$2:$E$230,3,0),0)</f>
        <v>0</v>
      </c>
      <c r="E4074" s="1">
        <f>IFERROR(VLOOKUP(2043,'PEDIDO 51'!$C$2:$E$230,3,0),0)</f>
        <v>0</v>
      </c>
      <c r="F4074" s="1">
        <f>IFERROR(VLOOKUP(2040,'PEDIDO 51'!$C$2:$E$230,3,0),0)</f>
        <v>0</v>
      </c>
      <c r="G4074" s="18">
        <f t="shared" si="127"/>
        <v>0</v>
      </c>
    </row>
    <row r="4075" spans="1:7" ht="15.75" x14ac:dyDescent="0.25">
      <c r="A4075" s="15">
        <f>'PEDIDO 51'!$B$2</f>
        <v>0</v>
      </c>
      <c r="B4075" s="12" t="s">
        <v>420</v>
      </c>
      <c r="C4075" s="1">
        <f>IFERROR(VLOOKUP(2045,'PEDIDO 51'!$C$2:$E$230,3,0),0)</f>
        <v>0</v>
      </c>
      <c r="D4075" s="1">
        <f>IFERROR(VLOOKUP(2046,'PEDIDO 51'!$C$2:$E$230,3,0),0)</f>
        <v>0</v>
      </c>
      <c r="E4075" s="1">
        <f>IFERROR(VLOOKUP(2047,'PEDIDO 51'!$C$2:$E$230,3,0),0)</f>
        <v>0</v>
      </c>
      <c r="F4075" s="1">
        <f>IFERROR(VLOOKUP(2048,'PEDIDO 51'!$C$2:$E$230,3,0),0)</f>
        <v>0</v>
      </c>
      <c r="G4075" s="18">
        <f t="shared" si="127"/>
        <v>0</v>
      </c>
    </row>
    <row r="4076" spans="1:7" ht="15.75" x14ac:dyDescent="0.25">
      <c r="A4076" s="15">
        <f>'PEDIDO 51'!$B$2</f>
        <v>0</v>
      </c>
      <c r="B4076" s="12" t="s">
        <v>421</v>
      </c>
      <c r="C4076" s="1">
        <f>IFERROR(VLOOKUP(2050,'PEDIDO 51'!$C$2:$E$230,3,0),0)</f>
        <v>0</v>
      </c>
      <c r="D4076" s="1">
        <f>IFERROR(VLOOKUP(2051,'PEDIDO 51'!$C$2:$E$230,3,0),0)</f>
        <v>0</v>
      </c>
      <c r="E4076" s="1">
        <f>IFERROR(VLOOKUP(2052,'PEDIDO 51'!$C$2:$E$230,3,0),0)</f>
        <v>0</v>
      </c>
      <c r="F4076" s="1">
        <f>IFERROR(VLOOKUP(2053,'PEDIDO 51'!$C$2:$E$230,3,0),0)</f>
        <v>0</v>
      </c>
      <c r="G4076" s="18">
        <f t="shared" si="127"/>
        <v>0</v>
      </c>
    </row>
    <row r="4077" spans="1:7" ht="15.75" x14ac:dyDescent="0.25">
      <c r="A4077" s="15">
        <f>'PEDIDO 51'!$B$2</f>
        <v>0</v>
      </c>
      <c r="B4077" s="12" t="s">
        <v>422</v>
      </c>
      <c r="C4077" s="1">
        <f>IFERROR(VLOOKUP(216,'PEDIDO 51'!$C$2:$E$230,3,0),0)</f>
        <v>0</v>
      </c>
      <c r="D4077" s="1">
        <f>IFERROR(VLOOKUP(217,'PEDIDO 51'!$C$2:$E$230,3,0),0)</f>
        <v>0</v>
      </c>
      <c r="E4077" s="1">
        <f>IFERROR(VLOOKUP(218,'PEDIDO 51'!$C$2:$E$230,3,0),0)</f>
        <v>0</v>
      </c>
      <c r="F4077" s="1">
        <f>IFERROR(VLOOKUP(305,'PEDIDO 51'!$C$2:$E$230,3,0),0)</f>
        <v>0</v>
      </c>
      <c r="G4077" s="18">
        <f t="shared" si="127"/>
        <v>0</v>
      </c>
    </row>
    <row r="4078" spans="1:7" ht="15.75" x14ac:dyDescent="0.25">
      <c r="A4078" s="15">
        <f>'PEDIDO 51'!$B$2</f>
        <v>0</v>
      </c>
      <c r="B4078" s="12" t="s">
        <v>423</v>
      </c>
      <c r="C4078" s="1">
        <f>IFERROR(VLOOKUP(100,'PEDIDO 51'!$C$2:$E$230,3,0),0)</f>
        <v>0</v>
      </c>
      <c r="D4078" s="1">
        <f>IFERROR(VLOOKUP(101,'PEDIDO 51'!$C$2:$E$230,3,0),0)</f>
        <v>0</v>
      </c>
      <c r="E4078" s="1">
        <f>IFERROR(VLOOKUP(102,'PEDIDO 51'!$C$2:$E$230,3,0),0)</f>
        <v>0</v>
      </c>
      <c r="F4078" s="1">
        <f>IFERROR(VLOOKUP(306,'PEDIDO 51'!$C$2:$E$230,3,0),0)</f>
        <v>0</v>
      </c>
      <c r="G4078" s="18">
        <f t="shared" si="127"/>
        <v>0</v>
      </c>
    </row>
    <row r="4079" spans="1:7" ht="15.75" x14ac:dyDescent="0.25">
      <c r="A4079" s="15">
        <f>'PEDIDO 51'!$B$2</f>
        <v>0</v>
      </c>
      <c r="B4079" s="12" t="s">
        <v>424</v>
      </c>
      <c r="C4079" s="1">
        <f>IFERROR(VLOOKUP(104,'PEDIDO 51'!$C$2:$E$230,3,0),0)</f>
        <v>0</v>
      </c>
      <c r="D4079" s="1">
        <f>IFERROR(VLOOKUP(105,'PEDIDO 51'!$C$2:$E$230,3,0),0)</f>
        <v>0</v>
      </c>
      <c r="E4079" s="1">
        <f>IFERROR(VLOOKUP(106,'PEDIDO 51'!$C$2:$E$230,3,0),0)</f>
        <v>0</v>
      </c>
      <c r="F4079" s="1">
        <f>IFERROR(VLOOKUP(307,'PEDIDO 51'!$C$2:$E$230,3,0),0)</f>
        <v>0</v>
      </c>
      <c r="G4079" s="18">
        <f t="shared" si="127"/>
        <v>0</v>
      </c>
    </row>
    <row r="4080" spans="1:7" ht="15.75" x14ac:dyDescent="0.25">
      <c r="A4080" s="15">
        <f>'PEDIDO 51'!$B$2</f>
        <v>0</v>
      </c>
      <c r="B4080" s="12" t="s">
        <v>425</v>
      </c>
      <c r="C4080" s="1">
        <f>IFERROR(VLOOKUP(400,'PEDIDO 51'!$C$2:$E$230,3,0),0)</f>
        <v>0</v>
      </c>
      <c r="D4080" s="1">
        <f>IFERROR(VLOOKUP(401,'PEDIDO 51'!$C$2:$E$230,3,0),0)</f>
        <v>0</v>
      </c>
      <c r="E4080" s="1">
        <f>IFERROR(VLOOKUP(402,'PEDIDO 51'!$C$2:$E$230,3,0),0)</f>
        <v>0</v>
      </c>
      <c r="F4080" s="1">
        <f>IFERROR(VLOOKUP(403,'PEDIDO 51'!$C$2:$E$230,3,0),0)</f>
        <v>0</v>
      </c>
      <c r="G4080" s="18">
        <f t="shared" si="127"/>
        <v>0</v>
      </c>
    </row>
    <row r="4081" spans="1:7" ht="15.75" x14ac:dyDescent="0.25">
      <c r="A4081" s="15">
        <f>'PEDIDO 51'!$B$2</f>
        <v>0</v>
      </c>
      <c r="B4081" s="12" t="s">
        <v>428</v>
      </c>
      <c r="C4081" s="1">
        <f>IFERROR(VLOOKUP(22,'PEDIDO 51'!$C$2:$E$230,3,0),0)</f>
        <v>0</v>
      </c>
      <c r="D4081" s="1"/>
      <c r="E4081" s="1"/>
      <c r="F4081" s="1"/>
      <c r="G4081" s="18">
        <f t="shared" si="127"/>
        <v>0</v>
      </c>
    </row>
    <row r="4082" spans="1:7" ht="15.75" x14ac:dyDescent="0.25">
      <c r="A4082" s="15">
        <f>'PEDIDO 51'!$B$2</f>
        <v>0</v>
      </c>
      <c r="B4082" s="12" t="s">
        <v>429</v>
      </c>
      <c r="C4082" s="1">
        <f>IFERROR(VLOOKUP(21,'PEDIDO 51'!$C$2:$E$230,3,0),0)</f>
        <v>0</v>
      </c>
      <c r="D4082" s="1"/>
      <c r="E4082" s="1"/>
      <c r="F4082" s="1"/>
      <c r="G4082" s="18">
        <f t="shared" si="127"/>
        <v>0</v>
      </c>
    </row>
    <row r="4083" spans="1:7" ht="15.75" x14ac:dyDescent="0.25">
      <c r="A4083" s="15">
        <f>'PEDIDO 51'!$B$2</f>
        <v>0</v>
      </c>
      <c r="B4083" s="12" t="s">
        <v>430</v>
      </c>
      <c r="C4083" s="1">
        <f>IFERROR(VLOOKUP(1125,'PEDIDO 51'!$C$2:$E$230,3,0),0)</f>
        <v>0</v>
      </c>
      <c r="D4083" s="1">
        <f>IFERROR(VLOOKUP(1126,'PEDIDO 51'!$C$2:$E$230,3,0),0)</f>
        <v>0</v>
      </c>
      <c r="E4083" s="1">
        <f>IFERROR(VLOOKUP(1127,'PEDIDO 51'!$C$2:$E$230,3,0),0)</f>
        <v>0</v>
      </c>
      <c r="F4083" s="1">
        <f>IFERROR(VLOOKUP(1128,'PEDIDO 51'!$C$2:$E$230,3,0),0)</f>
        <v>0</v>
      </c>
      <c r="G4083" s="18">
        <f t="shared" si="127"/>
        <v>0</v>
      </c>
    </row>
    <row r="4084" spans="1:7" ht="15.75" x14ac:dyDescent="0.25">
      <c r="A4084" s="15">
        <f>'PEDIDO 51'!$B$2</f>
        <v>0</v>
      </c>
      <c r="B4084" s="12" t="s">
        <v>431</v>
      </c>
      <c r="C4084" s="1">
        <f>IFERROR(VLOOKUP(1133,'PEDIDO 51'!$C$2:$E$230,3,0),0)</f>
        <v>0</v>
      </c>
      <c r="D4084" s="1">
        <f>IFERROR(VLOOKUP(1134,'PEDIDO 51'!$C$2:$E$230,3,0),0)</f>
        <v>0</v>
      </c>
      <c r="E4084" s="1">
        <f>IFERROR(VLOOKUP(1135,'PEDIDO 51'!$C$2:$E$230,3,0),0)</f>
        <v>0</v>
      </c>
      <c r="F4084" s="1">
        <f>IFERROR(VLOOKUP(1136,'PEDIDO 51'!$C$2:$E$230,3,0),0)</f>
        <v>0</v>
      </c>
      <c r="G4084" s="18">
        <f t="shared" si="127"/>
        <v>0</v>
      </c>
    </row>
    <row r="4085" spans="1:7" ht="15.75" x14ac:dyDescent="0.25">
      <c r="A4085" s="15">
        <f>'PEDIDO 51'!$B$2</f>
        <v>0</v>
      </c>
      <c r="B4085" s="12" t="s">
        <v>432</v>
      </c>
      <c r="C4085" s="1">
        <f>IFERROR(VLOOKUP(1105,'PEDIDO 51'!$C$2:$E$230,3,0),0)</f>
        <v>0</v>
      </c>
      <c r="D4085" s="1">
        <f>IFERROR(VLOOKUP(1106,'PEDIDO 51'!$C$2:$E$230,3,0),0)</f>
        <v>0</v>
      </c>
      <c r="E4085" s="1">
        <f>IFERROR(VLOOKUP(1107,'PEDIDO 51'!$C$2:$E$230,3,0),0)</f>
        <v>0</v>
      </c>
      <c r="F4085" s="1">
        <f>IFERROR(VLOOKUP(1108,'PEDIDO 51'!$C$2:$E$230,3,0),0)</f>
        <v>0</v>
      </c>
      <c r="G4085" s="18">
        <f t="shared" si="127"/>
        <v>0</v>
      </c>
    </row>
    <row r="4086" spans="1:7" ht="15.75" x14ac:dyDescent="0.25">
      <c r="A4086" s="15">
        <f>'PEDIDO 51'!$B$2</f>
        <v>0</v>
      </c>
      <c r="B4086" s="12" t="s">
        <v>433</v>
      </c>
      <c r="C4086" s="1">
        <f>IFERROR(VLOOKUP(1109,'PEDIDO 51'!$C$2:$E$230,3,0),0)</f>
        <v>0</v>
      </c>
      <c r="D4086" s="1">
        <f>IFERROR(VLOOKUP(1110,'PEDIDO 51'!$C$2:$E$230,3,0),0)</f>
        <v>0</v>
      </c>
      <c r="E4086" s="1">
        <f>IFERROR(VLOOKUP(1111,'PEDIDO 51'!$C$2:$E$230,3,0),0)</f>
        <v>0</v>
      </c>
      <c r="F4086" s="1">
        <f>IFERROR(VLOOKUP(1112,'PEDIDO 51'!$C$2:$E$230,3,0),0)</f>
        <v>0</v>
      </c>
      <c r="G4086" s="18">
        <f t="shared" si="127"/>
        <v>0</v>
      </c>
    </row>
    <row r="4087" spans="1:7" ht="15.75" x14ac:dyDescent="0.25">
      <c r="A4087" s="15">
        <f>'PEDIDO 51'!$B$2</f>
        <v>0</v>
      </c>
      <c r="B4087" s="12" t="s">
        <v>434</v>
      </c>
      <c r="C4087" s="1">
        <f>IFERROR(VLOOKUP(1113,'PEDIDO 51'!$C$2:$E$230,3,0),0)</f>
        <v>0</v>
      </c>
      <c r="D4087" s="1">
        <f>IFERROR(VLOOKUP(1114,'PEDIDO 51'!$C$2:$E$230,3,0),0)</f>
        <v>0</v>
      </c>
      <c r="E4087" s="1">
        <f>IFERROR(VLOOKUP(1115,'PEDIDO 51'!$C$2:$E$230,3,0),0)</f>
        <v>0</v>
      </c>
      <c r="F4087" s="1">
        <f>IFERROR(VLOOKUP(1116,'PEDIDO 51'!$C$2:$E$230,3,0),0)</f>
        <v>0</v>
      </c>
      <c r="G4087" s="18">
        <f t="shared" si="127"/>
        <v>0</v>
      </c>
    </row>
    <row r="4088" spans="1:7" ht="15.75" x14ac:dyDescent="0.25">
      <c r="A4088" s="15">
        <f>'PEDIDO 51'!$B$2</f>
        <v>0</v>
      </c>
      <c r="B4088" s="12" t="s">
        <v>435</v>
      </c>
      <c r="C4088" s="1">
        <f>IFERROR(VLOOKUP(1117,'PEDIDO 51'!$C$2:$E$230,3,0),0)</f>
        <v>0</v>
      </c>
      <c r="D4088" s="1">
        <f>IFERROR(VLOOKUP(1118,'PEDIDO 51'!$C$2:$E$230,3,0),0)</f>
        <v>0</v>
      </c>
      <c r="E4088" s="1">
        <f>IFERROR(VLOOKUP(1119,'PEDIDO 51'!$C$2:$E$230,3,0),0)</f>
        <v>0</v>
      </c>
      <c r="F4088" s="1">
        <f>IFERROR(VLOOKUP(1120,'PEDIDO 51'!$C$2:$E$230,3,0),0)</f>
        <v>0</v>
      </c>
      <c r="G4088" s="18">
        <f t="shared" si="127"/>
        <v>0</v>
      </c>
    </row>
    <row r="4089" spans="1:7" ht="15.75" x14ac:dyDescent="0.25">
      <c r="A4089" s="15">
        <f>'PEDIDO 51'!$B$2</f>
        <v>0</v>
      </c>
      <c r="B4089" s="12" t="s">
        <v>436</v>
      </c>
      <c r="C4089" s="1">
        <f>IFERROR(VLOOKUP(1121,'PEDIDO 51'!$C$2:$E$230,3,0),0)</f>
        <v>0</v>
      </c>
      <c r="D4089" s="1">
        <f>IFERROR(VLOOKUP(1122,'PEDIDO 51'!$C$2:$E$230,3,0),0)</f>
        <v>0</v>
      </c>
      <c r="E4089" s="1">
        <f>IFERROR(VLOOKUP(1123,'PEDIDO 51'!$C$2:$E$230,3,0),0)</f>
        <v>0</v>
      </c>
      <c r="F4089" s="1">
        <f>IFERROR(VLOOKUP(1124,'PEDIDO 51'!$C$2:$E$230,3,0),0)</f>
        <v>0</v>
      </c>
      <c r="G4089" s="18">
        <f t="shared" si="127"/>
        <v>0</v>
      </c>
    </row>
    <row r="4090" spans="1:7" ht="15.75" x14ac:dyDescent="0.25">
      <c r="A4090" s="15">
        <f>'PEDIDO 51'!$B$2</f>
        <v>0</v>
      </c>
      <c r="B4090" s="12" t="s">
        <v>437</v>
      </c>
      <c r="C4090" s="1">
        <f>IFERROR(VLOOKUP(1129,'PEDIDO 51'!$C$2:$E$230,3,0),0)</f>
        <v>0</v>
      </c>
      <c r="D4090" s="1">
        <f>IFERROR(VLOOKUP(1130,'PEDIDO 51'!$C$2:$E$230,3,0),0)</f>
        <v>0</v>
      </c>
      <c r="E4090" s="1">
        <f>IFERROR(VLOOKUP(1131,'PEDIDO 51'!$C$2:$E$230,3,0),0)</f>
        <v>0</v>
      </c>
      <c r="F4090" s="1">
        <f>IFERROR(VLOOKUP(1132,'PEDIDO 51'!$C$2:$E$230,3,0),0)</f>
        <v>0</v>
      </c>
      <c r="G4090" s="18">
        <f t="shared" si="127"/>
        <v>0</v>
      </c>
    </row>
    <row r="4091" spans="1:7" ht="15.75" x14ac:dyDescent="0.25">
      <c r="A4091" s="15">
        <f>'PEDIDO 51'!$B$2</f>
        <v>0</v>
      </c>
      <c r="B4091" s="12" t="s">
        <v>438</v>
      </c>
      <c r="C4091" s="1">
        <f>IFERROR(VLOOKUP(1137,'PEDIDO 51'!$C$2:$E$230,3,0),0)</f>
        <v>0</v>
      </c>
      <c r="D4091" s="1">
        <f>IFERROR(VLOOKUP(1138,'PEDIDO 51'!$C$2:$E$230,3,0),0)</f>
        <v>0</v>
      </c>
      <c r="E4091" s="1">
        <f>IFERROR(VLOOKUP(1139,'PEDIDO 51'!$C$2:$E$230,3,0),0)</f>
        <v>0</v>
      </c>
      <c r="F4091" s="1">
        <f>IFERROR(VLOOKUP(1140,'PEDIDO 51'!$C$2:$E$230,3,0),0)</f>
        <v>0</v>
      </c>
      <c r="G4091" s="18">
        <f t="shared" si="127"/>
        <v>0</v>
      </c>
    </row>
    <row r="4092" spans="1:7" ht="15.75" x14ac:dyDescent="0.25">
      <c r="A4092" s="15">
        <f>'PEDIDO 51'!$B$2</f>
        <v>0</v>
      </c>
      <c r="B4092" s="12" t="s">
        <v>439</v>
      </c>
      <c r="C4092" s="1">
        <f>IFERROR(VLOOKUP(1141,'PEDIDO 51'!$C$2:$E$230,3,0),0)</f>
        <v>0</v>
      </c>
      <c r="D4092" s="1">
        <f>IFERROR(VLOOKUP(1142,'PEDIDO 51'!$C$2:$E$230,3,0),0)</f>
        <v>0</v>
      </c>
      <c r="E4092" s="1">
        <f>IFERROR(VLOOKUP(1143,'PEDIDO 51'!$C$2:$E$230,3,0),0)</f>
        <v>0</v>
      </c>
      <c r="F4092" s="1">
        <f>IFERROR(VLOOKUP(1144,'PEDIDO 51'!$C$2:$E$230,3,0),0)</f>
        <v>0</v>
      </c>
      <c r="G4092" s="18">
        <f t="shared" si="127"/>
        <v>0</v>
      </c>
    </row>
    <row r="4093" spans="1:7" ht="15.75" x14ac:dyDescent="0.25">
      <c r="A4093" s="15">
        <f>'PEDIDO 51'!$B$2</f>
        <v>0</v>
      </c>
      <c r="B4093" s="12" t="s">
        <v>440</v>
      </c>
      <c r="C4093" s="1">
        <f>IFERROR(VLOOKUP(1145,'PEDIDO 51'!$C$2:$E$230,3,0),0)</f>
        <v>0</v>
      </c>
      <c r="D4093" s="1">
        <f>IFERROR(VLOOKUP(1146,'PEDIDO 51'!$C$2:$E$230,3,0),0)</f>
        <v>0</v>
      </c>
      <c r="E4093" s="1">
        <f>IFERROR(VLOOKUP(1147,'PEDIDO 51'!$C$2:$E$230,3,0),0)</f>
        <v>0</v>
      </c>
      <c r="F4093" s="1">
        <f>IFERROR(VLOOKUP(1148,'PEDIDO 51'!$C$2:$E$230,3,0),0)</f>
        <v>0</v>
      </c>
      <c r="G4093" s="18">
        <f t="shared" si="127"/>
        <v>0</v>
      </c>
    </row>
    <row r="4094" spans="1:7" ht="15.75" x14ac:dyDescent="0.25">
      <c r="A4094" s="15">
        <f>'PEDIDO 51'!$B$2</f>
        <v>0</v>
      </c>
      <c r="B4094" s="12" t="s">
        <v>441</v>
      </c>
      <c r="C4094" s="1">
        <f>IFERROR(VLOOKUP(1149,'PEDIDO 51'!$C$2:$E$230,3,0),0)</f>
        <v>0</v>
      </c>
      <c r="D4094" s="1">
        <f>IFERROR(VLOOKUP(1150,'PEDIDO 51'!$C$2:$E$230,3,0),0)</f>
        <v>0</v>
      </c>
      <c r="E4094" s="1">
        <f>IFERROR(VLOOKUP(1151,'PEDIDO 51'!$C$2:$E$230,3,0),0)</f>
        <v>0</v>
      </c>
      <c r="F4094" s="1">
        <f>IFERROR(VLOOKUP(1152,'PEDIDO 51'!$C$2:$E$230,3,0),0)</f>
        <v>0</v>
      </c>
      <c r="G4094" s="18">
        <f t="shared" si="127"/>
        <v>0</v>
      </c>
    </row>
    <row r="4095" spans="1:7" ht="15.75" x14ac:dyDescent="0.25">
      <c r="A4095" s="15">
        <f>'PEDIDO 51'!$B$2</f>
        <v>0</v>
      </c>
      <c r="B4095" s="12" t="s">
        <v>442</v>
      </c>
      <c r="C4095" s="1">
        <f>IFERROR(VLOOKUP(1153,'PEDIDO 51'!$C$2:$E$230,3,0),0)</f>
        <v>0</v>
      </c>
      <c r="D4095" s="1">
        <f>IFERROR(VLOOKUP(1154,'PEDIDO 51'!$C$2:$E$230,3,0),0)</f>
        <v>0</v>
      </c>
      <c r="E4095" s="1">
        <f>IFERROR(VLOOKUP(1155,'PEDIDO 51'!$C$2:$E$230,3,0),0)</f>
        <v>0</v>
      </c>
      <c r="F4095" s="1">
        <f>IFERROR(VLOOKUP(1156,'PEDIDO 51'!$C$2:$E$230,3,0),0)</f>
        <v>0</v>
      </c>
      <c r="G4095" s="18">
        <f t="shared" si="127"/>
        <v>0</v>
      </c>
    </row>
    <row r="4096" spans="1:7" ht="15.75" x14ac:dyDescent="0.25">
      <c r="A4096" s="15">
        <f>'PEDIDO 51'!$B$2</f>
        <v>0</v>
      </c>
      <c r="B4096" s="12" t="s">
        <v>443</v>
      </c>
      <c r="C4096" s="1">
        <f>IFERROR(VLOOKUP(1157,'PEDIDO 51'!$C$2:$E$230,3,0),0)</f>
        <v>0</v>
      </c>
      <c r="D4096" s="1">
        <f>IFERROR(VLOOKUP(1158,'PEDIDO 51'!$C$2:$E$230,3,0),0)</f>
        <v>0</v>
      </c>
      <c r="E4096" s="1">
        <f>IFERROR(VLOOKUP(1159,'PEDIDO 51'!$C$2:$E$230,3,0),0)</f>
        <v>0</v>
      </c>
      <c r="F4096" s="1">
        <f>IFERROR(VLOOKUP(1160,'PEDIDO 51'!$C$2:$E$230,3,0),0)</f>
        <v>0</v>
      </c>
      <c r="G4096" s="18">
        <f t="shared" si="127"/>
        <v>0</v>
      </c>
    </row>
    <row r="4097" spans="1:7" ht="15.75" x14ac:dyDescent="0.25">
      <c r="A4097" s="15">
        <f>'PEDIDO 51'!$B$2</f>
        <v>0</v>
      </c>
      <c r="B4097" s="12" t="s">
        <v>444</v>
      </c>
      <c r="C4097" s="1">
        <f>IFERROR(VLOOKUP(1161,'PEDIDO 51'!$C$2:$E$230,3,0),0)</f>
        <v>0</v>
      </c>
      <c r="D4097" s="1">
        <f>IFERROR(VLOOKUP(1162,'PEDIDO 51'!$C$2:$E$230,3,0),0)</f>
        <v>0</v>
      </c>
      <c r="E4097" s="1">
        <f>IFERROR(VLOOKUP(1163,'PEDIDO 51'!$C$2:$E$230,3,0),0)</f>
        <v>0</v>
      </c>
      <c r="F4097" s="1">
        <f>IFERROR(VLOOKUP(1164,'PEDIDO 51'!$C$2:$E$230,3,0),0)</f>
        <v>0</v>
      </c>
      <c r="G4097" s="18">
        <f t="shared" si="127"/>
        <v>0</v>
      </c>
    </row>
    <row r="4098" spans="1:7" ht="15.75" x14ac:dyDescent="0.25">
      <c r="A4098" s="15">
        <f>'PEDIDO 51'!$B$2</f>
        <v>0</v>
      </c>
      <c r="B4098" s="12" t="s">
        <v>445</v>
      </c>
      <c r="C4098" s="1">
        <f>IFERROR(VLOOKUP(1165,'PEDIDO 51'!$C$2:$E$230,3,0),0)</f>
        <v>0</v>
      </c>
      <c r="D4098" s="1">
        <f>IFERROR(VLOOKUP(1166,'PEDIDO 51'!$C$2:$E$230,3,0),0)</f>
        <v>0</v>
      </c>
      <c r="E4098" s="1">
        <f>IFERROR(VLOOKUP(1167,'PEDIDO 51'!$C$2:$E$230,3,0),0)</f>
        <v>0</v>
      </c>
      <c r="F4098" s="1">
        <f>IFERROR(VLOOKUP(1168,'PEDIDO 51'!$C$2:$E$230,3,0),0)</f>
        <v>0</v>
      </c>
      <c r="G4098" s="18">
        <f t="shared" si="127"/>
        <v>0</v>
      </c>
    </row>
    <row r="4099" spans="1:7" ht="15.75" x14ac:dyDescent="0.25">
      <c r="A4099" s="15">
        <f>'PEDIDO 51'!$B$2</f>
        <v>0</v>
      </c>
      <c r="B4099" s="12" t="s">
        <v>446</v>
      </c>
      <c r="C4099" s="1">
        <f>IFERROR(VLOOKUP(1169,'PEDIDO 51'!$C$2:$E$230,3,0),0)</f>
        <v>0</v>
      </c>
      <c r="D4099" s="1">
        <f>IFERROR(VLOOKUP(1170,'PEDIDO 51'!$C$2:$E$230,3,0),0)</f>
        <v>0</v>
      </c>
      <c r="E4099" s="1">
        <f>IFERROR(VLOOKUP(1171,'PEDIDO 51'!$C$2:$E$230,3,0),0)</f>
        <v>0</v>
      </c>
      <c r="F4099" s="1">
        <f>IFERROR(VLOOKUP(1172,'PEDIDO 51'!$C$2:$E$230,3,0),0)</f>
        <v>0</v>
      </c>
      <c r="G4099" s="18">
        <f t="shared" si="127"/>
        <v>0</v>
      </c>
    </row>
    <row r="4100" spans="1:7" ht="15.75" x14ac:dyDescent="0.25">
      <c r="A4100" s="15">
        <f>'PEDIDO 51'!$B$2</f>
        <v>0</v>
      </c>
      <c r="B4100" s="12" t="s">
        <v>447</v>
      </c>
      <c r="C4100" s="1">
        <f>IFERROR(VLOOKUP(1173,'PEDIDO 51'!$C$2:$E$230,3,0),0)</f>
        <v>0</v>
      </c>
      <c r="D4100" s="1">
        <f>IFERROR(VLOOKUP(1174,'PEDIDO 51'!$C$2:$E$230,3,0),0)</f>
        <v>0</v>
      </c>
      <c r="E4100" s="1">
        <f>IFERROR(VLOOKUP(1175,'PEDIDO 51'!$C$2:$E$230,3,0),0)</f>
        <v>0</v>
      </c>
      <c r="F4100" s="1">
        <f>IFERROR(VLOOKUP(1176,'PEDIDO 51'!$C$2:$E$230,3,0),0)</f>
        <v>0</v>
      </c>
      <c r="G4100" s="18">
        <f t="shared" si="127"/>
        <v>0</v>
      </c>
    </row>
    <row r="4101" spans="1:7" ht="15.75" x14ac:dyDescent="0.25">
      <c r="A4101" s="15">
        <f>'PEDIDO 51'!$B$2</f>
        <v>0</v>
      </c>
      <c r="B4101" s="12" t="s">
        <v>448</v>
      </c>
      <c r="C4101" s="1">
        <f>IFERROR(VLOOKUP(1249,'PEDIDO 51'!$C$2:$E$230,3,0),0)</f>
        <v>0</v>
      </c>
      <c r="D4101" s="1">
        <f>IFERROR(VLOOKUP(1250,'PEDIDO 51'!$C$2:$E$230,3,0),0)</f>
        <v>0</v>
      </c>
      <c r="E4101" s="1">
        <f>IFERROR(VLOOKUP(1251,'PEDIDO 51'!$C$2:$E$230,3,0),0)</f>
        <v>0</v>
      </c>
      <c r="F4101" s="1">
        <f>IFERROR(VLOOKUP(1252,'PEDIDO 51'!$C$2:$E$230,3,0),0)</f>
        <v>0</v>
      </c>
      <c r="G4101" s="18">
        <f t="shared" si="127"/>
        <v>0</v>
      </c>
    </row>
    <row r="4102" spans="1:7" ht="15.75" x14ac:dyDescent="0.25">
      <c r="A4102" s="15">
        <f>'PEDIDO 51'!$B$2</f>
        <v>0</v>
      </c>
      <c r="B4102" s="12" t="s">
        <v>449</v>
      </c>
      <c r="C4102" s="1">
        <f>IFERROR(VLOOKUP(1177,'PEDIDO 51'!$C$2:$E$230,3,0),0)</f>
        <v>0</v>
      </c>
      <c r="D4102" s="1">
        <f>IFERROR(VLOOKUP(1178,'PEDIDO 51'!$C$2:$E$230,3,0),0)</f>
        <v>0</v>
      </c>
      <c r="E4102" s="1">
        <f>IFERROR(VLOOKUP(1179,'PEDIDO 51'!$C$2:$E$230,3,0),0)</f>
        <v>0</v>
      </c>
      <c r="F4102" s="1">
        <f>IFERROR(VLOOKUP(1180,'PEDIDO 51'!$C$2:$E$230,3,0),0)</f>
        <v>0</v>
      </c>
      <c r="G4102" s="18">
        <f t="shared" si="127"/>
        <v>0</v>
      </c>
    </row>
    <row r="4103" spans="1:7" ht="15.75" x14ac:dyDescent="0.25">
      <c r="A4103" s="15">
        <f>'PEDIDO 51'!$B$2</f>
        <v>0</v>
      </c>
      <c r="B4103" s="12" t="s">
        <v>450</v>
      </c>
      <c r="C4103" s="1">
        <f>IFERROR(VLOOKUP(1181,'PEDIDO 51'!$C$2:$E$230,3,0),0)</f>
        <v>0</v>
      </c>
      <c r="D4103" s="1">
        <f>IFERROR(VLOOKUP(1182,'PEDIDO 51'!$C$2:$E$230,3,0),0)</f>
        <v>0</v>
      </c>
      <c r="E4103" s="1">
        <f>IFERROR(VLOOKUP(1183,'PEDIDO 51'!$C$2:$E$230,3,0),0)</f>
        <v>0</v>
      </c>
      <c r="F4103" s="1">
        <f>IFERROR(VLOOKUP(1184,'PEDIDO 51'!$C$2:$E$230,3,0),0)</f>
        <v>0</v>
      </c>
      <c r="G4103" s="18">
        <f t="shared" si="127"/>
        <v>0</v>
      </c>
    </row>
    <row r="4104" spans="1:7" ht="15.75" x14ac:dyDescent="0.25">
      <c r="A4104" s="15">
        <f>'PEDIDO 51'!$B$2</f>
        <v>0</v>
      </c>
      <c r="B4104" s="12" t="s">
        <v>451</v>
      </c>
      <c r="C4104" s="1">
        <f>IFERROR(VLOOKUP(1185,'PEDIDO 51'!$C$2:$E$230,3,0),0)</f>
        <v>0</v>
      </c>
      <c r="D4104" s="1">
        <f>IFERROR(VLOOKUP(1186,'PEDIDO 51'!$C$2:$E$230,3,0),0)</f>
        <v>0</v>
      </c>
      <c r="E4104" s="1">
        <f>IFERROR(VLOOKUP(1187,'PEDIDO 51'!$C$2:$E$230,3,0),0)</f>
        <v>0</v>
      </c>
      <c r="F4104" s="1">
        <f>IFERROR(VLOOKUP(1188,'PEDIDO 51'!$C$2:$E$230,3,0),0)</f>
        <v>0</v>
      </c>
      <c r="G4104" s="18">
        <f t="shared" si="127"/>
        <v>0</v>
      </c>
    </row>
    <row r="4105" spans="1:7" ht="15.75" x14ac:dyDescent="0.25">
      <c r="A4105" s="15">
        <f>'PEDIDO 51'!$B$2</f>
        <v>0</v>
      </c>
      <c r="B4105" s="12" t="s">
        <v>452</v>
      </c>
      <c r="C4105" s="1">
        <f>IFERROR(VLOOKUP(1189,'PEDIDO 51'!$C$2:$E$230,3,0),0)</f>
        <v>0</v>
      </c>
      <c r="D4105" s="1">
        <f>IFERROR(VLOOKUP(1190,'PEDIDO 51'!$C$2:$E$230,3,0),0)</f>
        <v>0</v>
      </c>
      <c r="E4105" s="1">
        <f>IFERROR(VLOOKUP(1191,'PEDIDO 51'!$C$2:$E$230,3,0),0)</f>
        <v>0</v>
      </c>
      <c r="F4105" s="1">
        <f>IFERROR(VLOOKUP(1192,'PEDIDO 51'!$C$2:$E$230,3,0),0)</f>
        <v>0</v>
      </c>
      <c r="G4105" s="18">
        <f t="shared" si="127"/>
        <v>0</v>
      </c>
    </row>
    <row r="4106" spans="1:7" ht="15.75" x14ac:dyDescent="0.25">
      <c r="A4106" s="15">
        <f>'PEDIDO 51'!$B$2</f>
        <v>0</v>
      </c>
      <c r="B4106" s="12" t="s">
        <v>453</v>
      </c>
      <c r="C4106" s="1">
        <f>IFERROR(VLOOKUP(1193,'PEDIDO 51'!$C$2:$E$230,3,0),0)</f>
        <v>0</v>
      </c>
      <c r="D4106" s="1">
        <f>IFERROR(VLOOKUP(1194,'PEDIDO 51'!$C$2:$E$230,3,0),0)</f>
        <v>0</v>
      </c>
      <c r="E4106" s="1">
        <f>IFERROR(VLOOKUP(1195,'PEDIDO 51'!$C$2:$E$230,3,0),0)</f>
        <v>0</v>
      </c>
      <c r="F4106" s="1">
        <f>IFERROR(VLOOKUP(1196,'PEDIDO 51'!$C$2:$E$230,3,0),0)</f>
        <v>0</v>
      </c>
      <c r="G4106" s="18">
        <f t="shared" si="127"/>
        <v>0</v>
      </c>
    </row>
    <row r="4107" spans="1:7" ht="15.75" x14ac:dyDescent="0.25">
      <c r="A4107" s="15">
        <f>'PEDIDO 51'!$B$2</f>
        <v>0</v>
      </c>
      <c r="B4107" s="12" t="s">
        <v>454</v>
      </c>
      <c r="C4107" s="1">
        <f>IFERROR(VLOOKUP(1197,'PEDIDO 51'!$C$2:$E$230,3,0),0)</f>
        <v>0</v>
      </c>
      <c r="D4107" s="1">
        <f>IFERROR(VLOOKUP(1198,'PEDIDO 51'!$C$2:$E$230,3,0),0)</f>
        <v>0</v>
      </c>
      <c r="E4107" s="1">
        <f>IFERROR(VLOOKUP(1199,'PEDIDO 51'!$C$2:$E$230,3,0),0)</f>
        <v>0</v>
      </c>
      <c r="F4107" s="1">
        <f>IFERROR(VLOOKUP(1200,'PEDIDO 51'!$C$2:$E$230,3,0),0)</f>
        <v>0</v>
      </c>
      <c r="G4107" s="18">
        <f t="shared" si="127"/>
        <v>0</v>
      </c>
    </row>
    <row r="4108" spans="1:7" ht="15.75" x14ac:dyDescent="0.25">
      <c r="A4108" s="15">
        <f>'PEDIDO 51'!$B$2</f>
        <v>0</v>
      </c>
      <c r="B4108" s="12" t="s">
        <v>455</v>
      </c>
      <c r="C4108" s="1">
        <f>IFERROR(VLOOKUP(1201,'PEDIDO 51'!$C$2:$E$230,3,0),0)</f>
        <v>0</v>
      </c>
      <c r="D4108" s="1">
        <f>IFERROR(VLOOKUP(1202,'PEDIDO 51'!$C$2:$E$230,3,0),0)</f>
        <v>0</v>
      </c>
      <c r="E4108" s="1">
        <f>IFERROR(VLOOKUP(1203,'PEDIDO 51'!$C$2:$E$230,3,0),0)</f>
        <v>0</v>
      </c>
      <c r="F4108" s="1">
        <f>IFERROR(VLOOKUP(1204,'PEDIDO 51'!$C$2:$E$230,3,0),0)</f>
        <v>0</v>
      </c>
      <c r="G4108" s="18">
        <f t="shared" si="127"/>
        <v>0</v>
      </c>
    </row>
    <row r="4109" spans="1:7" ht="15.75" x14ac:dyDescent="0.25">
      <c r="A4109" s="15">
        <f>'PEDIDO 51'!$B$2</f>
        <v>0</v>
      </c>
      <c r="B4109" s="12" t="s">
        <v>456</v>
      </c>
      <c r="C4109" s="1">
        <f>IFERROR(VLOOKUP(1205,'PEDIDO 51'!$C$2:$E$230,3,0),0)</f>
        <v>0</v>
      </c>
      <c r="D4109" s="1">
        <f>IFERROR(VLOOKUP(1206,'PEDIDO 51'!$C$2:$E$230,3,0),0)</f>
        <v>0</v>
      </c>
      <c r="E4109" s="1">
        <f>IFERROR(VLOOKUP(1207,'PEDIDO 51'!$C$2:$E$230,3,0),0)</f>
        <v>0</v>
      </c>
      <c r="F4109" s="1">
        <f>IFERROR(VLOOKUP(1208,'PEDIDO 51'!$C$2:$E$230,3,0),0)</f>
        <v>0</v>
      </c>
      <c r="G4109" s="18">
        <f t="shared" si="127"/>
        <v>0</v>
      </c>
    </row>
    <row r="4110" spans="1:7" ht="15.75" x14ac:dyDescent="0.25">
      <c r="A4110" s="15">
        <f>'PEDIDO 51'!$B$2</f>
        <v>0</v>
      </c>
      <c r="B4110" s="12" t="s">
        <v>457</v>
      </c>
      <c r="C4110" s="1">
        <f>IFERROR(VLOOKUP(1213,'PEDIDO 51'!$C$2:$E$230,3,0),0)</f>
        <v>0</v>
      </c>
      <c r="D4110" s="1">
        <f>IFERROR(VLOOKUP(1214,'PEDIDO 51'!$C$2:$E$230,3,0),0)</f>
        <v>0</v>
      </c>
      <c r="E4110" s="1">
        <f>IFERROR(VLOOKUP(1215,'PEDIDO 51'!$C$2:$E$230,3,0),0)</f>
        <v>0</v>
      </c>
      <c r="F4110" s="10">
        <f>IFERROR(VLOOKUP(1216,'PEDIDO 51'!$C$2:$E$230,3,0),0)</f>
        <v>0</v>
      </c>
      <c r="G4110" s="18">
        <f t="shared" si="127"/>
        <v>0</v>
      </c>
    </row>
    <row r="4111" spans="1:7" ht="15.75" x14ac:dyDescent="0.25">
      <c r="A4111" s="15">
        <f>'PEDIDO 51'!$B$2</f>
        <v>0</v>
      </c>
      <c r="B4111" s="12" t="s">
        <v>458</v>
      </c>
      <c r="C4111" s="1">
        <f>IFERROR(VLOOKUP(1209,'PEDIDO 51'!$C$2:$E$230,3,0),0)</f>
        <v>0</v>
      </c>
      <c r="D4111" s="1">
        <f>IFERROR(VLOOKUP(1210,'PEDIDO 51'!$C$2:$E$230,3,0),0)</f>
        <v>0</v>
      </c>
      <c r="E4111" s="1">
        <f>IFERROR(VLOOKUP(1211,'PEDIDO 51'!$C$2:$E$230,3,0),0)</f>
        <v>0</v>
      </c>
      <c r="F4111" s="1">
        <f>IFERROR(VLOOKUP(1212,'PEDIDO 51'!$C$2:$E$230,3,0),0)</f>
        <v>0</v>
      </c>
      <c r="G4111" s="18">
        <f t="shared" si="127"/>
        <v>0</v>
      </c>
    </row>
    <row r="4112" spans="1:7" ht="15.75" x14ac:dyDescent="0.25">
      <c r="A4112" s="15">
        <f>'PEDIDO 51'!$B$2</f>
        <v>0</v>
      </c>
      <c r="B4112" s="12" t="s">
        <v>459</v>
      </c>
      <c r="C4112" s="1">
        <f>IFERROR(VLOOKUP(1217,'PEDIDO 51'!$C$2:$E$230,3,0),0)</f>
        <v>0</v>
      </c>
      <c r="D4112" s="1">
        <f>IFERROR(VLOOKUP(1218,'PEDIDO 51'!$C$2:$E$230,3,0),0)</f>
        <v>0</v>
      </c>
      <c r="E4112" s="1">
        <f>IFERROR(VLOOKUP(1219,'PEDIDO 51'!$C$2:$E$230,3,0),0)</f>
        <v>0</v>
      </c>
      <c r="F4112" s="1">
        <f>IFERROR(VLOOKUP(1220,'PEDIDO 51'!$C$2:$E$230,3,0),0)</f>
        <v>0</v>
      </c>
      <c r="G4112" s="18">
        <f t="shared" si="127"/>
        <v>0</v>
      </c>
    </row>
    <row r="4113" spans="1:7" ht="15.75" x14ac:dyDescent="0.25">
      <c r="A4113" s="15">
        <f>'PEDIDO 51'!$B$2</f>
        <v>0</v>
      </c>
      <c r="B4113" s="12" t="s">
        <v>461</v>
      </c>
      <c r="C4113" s="1">
        <f>IFERROR(VLOOKUP(1225,'PEDIDO 51'!$C$2:$E$230,3,0),0)</f>
        <v>0</v>
      </c>
      <c r="D4113" s="1">
        <f>IFERROR(VLOOKUP(1226,'PEDIDO 51'!$C$2:$E$230,3,0),0)</f>
        <v>0</v>
      </c>
      <c r="E4113" s="1">
        <f>IFERROR(VLOOKUP(1227,'PEDIDO 51'!$C$2:$E$230,3,0),0)</f>
        <v>0</v>
      </c>
      <c r="F4113" s="1">
        <f>IFERROR(VLOOKUP(1228,'PEDIDO 51'!$C$2:$E$230,3,0),0)</f>
        <v>0</v>
      </c>
      <c r="G4113" s="18">
        <f t="shared" si="127"/>
        <v>0</v>
      </c>
    </row>
    <row r="4114" spans="1:7" ht="15.75" x14ac:dyDescent="0.25">
      <c r="A4114" s="15">
        <f>'PEDIDO 51'!$B$2</f>
        <v>0</v>
      </c>
      <c r="B4114" s="12" t="s">
        <v>462</v>
      </c>
      <c r="C4114" s="1">
        <f>IFERROR(VLOOKUP(1221,'PEDIDO 51'!$C$2:$E$230,3,0),0)</f>
        <v>0</v>
      </c>
      <c r="D4114" s="1">
        <f>IFERROR(VLOOKUP(1222,'PEDIDO 51'!$C$2:$E$230,3,0),0)</f>
        <v>0</v>
      </c>
      <c r="E4114" s="1">
        <f>IFERROR(VLOOKUP(1223,'PEDIDO 51'!$C$2:$E$230,3,0),0)</f>
        <v>0</v>
      </c>
      <c r="F4114" s="1">
        <f>IFERROR(VLOOKUP(1224,'PEDIDO 51'!$C$2:$E$230,3,0),0)</f>
        <v>0</v>
      </c>
      <c r="G4114" s="18">
        <f t="shared" si="127"/>
        <v>0</v>
      </c>
    </row>
    <row r="4115" spans="1:7" ht="15.75" x14ac:dyDescent="0.25">
      <c r="A4115" s="15">
        <f>'PEDIDO 51'!$B$2</f>
        <v>0</v>
      </c>
      <c r="B4115" s="12" t="s">
        <v>460</v>
      </c>
      <c r="C4115" s="1">
        <f>IFERROR(VLOOKUP(1229,'PEDIDO 51'!$C$2:$E$230,3,0),0)</f>
        <v>0</v>
      </c>
      <c r="D4115" s="1">
        <f>IFERROR(VLOOKUP(1230,'PEDIDO 51'!$C$2:$E$230,3,0),0)</f>
        <v>0</v>
      </c>
      <c r="E4115" s="1">
        <f>IFERROR(VLOOKUP(1231,'PEDIDO 51'!$C$2:$E$230,3,0),0)</f>
        <v>0</v>
      </c>
      <c r="F4115" s="1">
        <f>IFERROR(VLOOKUP(1232,'PEDIDO 51'!$C$2:$E$230,3,0),0)</f>
        <v>0</v>
      </c>
      <c r="G4115" s="18">
        <f t="shared" si="127"/>
        <v>0</v>
      </c>
    </row>
    <row r="4116" spans="1:7" ht="15.75" x14ac:dyDescent="0.25">
      <c r="A4116" s="15">
        <f>'PEDIDO 51'!$B$2</f>
        <v>0</v>
      </c>
      <c r="B4116" s="12" t="s">
        <v>463</v>
      </c>
      <c r="C4116" s="1">
        <f>IFERROR(VLOOKUP(1233,'PEDIDO 51'!$C$2:$E$230,3,0),0)</f>
        <v>0</v>
      </c>
      <c r="D4116" s="1">
        <f>IFERROR(VLOOKUP(1234,'PEDIDO 51'!$C$2:$E$230,3,0),0)</f>
        <v>0</v>
      </c>
      <c r="E4116" s="1">
        <f>IFERROR(VLOOKUP(1235,'PEDIDO 51'!$C$2:$E$230,3,0),0)</f>
        <v>0</v>
      </c>
      <c r="F4116" s="1">
        <f>IFERROR(VLOOKUP(1236,'PEDIDO 51'!$C$2:$E$230,3,0),0)</f>
        <v>0</v>
      </c>
      <c r="G4116" s="18">
        <f t="shared" si="127"/>
        <v>0</v>
      </c>
    </row>
    <row r="4117" spans="1:7" ht="15.75" x14ac:dyDescent="0.25">
      <c r="A4117" s="15">
        <f>'PEDIDO 51'!$B$2</f>
        <v>0</v>
      </c>
      <c r="B4117" s="12" t="s">
        <v>464</v>
      </c>
      <c r="C4117" s="1">
        <f>IFERROR(VLOOKUP(1237,'PEDIDO 51'!$C$2:$E$230,3,0),0)</f>
        <v>0</v>
      </c>
      <c r="D4117" s="1">
        <f>IFERROR(VLOOKUP(1238,'PEDIDO 51'!$C$2:$E$230,3,0),0)</f>
        <v>0</v>
      </c>
      <c r="E4117" s="1">
        <f>IFERROR(VLOOKUP(1239,'PEDIDO 51'!$C$2:$E$230,3,0),0)</f>
        <v>0</v>
      </c>
      <c r="F4117" s="1">
        <f>IFERROR(VLOOKUP(1240,'PEDIDO 51'!$C$2:$E$230,3,0),0)</f>
        <v>0</v>
      </c>
      <c r="G4117" s="18">
        <f t="shared" ref="G4117:G4129" si="128">SUM(C4117+D4117+E4117+F4117)</f>
        <v>0</v>
      </c>
    </row>
    <row r="4118" spans="1:7" ht="15.75" x14ac:dyDescent="0.25">
      <c r="A4118" s="15">
        <f>'PEDIDO 51'!$B$2</f>
        <v>0</v>
      </c>
      <c r="B4118" s="12" t="s">
        <v>465</v>
      </c>
      <c r="C4118" s="1">
        <f>IFERROR(VLOOKUP(1241,'PEDIDO 51'!$C$2:$E$230,3,0),0)</f>
        <v>0</v>
      </c>
      <c r="D4118" s="1">
        <f>IFERROR(VLOOKUP(1242,'PEDIDO 51'!$C$2:$E$230,3,0),0)</f>
        <v>0</v>
      </c>
      <c r="E4118" s="1">
        <f>IFERROR(VLOOKUP(1243,'PEDIDO 51'!$C$2:$E$230,3,0),0)</f>
        <v>0</v>
      </c>
      <c r="F4118" s="1">
        <f>IFERROR(VLOOKUP(1244,'PEDIDO 51'!$C$2:$E$230,3,0),0)</f>
        <v>0</v>
      </c>
      <c r="G4118" s="18">
        <f t="shared" si="128"/>
        <v>0</v>
      </c>
    </row>
    <row r="4119" spans="1:7" ht="15.75" x14ac:dyDescent="0.25">
      <c r="A4119" s="15">
        <f>'PEDIDO 51'!$B$2</f>
        <v>0</v>
      </c>
      <c r="B4119" s="12" t="s">
        <v>466</v>
      </c>
      <c r="C4119" s="1">
        <f>IFERROR(VLOOKUP(1245,'PEDIDO 51'!$C$2:$E$230,3,0),0)</f>
        <v>0</v>
      </c>
      <c r="D4119" s="1">
        <f>IFERROR(VLOOKUP(1246,'PEDIDO 51'!$C$2:$E$230,3,0),0)</f>
        <v>0</v>
      </c>
      <c r="E4119" s="1">
        <f>IFERROR(VLOOKUP(1247,'PEDIDO 51'!$C$2:$E$230,3,0),0)</f>
        <v>0</v>
      </c>
      <c r="F4119" s="1">
        <f>IFERROR(VLOOKUP(1248,'PEDIDO 51'!$C$2:$E$230,3,0),0)</f>
        <v>0</v>
      </c>
      <c r="G4119" s="18">
        <f t="shared" si="128"/>
        <v>0</v>
      </c>
    </row>
    <row r="4120" spans="1:7" ht="15.75" x14ac:dyDescent="0.25">
      <c r="A4120" s="15">
        <f>'PEDIDO 51'!$B$2</f>
        <v>0</v>
      </c>
      <c r="B4120" s="12" t="s">
        <v>467</v>
      </c>
      <c r="C4120" s="1">
        <f>IFERROR(VLOOKUP(25714,'PEDIDO 51'!$C$2:$E$230,3,0),0)</f>
        <v>0</v>
      </c>
      <c r="D4120" s="1"/>
      <c r="E4120" s="1"/>
      <c r="F4120" s="1"/>
      <c r="G4120" s="18">
        <f t="shared" si="128"/>
        <v>0</v>
      </c>
    </row>
    <row r="4121" spans="1:7" ht="15.75" x14ac:dyDescent="0.25">
      <c r="A4121" s="15">
        <f>'PEDIDO 51'!$B$2</f>
        <v>0</v>
      </c>
      <c r="B4121" s="12" t="s">
        <v>468</v>
      </c>
      <c r="C4121" s="1">
        <f>IFERROR(VLOOKUP(25712,'PEDIDO 51'!$C$2:$E$230,3,0),0)</f>
        <v>0</v>
      </c>
      <c r="D4121" s="1"/>
      <c r="E4121" s="1"/>
      <c r="F4121" s="1"/>
      <c r="G4121" s="18">
        <f t="shared" si="128"/>
        <v>0</v>
      </c>
    </row>
    <row r="4122" spans="1:7" ht="15.75" x14ac:dyDescent="0.25">
      <c r="A4122" s="15">
        <f>'PEDIDO 51'!$B$2</f>
        <v>0</v>
      </c>
      <c r="B4122" s="12" t="s">
        <v>469</v>
      </c>
      <c r="C4122" s="1">
        <f>IFERROR(VLOOKUP(25713,'PEDIDO 51'!$C$2:$E$230,3,0),0)</f>
        <v>0</v>
      </c>
      <c r="D4122" s="1"/>
      <c r="E4122" s="1"/>
      <c r="F4122" s="1"/>
      <c r="G4122" s="18">
        <f t="shared" si="128"/>
        <v>0</v>
      </c>
    </row>
    <row r="4123" spans="1:7" ht="15.75" x14ac:dyDescent="0.25">
      <c r="A4123" s="15">
        <f>'PEDIDO 51'!$B$2</f>
        <v>0</v>
      </c>
      <c r="B4123" s="12" t="s">
        <v>470</v>
      </c>
      <c r="C4123" s="1">
        <f>IFERROR(VLOOKUP(1260,'PEDIDO 51'!$C$2:$E$230,3,0),0)</f>
        <v>0</v>
      </c>
      <c r="D4123" s="1"/>
      <c r="E4123" s="1"/>
      <c r="F4123" s="1"/>
      <c r="G4123" s="18">
        <f t="shared" si="128"/>
        <v>0</v>
      </c>
    </row>
    <row r="4124" spans="1:7" ht="15.75" x14ac:dyDescent="0.25">
      <c r="A4124" s="15">
        <f>'PEDIDO 51'!$B$2</f>
        <v>0</v>
      </c>
      <c r="B4124" s="12" t="s">
        <v>471</v>
      </c>
      <c r="C4124" s="1">
        <f>IFERROR(VLOOKUP(1261,'PEDIDO 51'!$C$2:$E$230,3,0),0)</f>
        <v>0</v>
      </c>
      <c r="D4124" s="1"/>
      <c r="E4124" s="1"/>
      <c r="F4124" s="1"/>
      <c r="G4124" s="18">
        <f t="shared" si="128"/>
        <v>0</v>
      </c>
    </row>
    <row r="4125" spans="1:7" ht="15.75" x14ac:dyDescent="0.25">
      <c r="A4125" s="15">
        <f>'PEDIDO 51'!$B$2</f>
        <v>0</v>
      </c>
      <c r="B4125" s="12" t="s">
        <v>472</v>
      </c>
      <c r="C4125" s="1">
        <f>IFERROR(VLOOKUP(1262,'PEDIDO 51'!$C$2:$E$230,3,0),0)</f>
        <v>0</v>
      </c>
      <c r="D4125" s="1"/>
      <c r="E4125" s="1"/>
      <c r="F4125" s="1"/>
      <c r="G4125" s="18">
        <f t="shared" si="128"/>
        <v>0</v>
      </c>
    </row>
    <row r="4126" spans="1:7" ht="15.75" x14ac:dyDescent="0.25">
      <c r="A4126" s="15">
        <f>'PEDIDO 51'!$B$2</f>
        <v>0</v>
      </c>
      <c r="B4126" s="12" t="s">
        <v>473</v>
      </c>
      <c r="C4126" s="1">
        <f>IFERROR(VLOOKUP(1263,'PEDIDO 51'!$C$2:$E$230,3,0),0)</f>
        <v>0</v>
      </c>
      <c r="D4126" s="1"/>
      <c r="E4126" s="1"/>
      <c r="F4126" s="1"/>
      <c r="G4126" s="18">
        <f t="shared" si="128"/>
        <v>0</v>
      </c>
    </row>
    <row r="4127" spans="1:7" ht="15.75" x14ac:dyDescent="0.25">
      <c r="A4127" s="15">
        <f>'PEDIDO 51'!$B$2</f>
        <v>0</v>
      </c>
      <c r="B4127" s="12" t="s">
        <v>474</v>
      </c>
      <c r="C4127" s="1">
        <f>IFERROR(VLOOKUP(1264,'PEDIDO 51'!$C$2:$E$230,3,0),0)</f>
        <v>0</v>
      </c>
      <c r="D4127" s="1"/>
      <c r="E4127" s="1"/>
      <c r="F4127" s="1"/>
      <c r="G4127" s="18">
        <f t="shared" si="128"/>
        <v>0</v>
      </c>
    </row>
    <row r="4128" spans="1:7" ht="15.75" x14ac:dyDescent="0.25">
      <c r="A4128" s="15">
        <f>'PEDIDO 51'!$B$2</f>
        <v>0</v>
      </c>
      <c r="B4128" s="12" t="s">
        <v>475</v>
      </c>
      <c r="C4128" s="1">
        <f>IFERROR(VLOOKUP(1265,'PEDIDO 51'!$C$2:$E$230,3,0),0)</f>
        <v>0</v>
      </c>
      <c r="D4128" s="1"/>
      <c r="E4128" s="1"/>
      <c r="F4128" s="1"/>
      <c r="G4128" s="18">
        <f t="shared" si="128"/>
        <v>0</v>
      </c>
    </row>
    <row r="4129" spans="1:7" ht="15.75" x14ac:dyDescent="0.25">
      <c r="A4129" s="15">
        <f>'PEDIDO 51'!$B$2</f>
        <v>0</v>
      </c>
      <c r="B4129" s="12" t="s">
        <v>476</v>
      </c>
      <c r="C4129" s="1">
        <f>IFERROR(VLOOKUP(1266,'PEDIDO 51'!$C$2:$E$230,3,0),0)</f>
        <v>0</v>
      </c>
      <c r="D4129" s="1"/>
      <c r="E4129" s="1"/>
      <c r="F4129" s="1"/>
      <c r="G4129" s="18">
        <f t="shared" si="128"/>
        <v>0</v>
      </c>
    </row>
    <row r="4130" spans="1:7" ht="15.75" x14ac:dyDescent="0.25">
      <c r="A4130" s="15">
        <f>'PEDIDO 51'!$B$2</f>
        <v>0</v>
      </c>
      <c r="B4130" s="12" t="s">
        <v>477</v>
      </c>
      <c r="C4130" s="1">
        <f>IFERROR(VLOOKUP(1268,'PEDIDO 51'!$C$2:$E$230,3,0),0)</f>
        <v>0</v>
      </c>
      <c r="D4130" s="1">
        <f>IFERROR(VLOOKUP(1269,'PEDIDO 51'!$C$2:$E$230,3,0),0)</f>
        <v>0</v>
      </c>
      <c r="E4130" s="1">
        <f>IFERROR(VLOOKUP(1270,'PEDIDO 51'!$C$2:$E$230,3,0),0)</f>
        <v>0</v>
      </c>
      <c r="F4130" s="1">
        <f>IFERROR(VLOOKUP(1271,'PEDIDO 51'!$C$2:$E$230,3,0),0)</f>
        <v>0</v>
      </c>
      <c r="G4130" s="18">
        <f t="shared" ref="G4130" si="129">SUM(C4130+D4130+E4130+F4130)</f>
        <v>0</v>
      </c>
    </row>
    <row r="4133" spans="1:7" ht="15.75" x14ac:dyDescent="0.25">
      <c r="A4133" s="15">
        <f>'PEDIDO 52'!$B$2</f>
        <v>0</v>
      </c>
      <c r="B4133" s="12" t="s">
        <v>399</v>
      </c>
      <c r="C4133" s="1">
        <f>IFERROR(VLOOKUP(1,'PEDIDO 52'!$C$2:$E$230,3,0),0)</f>
        <v>0</v>
      </c>
      <c r="D4133" s="1">
        <f>IFERROR(VLOOKUP(2,'PEDIDO 52'!$C$2:$E$230,3,0),0)</f>
        <v>0</v>
      </c>
      <c r="E4133" s="1">
        <f>IFERROR(VLOOKUP(3,'PEDIDO 52'!$C$2:$E$230,3,0),0)</f>
        <v>0</v>
      </c>
      <c r="F4133" s="1">
        <f>IFERROR(VLOOKUP(282,'PEDIDO 52'!$C$2:$E$230,3,0),0)</f>
        <v>0</v>
      </c>
      <c r="G4133" s="18">
        <f t="shared" ref="G4133:G4196" si="130">SUM(C4133+D4133+E4133+F4133)</f>
        <v>0</v>
      </c>
    </row>
    <row r="4134" spans="1:7" ht="15.75" x14ac:dyDescent="0.25">
      <c r="A4134" s="15">
        <f>'PEDIDO 52'!$B$2</f>
        <v>0</v>
      </c>
      <c r="B4134" s="12" t="s">
        <v>400</v>
      </c>
      <c r="C4134" s="1">
        <f>IFERROR(VLOOKUP(5,'PEDIDO 52'!$C$2:$E$230,3,0),0)</f>
        <v>0</v>
      </c>
      <c r="D4134" s="1">
        <f>IFERROR(VLOOKUP(6,'PEDIDO 52'!$C$2:$E$230,3,0),0)</f>
        <v>0</v>
      </c>
      <c r="E4134" s="1">
        <f>IFERROR(VLOOKUP(7,'PEDIDO 52'!$C$2:$E$230,3,0),0)</f>
        <v>0</v>
      </c>
      <c r="F4134" s="1">
        <f>IFERROR(VLOOKUP(258,'PEDIDO 52'!$C$2:$E$230,3,0),0)</f>
        <v>0</v>
      </c>
      <c r="G4134" s="18">
        <f t="shared" si="130"/>
        <v>0</v>
      </c>
    </row>
    <row r="4135" spans="1:7" ht="15.75" x14ac:dyDescent="0.25">
      <c r="A4135" s="15">
        <f>'PEDIDO 52'!$B$2</f>
        <v>0</v>
      </c>
      <c r="B4135" s="12" t="s">
        <v>401</v>
      </c>
      <c r="C4135" s="1">
        <f>IFERROR(VLOOKUP(13,'PEDIDO 52'!$C$2:$E$230,3,0),0)</f>
        <v>0</v>
      </c>
      <c r="D4135" s="1">
        <f>IFERROR(VLOOKUP(14,'PEDIDO 52'!$C$2:$E$230,3,0),0)</f>
        <v>0</v>
      </c>
      <c r="E4135" s="1">
        <f>IFERROR(VLOOKUP(15,'PEDIDO 52'!$C$2:$E$230,3,0),0)</f>
        <v>0</v>
      </c>
      <c r="F4135" s="1">
        <f>IFERROR(VLOOKUP(289,'PEDIDO 52'!$C$2:$E$230,3,0),0)</f>
        <v>0</v>
      </c>
      <c r="G4135" s="18">
        <f t="shared" si="130"/>
        <v>0</v>
      </c>
    </row>
    <row r="4136" spans="1:7" ht="15.75" x14ac:dyDescent="0.25">
      <c r="A4136" s="15">
        <f>'PEDIDO 52'!$B$2</f>
        <v>0</v>
      </c>
      <c r="B4136" s="12" t="s">
        <v>402</v>
      </c>
      <c r="C4136" s="1">
        <f>IFERROR(VLOOKUP(267,'PEDIDO 52'!$C$2:$E$230,3,0),0)</f>
        <v>0</v>
      </c>
      <c r="D4136" s="1">
        <f>IFERROR(VLOOKUP(268,'PEDIDO 52'!$C$2:$E$230,3,0),0)</f>
        <v>0</v>
      </c>
      <c r="E4136" s="1">
        <f>IFERROR(VLOOKUP(270,'PEDIDO 52'!$C$2:$E$230,3,0),0)</f>
        <v>0</v>
      </c>
      <c r="F4136" s="1">
        <f>IFERROR(VLOOKUP(269,'PEDIDO 52'!$C$2:$E$230,3,0),0)</f>
        <v>0</v>
      </c>
      <c r="G4136" s="18">
        <f t="shared" si="130"/>
        <v>0</v>
      </c>
    </row>
    <row r="4137" spans="1:7" ht="15.75" x14ac:dyDescent="0.25">
      <c r="A4137" s="15">
        <f>'PEDIDO 52'!$B$2</f>
        <v>0</v>
      </c>
      <c r="B4137" s="12" t="s">
        <v>403</v>
      </c>
      <c r="C4137" s="1">
        <f>IFERROR(VLOOKUP(17,'PEDIDO 52'!$C$2:$E$230,3,0),0)</f>
        <v>0</v>
      </c>
      <c r="D4137" s="1">
        <f>IFERROR(VLOOKUP(18,'PEDIDO 52'!$C$2:$E$230,3,0),0)</f>
        <v>0</v>
      </c>
      <c r="E4137" s="1">
        <f>IFERROR(VLOOKUP(19,'PEDIDO 52'!$C$2:$E$230,3,0),0)</f>
        <v>0</v>
      </c>
      <c r="F4137" s="1">
        <f>IFERROR(VLOOKUP(290,'PEDIDO 52'!$C$2:$E$230,3,0),0)</f>
        <v>0</v>
      </c>
      <c r="G4137" s="18">
        <f t="shared" si="130"/>
        <v>0</v>
      </c>
    </row>
    <row r="4138" spans="1:7" ht="15.75" x14ac:dyDescent="0.25">
      <c r="A4138" s="15">
        <f>'PEDIDO 52'!$B$2</f>
        <v>0</v>
      </c>
      <c r="B4138" s="12" t="s">
        <v>404</v>
      </c>
      <c r="C4138" s="1">
        <f>IFERROR(VLOOKUP(23,'PEDIDO 52'!$C$2:$E$230,3,0),0)</f>
        <v>0</v>
      </c>
      <c r="D4138" s="1">
        <f>IFERROR(VLOOKUP(24,'PEDIDO 52'!$C$2:$E$230,3,0),0)</f>
        <v>0</v>
      </c>
      <c r="E4138" s="1">
        <f>IFERROR(VLOOKUP(25,'PEDIDO 52'!$C$2:$E$230,3,0),0)</f>
        <v>0</v>
      </c>
      <c r="F4138" s="1">
        <f>IFERROR(VLOOKUP(291,'PEDIDO 52'!$C$2:$E$230,3,0),0)</f>
        <v>0</v>
      </c>
      <c r="G4138" s="18">
        <f t="shared" si="130"/>
        <v>0</v>
      </c>
    </row>
    <row r="4139" spans="1:7" ht="15.75" x14ac:dyDescent="0.25">
      <c r="A4139" s="15">
        <f>'PEDIDO 52'!$B$2</f>
        <v>0</v>
      </c>
      <c r="B4139" s="12" t="s">
        <v>405</v>
      </c>
      <c r="C4139" s="1">
        <f>IFERROR(VLOOKUP(27,'PEDIDO 52'!$C$2:$E$230,3,0),0)</f>
        <v>0</v>
      </c>
      <c r="D4139" s="1">
        <f>IFERROR(VLOOKUP(28,'PEDIDO 52'!$C$2:$E$230,3,0),0)</f>
        <v>0</v>
      </c>
      <c r="E4139" s="1">
        <f>IFERROR(VLOOKUP(29,'PEDIDO 52'!$C$2:$E$230,3,0),0)</f>
        <v>0</v>
      </c>
      <c r="F4139" s="1">
        <f>IFERROR(VLOOKUP(292,'PEDIDO 52'!$C$2:$E$230,3,0),0)</f>
        <v>0</v>
      </c>
      <c r="G4139" s="18">
        <f t="shared" si="130"/>
        <v>0</v>
      </c>
    </row>
    <row r="4140" spans="1:7" ht="15.75" x14ac:dyDescent="0.25">
      <c r="A4140" s="15">
        <f>'PEDIDO 52'!$B$2</f>
        <v>0</v>
      </c>
      <c r="B4140" s="12" t="s">
        <v>406</v>
      </c>
      <c r="C4140" s="1">
        <f>IFERROR(VLOOKUP(227,'PEDIDO 52'!$C$2:$E$230,3,0),0)</f>
        <v>0</v>
      </c>
      <c r="D4140" s="1">
        <f>IFERROR(VLOOKUP(228,'PEDIDO 52'!$C$2:$E$230,3,0),0)</f>
        <v>0</v>
      </c>
      <c r="E4140" s="1">
        <f>IFERROR(VLOOKUP(229,'PEDIDO 52'!$C$2:$E$230,3,0),0)</f>
        <v>0</v>
      </c>
      <c r="F4140" s="1">
        <f>IFERROR(VLOOKUP(230,'PEDIDO 52'!$C$2:$E$230,3,0),0)</f>
        <v>0</v>
      </c>
      <c r="G4140" s="18">
        <f t="shared" si="130"/>
        <v>0</v>
      </c>
    </row>
    <row r="4141" spans="1:7" ht="15.75" x14ac:dyDescent="0.25">
      <c r="A4141" s="15">
        <f>'PEDIDO 52'!$B$2</f>
        <v>0</v>
      </c>
      <c r="B4141" s="12" t="s">
        <v>407</v>
      </c>
      <c r="C4141" s="1">
        <f>IFERROR(VLOOKUP(231,'PEDIDO 52'!$C$2:$E$230,3,0),0)</f>
        <v>0</v>
      </c>
      <c r="D4141" s="1">
        <f>IFERROR(VLOOKUP(232,'PEDIDO 52'!$C$2:$E$230,3,0),0)</f>
        <v>0</v>
      </c>
      <c r="E4141" s="1">
        <f>IFERROR(VLOOKUP(234,'PEDIDO 52'!$C$2:$E$230,3,0),0)</f>
        <v>0</v>
      </c>
      <c r="F4141" s="1">
        <f>IFERROR(VLOOKUP(233,'PEDIDO 52'!$C$2:$E$230,3,0),0)</f>
        <v>0</v>
      </c>
      <c r="G4141" s="18">
        <f t="shared" si="130"/>
        <v>0</v>
      </c>
    </row>
    <row r="4142" spans="1:7" ht="15.75" x14ac:dyDescent="0.25">
      <c r="A4142" s="15">
        <f>'PEDIDO 52'!$B$2</f>
        <v>0</v>
      </c>
      <c r="B4142" s="12" t="s">
        <v>408</v>
      </c>
      <c r="C4142" s="1">
        <f>IFERROR(VLOOKUP(237,'PEDIDO 52'!$C$2:$E$230,3,0),0)</f>
        <v>0</v>
      </c>
      <c r="D4142" s="1">
        <f>IFERROR(VLOOKUP(238,'PEDIDO 52'!$C$2:$E$230,3,0),0)</f>
        <v>0</v>
      </c>
      <c r="E4142" s="1">
        <f>IFERROR(VLOOKUP(240,'PEDIDO 52'!$C$2:$E$230,3,0),0)</f>
        <v>0</v>
      </c>
      <c r="F4142" s="1">
        <f>IFERROR(VLOOKUP(239,'PEDIDO 52'!$C$2:$E$230,3,0),0)</f>
        <v>0</v>
      </c>
      <c r="G4142" s="18">
        <f t="shared" si="130"/>
        <v>0</v>
      </c>
    </row>
    <row r="4143" spans="1:7" ht="15.75" x14ac:dyDescent="0.25">
      <c r="A4143" s="15">
        <f>'PEDIDO 52'!$B$2</f>
        <v>0</v>
      </c>
      <c r="B4143" s="12" t="s">
        <v>409</v>
      </c>
      <c r="C4143" s="1">
        <f>IFERROR(VLOOKUP(25707,'PEDIDO 52'!$C$2:$E$230,3,0),0)</f>
        <v>0</v>
      </c>
      <c r="D4143" s="1">
        <f>IFERROR(VLOOKUP(25708,'PEDIDO 52'!$C$2:$E$230,3,0),0)</f>
        <v>0</v>
      </c>
      <c r="E4143" s="1">
        <f>IFERROR(VLOOKUP(25710,'PEDIDO 52'!$C$2:$E$230,3,0),0)</f>
        <v>0</v>
      </c>
      <c r="F4143" s="1">
        <f>IFERROR(VLOOKUP(25709,'PEDIDO 52'!$C$2:$E$230,3,0),0)</f>
        <v>0</v>
      </c>
      <c r="G4143" s="18">
        <f t="shared" si="130"/>
        <v>0</v>
      </c>
    </row>
    <row r="4144" spans="1:7" ht="15.75" x14ac:dyDescent="0.25">
      <c r="A4144" s="15">
        <f>'PEDIDO 52'!$B$2</f>
        <v>0</v>
      </c>
      <c r="B4144" s="12" t="s">
        <v>410</v>
      </c>
      <c r="C4144" s="1">
        <f>IFERROR(VLOOKUP(25711,'PEDIDO 52'!$C$2:$E$230,3,0),0)</f>
        <v>0</v>
      </c>
      <c r="D4144" s="1"/>
      <c r="E4144" s="1"/>
      <c r="F4144" s="1"/>
      <c r="G4144" s="18">
        <f t="shared" si="130"/>
        <v>0</v>
      </c>
    </row>
    <row r="4145" spans="1:7" ht="15.75" x14ac:dyDescent="0.25">
      <c r="A4145" s="15">
        <f>'PEDIDO 52'!$B$2</f>
        <v>0</v>
      </c>
      <c r="B4145" s="12" t="s">
        <v>411</v>
      </c>
      <c r="C4145" s="1">
        <f>IFERROR(VLOOKUP(35,'PEDIDO 52'!$C$2:$E$230,3,0),0)</f>
        <v>0</v>
      </c>
      <c r="D4145" s="1">
        <f>IFERROR(VLOOKUP(36,'PEDIDO 52'!$C$2:$E$230,3,0),0)</f>
        <v>0</v>
      </c>
      <c r="E4145" s="1">
        <f>IFERROR(VLOOKUP(37,'PEDIDO 52'!$C$2:$E$230,3,0),0)</f>
        <v>0</v>
      </c>
      <c r="F4145" s="1">
        <f>IFERROR(VLOOKUP(294,'PEDIDO 52'!$C$2:$E$230,3,0),0)</f>
        <v>0</v>
      </c>
      <c r="G4145" s="18">
        <f t="shared" si="130"/>
        <v>0</v>
      </c>
    </row>
    <row r="4146" spans="1:7" ht="15.75" x14ac:dyDescent="0.25">
      <c r="A4146" s="15">
        <f>'PEDIDO 52'!$B$2</f>
        <v>0</v>
      </c>
      <c r="B4146" s="12" t="s">
        <v>412</v>
      </c>
      <c r="C4146" s="1">
        <f>IFERROR(VLOOKUP(39,'PEDIDO 52'!$C$2:$E$230,3,0),0)</f>
        <v>0</v>
      </c>
      <c r="D4146" s="1">
        <f>IFERROR(VLOOKUP(40,'PEDIDO 52'!$C$2:$E$230,3,0),0)</f>
        <v>0</v>
      </c>
      <c r="E4146" s="1">
        <f>IFERROR(VLOOKUP(42,'PEDIDO 52'!$C$2:$E$230,3,0),0)</f>
        <v>0</v>
      </c>
      <c r="F4146" s="1">
        <f>IFERROR(VLOOKUP(295,'PEDIDO 52'!$C$2:$E$230,3,0),0)</f>
        <v>0</v>
      </c>
      <c r="G4146" s="18">
        <f t="shared" si="130"/>
        <v>0</v>
      </c>
    </row>
    <row r="4147" spans="1:7" ht="15.75" x14ac:dyDescent="0.25">
      <c r="A4147" s="15">
        <f>'PEDIDO 52'!$B$2</f>
        <v>0</v>
      </c>
      <c r="B4147" s="12" t="s">
        <v>413</v>
      </c>
      <c r="C4147" s="1">
        <f>IFERROR(VLOOKUP(44,'PEDIDO 52'!$C$2:$E$230,3,0),0)</f>
        <v>0</v>
      </c>
      <c r="D4147" s="1">
        <f>IFERROR(VLOOKUP(45,'PEDIDO 52'!$C$2:$E$230,3,0),0)</f>
        <v>0</v>
      </c>
      <c r="E4147" s="1">
        <f>IFERROR(VLOOKUP(46,'PEDIDO 52'!$C$2:$E$230,3,0),0)</f>
        <v>0</v>
      </c>
      <c r="F4147" s="1">
        <f>IFERROR(VLOOKUP(283,'PEDIDO 52'!$C$2:$E$230,3,0),0)</f>
        <v>0</v>
      </c>
      <c r="G4147" s="18">
        <f t="shared" si="130"/>
        <v>0</v>
      </c>
    </row>
    <row r="4148" spans="1:7" ht="15.75" x14ac:dyDescent="0.25">
      <c r="A4148" s="15">
        <f>'PEDIDO 52'!$B$2</f>
        <v>0</v>
      </c>
      <c r="B4148" s="12" t="s">
        <v>414</v>
      </c>
      <c r="C4148" s="1">
        <f>IFERROR(VLOOKUP(48,'PEDIDO 52'!$C$2:$E$230,3,0),0)</f>
        <v>0</v>
      </c>
      <c r="D4148" s="1">
        <f>IFERROR(VLOOKUP(49,'PEDIDO 52'!$C$2:$E$230,3,0),0)</f>
        <v>0</v>
      </c>
      <c r="E4148" s="1">
        <f>IFERROR(VLOOKUP(50,'PEDIDO 52'!$C$2:$E$230,3,0),0)</f>
        <v>0</v>
      </c>
      <c r="F4148" s="1">
        <f>IFERROR(VLOOKUP(298,'PEDIDO 52'!$C$2:$E$230,3,0),0)</f>
        <v>0</v>
      </c>
      <c r="G4148" s="18">
        <f t="shared" si="130"/>
        <v>0</v>
      </c>
    </row>
    <row r="4149" spans="1:7" ht="15.75" x14ac:dyDescent="0.25">
      <c r="A4149" s="15">
        <f>'PEDIDO 52'!$B$2</f>
        <v>0</v>
      </c>
      <c r="B4149" s="12" t="s">
        <v>415</v>
      </c>
      <c r="C4149" s="1">
        <f>IFERROR(VLOOKUP(52,'PEDIDO 52'!$C$2:$E$230,3,0),0)</f>
        <v>0</v>
      </c>
      <c r="D4149" s="1">
        <f>IFERROR(VLOOKUP(53,'PEDIDO 52'!$C$2:$E$230,3,0),0)</f>
        <v>0</v>
      </c>
      <c r="E4149" s="1">
        <f>IFERROR(VLOOKUP(54,'PEDIDO 52'!$C$2:$E$230,3,0),0)</f>
        <v>0</v>
      </c>
      <c r="F4149" s="1">
        <f>IFERROR(VLOOKUP(299,'PEDIDO 52'!$C$2:$E$230,3,0),0)</f>
        <v>0</v>
      </c>
      <c r="G4149" s="18">
        <f t="shared" si="130"/>
        <v>0</v>
      </c>
    </row>
    <row r="4150" spans="1:7" ht="15.75" x14ac:dyDescent="0.25">
      <c r="A4150" s="15">
        <f>'PEDIDO 52'!$B$2</f>
        <v>0</v>
      </c>
      <c r="B4150" s="12" t="s">
        <v>416</v>
      </c>
      <c r="C4150" s="1">
        <f>IFERROR(VLOOKUP(56,'PEDIDO 52'!$C$2:$E$230,3,0),0)</f>
        <v>0</v>
      </c>
      <c r="D4150" s="1">
        <f>IFERROR(VLOOKUP(61,'PEDIDO 52'!$C$2:$E$230,3,0),0)</f>
        <v>0</v>
      </c>
      <c r="E4150" s="1">
        <f>IFERROR(VLOOKUP(58,'PEDIDO 52'!$C$2:$E$230,3,0),0)</f>
        <v>0</v>
      </c>
      <c r="F4150" s="1">
        <f>IFERROR(VLOOKUP(300,'PEDIDO 52'!$C$2:$E$230,3,0),0)</f>
        <v>0</v>
      </c>
      <c r="G4150" s="18">
        <f t="shared" si="130"/>
        <v>0</v>
      </c>
    </row>
    <row r="4151" spans="1:7" ht="15.75" x14ac:dyDescent="0.25">
      <c r="A4151" s="15">
        <f>'PEDIDO 52'!$B$2</f>
        <v>0</v>
      </c>
      <c r="B4151" s="12" t="s">
        <v>417</v>
      </c>
      <c r="C4151" s="1">
        <f>IFERROR(VLOOKUP(60,'PEDIDO 52'!$C$2:$E$230,3,0),0)</f>
        <v>0</v>
      </c>
      <c r="D4151" s="1">
        <f>IFERROR(VLOOKUP(120,'PEDIDO 52'!$C$2:$E$230,3,0),0)</f>
        <v>0</v>
      </c>
      <c r="E4151" s="1">
        <f>IFERROR(VLOOKUP(62,'PEDIDO 52'!$C$2:$E$230,3,0),0)</f>
        <v>0</v>
      </c>
      <c r="F4151" s="1">
        <f>IFERROR(VLOOKUP(301,'PEDIDO 52'!$C$2:$E$230,3,0),0)</f>
        <v>0</v>
      </c>
      <c r="G4151" s="18">
        <f t="shared" si="130"/>
        <v>0</v>
      </c>
    </row>
    <row r="4152" spans="1:7" ht="15.75" x14ac:dyDescent="0.25">
      <c r="A4152" s="15">
        <f>'PEDIDO 52'!$B$2</f>
        <v>0</v>
      </c>
      <c r="B4152" s="12" t="s">
        <v>426</v>
      </c>
      <c r="C4152" s="1">
        <f>IFERROR(VLOOKUP(112,'PEDIDO 52'!$C$2:$E$230,3,0),0)</f>
        <v>0</v>
      </c>
      <c r="D4152" s="1">
        <f>IFERROR(VLOOKUP(113,'PEDIDO 52'!$C$2:$E$230,3,0),0)</f>
        <v>0</v>
      </c>
      <c r="E4152" s="1">
        <f>IFERROR(VLOOKUP(114,'PEDIDO 52'!$C$2:$E$230,3,0),0)</f>
        <v>0</v>
      </c>
      <c r="F4152" s="1">
        <f>IFERROR(VLOOKUP(296,'PEDIDO 52'!$C$2:$E$230,3,0),0)</f>
        <v>0</v>
      </c>
      <c r="G4152" s="18">
        <f t="shared" si="130"/>
        <v>0</v>
      </c>
    </row>
    <row r="4153" spans="1:7" ht="15.75" x14ac:dyDescent="0.25">
      <c r="A4153" s="15">
        <f>'PEDIDO 52'!$B$2</f>
        <v>0</v>
      </c>
      <c r="B4153" s="12" t="s">
        <v>427</v>
      </c>
      <c r="C4153" s="1">
        <f>IFERROR(VLOOKUP(116,'PEDIDO 52'!$C$2:$E$230,3,0),0)</f>
        <v>0</v>
      </c>
      <c r="D4153" s="1">
        <f>IFERROR(VLOOKUP(117,'PEDIDO 52'!$C$2:$E$230,3,0),0)</f>
        <v>0</v>
      </c>
      <c r="E4153" s="1">
        <f>IFERROR(VLOOKUP(118,'PEDIDO 52'!$C$2:$E$230,3,0),0)</f>
        <v>0</v>
      </c>
      <c r="F4153" s="1">
        <f>IFERROR(VLOOKUP(293,'PEDIDO 52'!$C$2:$E$230,3,0),0)</f>
        <v>0</v>
      </c>
      <c r="G4153" s="18">
        <f t="shared" si="130"/>
        <v>0</v>
      </c>
    </row>
    <row r="4154" spans="1:7" ht="15.75" x14ac:dyDescent="0.25">
      <c r="A4154" s="15">
        <f>'PEDIDO 52'!$B$2</f>
        <v>0</v>
      </c>
      <c r="B4154" s="12" t="s">
        <v>418</v>
      </c>
      <c r="C4154" s="1">
        <f>IFERROR(VLOOKUP(963,'PEDIDO 52'!$C$2:$E$230,3,0),0)</f>
        <v>0</v>
      </c>
      <c r="D4154" s="1">
        <f>IFERROR(VLOOKUP(965,'PEDIDO 52'!$C$2:$E$230,3,0),0)</f>
        <v>0</v>
      </c>
      <c r="E4154" s="1">
        <f>IFERROR(VLOOKUP(966,'PEDIDO 52'!$C$2:$E$230,3,0),0)</f>
        <v>0</v>
      </c>
      <c r="F4154" s="1">
        <f>IFERROR(VLOOKUP(964,'PEDIDO 52'!$C$2:$E$230,3,0),0)</f>
        <v>0</v>
      </c>
      <c r="G4154" s="18">
        <f t="shared" si="130"/>
        <v>0</v>
      </c>
    </row>
    <row r="4155" spans="1:7" ht="15.75" x14ac:dyDescent="0.25">
      <c r="A4155" s="15">
        <f>'PEDIDO 52'!$B$2</f>
        <v>0</v>
      </c>
      <c r="B4155" s="12" t="s">
        <v>419</v>
      </c>
      <c r="C4155" s="1">
        <f>IFERROR(VLOOKUP(2042,'PEDIDO 52'!$C$2:$E$230,3,0),0)</f>
        <v>0</v>
      </c>
      <c r="D4155" s="1">
        <f>IFERROR(VLOOKUP(2041,'PEDIDO 52'!$C$2:$E$230,3,0),0)</f>
        <v>0</v>
      </c>
      <c r="E4155" s="1">
        <f>IFERROR(VLOOKUP(2043,'PEDIDO 52'!$C$2:$E$230,3,0),0)</f>
        <v>0</v>
      </c>
      <c r="F4155" s="1">
        <f>IFERROR(VLOOKUP(2040,'PEDIDO 52'!$C$2:$E$230,3,0),0)</f>
        <v>0</v>
      </c>
      <c r="G4155" s="18">
        <f t="shared" si="130"/>
        <v>0</v>
      </c>
    </row>
    <row r="4156" spans="1:7" ht="15.75" x14ac:dyDescent="0.25">
      <c r="A4156" s="15">
        <f>'PEDIDO 52'!$B$2</f>
        <v>0</v>
      </c>
      <c r="B4156" s="12" t="s">
        <v>420</v>
      </c>
      <c r="C4156" s="1">
        <f>IFERROR(VLOOKUP(2045,'PEDIDO 52'!$C$2:$E$230,3,0),0)</f>
        <v>0</v>
      </c>
      <c r="D4156" s="1">
        <f>IFERROR(VLOOKUP(2046,'PEDIDO 52'!$C$2:$E$230,3,0),0)</f>
        <v>0</v>
      </c>
      <c r="E4156" s="1">
        <f>IFERROR(VLOOKUP(2047,'PEDIDO 52'!$C$2:$E$230,3,0),0)</f>
        <v>0</v>
      </c>
      <c r="F4156" s="1">
        <f>IFERROR(VLOOKUP(2048,'PEDIDO 52'!$C$2:$E$230,3,0),0)</f>
        <v>0</v>
      </c>
      <c r="G4156" s="18">
        <f t="shared" si="130"/>
        <v>0</v>
      </c>
    </row>
    <row r="4157" spans="1:7" ht="15.75" x14ac:dyDescent="0.25">
      <c r="A4157" s="15">
        <f>'PEDIDO 52'!$B$2</f>
        <v>0</v>
      </c>
      <c r="B4157" s="12" t="s">
        <v>421</v>
      </c>
      <c r="C4157" s="1">
        <f>IFERROR(VLOOKUP(2050,'PEDIDO 52'!$C$2:$E$230,3,0),0)</f>
        <v>0</v>
      </c>
      <c r="D4157" s="1">
        <f>IFERROR(VLOOKUP(2051,'PEDIDO 52'!$C$2:$E$230,3,0),0)</f>
        <v>0</v>
      </c>
      <c r="E4157" s="1">
        <f>IFERROR(VLOOKUP(2052,'PEDIDO 52'!$C$2:$E$230,3,0),0)</f>
        <v>0</v>
      </c>
      <c r="F4157" s="1">
        <f>IFERROR(VLOOKUP(2053,'PEDIDO 52'!$C$2:$E$230,3,0),0)</f>
        <v>0</v>
      </c>
      <c r="G4157" s="18">
        <f t="shared" si="130"/>
        <v>0</v>
      </c>
    </row>
    <row r="4158" spans="1:7" ht="15.75" x14ac:dyDescent="0.25">
      <c r="A4158" s="15">
        <f>'PEDIDO 52'!$B$2</f>
        <v>0</v>
      </c>
      <c r="B4158" s="12" t="s">
        <v>422</v>
      </c>
      <c r="C4158" s="1">
        <f>IFERROR(VLOOKUP(216,'PEDIDO 52'!$C$2:$E$230,3,0),0)</f>
        <v>0</v>
      </c>
      <c r="D4158" s="1">
        <f>IFERROR(VLOOKUP(217,'PEDIDO 52'!$C$2:$E$230,3,0),0)</f>
        <v>0</v>
      </c>
      <c r="E4158" s="1">
        <f>IFERROR(VLOOKUP(218,'PEDIDO 52'!$C$2:$E$230,3,0),0)</f>
        <v>0</v>
      </c>
      <c r="F4158" s="1">
        <f>IFERROR(VLOOKUP(305,'PEDIDO 52'!$C$2:$E$230,3,0),0)</f>
        <v>0</v>
      </c>
      <c r="G4158" s="18">
        <f t="shared" si="130"/>
        <v>0</v>
      </c>
    </row>
    <row r="4159" spans="1:7" ht="15.75" x14ac:dyDescent="0.25">
      <c r="A4159" s="15">
        <f>'PEDIDO 52'!$B$2</f>
        <v>0</v>
      </c>
      <c r="B4159" s="12" t="s">
        <v>423</v>
      </c>
      <c r="C4159" s="1">
        <f>IFERROR(VLOOKUP(100,'PEDIDO 52'!$C$2:$E$230,3,0),0)</f>
        <v>0</v>
      </c>
      <c r="D4159" s="1">
        <f>IFERROR(VLOOKUP(101,'PEDIDO 52'!$C$2:$E$230,3,0),0)</f>
        <v>0</v>
      </c>
      <c r="E4159" s="1">
        <f>IFERROR(VLOOKUP(102,'PEDIDO 52'!$C$2:$E$230,3,0),0)</f>
        <v>0</v>
      </c>
      <c r="F4159" s="1">
        <f>IFERROR(VLOOKUP(306,'PEDIDO 52'!$C$2:$E$230,3,0),0)</f>
        <v>0</v>
      </c>
      <c r="G4159" s="18">
        <f t="shared" si="130"/>
        <v>0</v>
      </c>
    </row>
    <row r="4160" spans="1:7" ht="15.75" x14ac:dyDescent="0.25">
      <c r="A4160" s="15">
        <f>'PEDIDO 52'!$B$2</f>
        <v>0</v>
      </c>
      <c r="B4160" s="12" t="s">
        <v>424</v>
      </c>
      <c r="C4160" s="1">
        <f>IFERROR(VLOOKUP(104,'PEDIDO 52'!$C$2:$E$230,3,0),0)</f>
        <v>0</v>
      </c>
      <c r="D4160" s="1">
        <f>IFERROR(VLOOKUP(105,'PEDIDO 52'!$C$2:$E$230,3,0),0)</f>
        <v>0</v>
      </c>
      <c r="E4160" s="1">
        <f>IFERROR(VLOOKUP(106,'PEDIDO 52'!$C$2:$E$230,3,0),0)</f>
        <v>0</v>
      </c>
      <c r="F4160" s="1">
        <f>IFERROR(VLOOKUP(307,'PEDIDO 52'!$C$2:$E$230,3,0),0)</f>
        <v>0</v>
      </c>
      <c r="G4160" s="18">
        <f t="shared" si="130"/>
        <v>0</v>
      </c>
    </row>
    <row r="4161" spans="1:7" ht="15.75" x14ac:dyDescent="0.25">
      <c r="A4161" s="15">
        <f>'PEDIDO 52'!$B$2</f>
        <v>0</v>
      </c>
      <c r="B4161" s="12" t="s">
        <v>425</v>
      </c>
      <c r="C4161" s="1">
        <f>IFERROR(VLOOKUP(400,'PEDIDO 52'!$C$2:$E$230,3,0),0)</f>
        <v>0</v>
      </c>
      <c r="D4161" s="1">
        <f>IFERROR(VLOOKUP(401,'PEDIDO 52'!$C$2:$E$230,3,0),0)</f>
        <v>0</v>
      </c>
      <c r="E4161" s="1">
        <f>IFERROR(VLOOKUP(402,'PEDIDO 52'!$C$2:$E$230,3,0),0)</f>
        <v>0</v>
      </c>
      <c r="F4161" s="1">
        <f>IFERROR(VLOOKUP(403,'PEDIDO 52'!$C$2:$E$230,3,0),0)</f>
        <v>0</v>
      </c>
      <c r="G4161" s="18">
        <f t="shared" si="130"/>
        <v>0</v>
      </c>
    </row>
    <row r="4162" spans="1:7" ht="15.75" x14ac:dyDescent="0.25">
      <c r="A4162" s="15">
        <f>'PEDIDO 52'!$B$2</f>
        <v>0</v>
      </c>
      <c r="B4162" s="12" t="s">
        <v>428</v>
      </c>
      <c r="C4162" s="1">
        <f>IFERROR(VLOOKUP(22,'PEDIDO 52'!$C$2:$E$230,3,0),0)</f>
        <v>0</v>
      </c>
      <c r="D4162" s="1"/>
      <c r="E4162" s="1"/>
      <c r="F4162" s="1"/>
      <c r="G4162" s="18">
        <f t="shared" si="130"/>
        <v>0</v>
      </c>
    </row>
    <row r="4163" spans="1:7" ht="15.75" x14ac:dyDescent="0.25">
      <c r="A4163" s="15">
        <f>'PEDIDO 52'!$B$2</f>
        <v>0</v>
      </c>
      <c r="B4163" s="12" t="s">
        <v>429</v>
      </c>
      <c r="C4163" s="1">
        <f>IFERROR(VLOOKUP(21,'PEDIDO 52'!$C$2:$E$230,3,0),0)</f>
        <v>0</v>
      </c>
      <c r="D4163" s="1"/>
      <c r="E4163" s="1"/>
      <c r="F4163" s="1"/>
      <c r="G4163" s="18">
        <f t="shared" si="130"/>
        <v>0</v>
      </c>
    </row>
    <row r="4164" spans="1:7" ht="15.75" x14ac:dyDescent="0.25">
      <c r="A4164" s="15">
        <f>'PEDIDO 52'!$B$2</f>
        <v>0</v>
      </c>
      <c r="B4164" s="12" t="s">
        <v>430</v>
      </c>
      <c r="C4164" s="1">
        <f>IFERROR(VLOOKUP(1125,'PEDIDO 52'!$C$2:$E$230,3,0),0)</f>
        <v>0</v>
      </c>
      <c r="D4164" s="1">
        <f>IFERROR(VLOOKUP(1126,'PEDIDO 52'!$C$2:$E$230,3,0),0)</f>
        <v>0</v>
      </c>
      <c r="E4164" s="1">
        <f>IFERROR(VLOOKUP(1127,'PEDIDO 52'!$C$2:$E$230,3,0),0)</f>
        <v>0</v>
      </c>
      <c r="F4164" s="1">
        <f>IFERROR(VLOOKUP(1128,'PEDIDO 52'!$C$2:$E$230,3,0),0)</f>
        <v>0</v>
      </c>
      <c r="G4164" s="18">
        <f t="shared" si="130"/>
        <v>0</v>
      </c>
    </row>
    <row r="4165" spans="1:7" ht="15.75" x14ac:dyDescent="0.25">
      <c r="A4165" s="15">
        <f>'PEDIDO 52'!$B$2</f>
        <v>0</v>
      </c>
      <c r="B4165" s="12" t="s">
        <v>431</v>
      </c>
      <c r="C4165" s="1">
        <f>IFERROR(VLOOKUP(1133,'PEDIDO 52'!$C$2:$E$230,3,0),0)</f>
        <v>0</v>
      </c>
      <c r="D4165" s="1">
        <f>IFERROR(VLOOKUP(1134,'PEDIDO 52'!$C$2:$E$230,3,0),0)</f>
        <v>0</v>
      </c>
      <c r="E4165" s="1">
        <f>IFERROR(VLOOKUP(1135,'PEDIDO 52'!$C$2:$E$230,3,0),0)</f>
        <v>0</v>
      </c>
      <c r="F4165" s="1">
        <f>IFERROR(VLOOKUP(1136,'PEDIDO 52'!$C$2:$E$230,3,0),0)</f>
        <v>0</v>
      </c>
      <c r="G4165" s="18">
        <f t="shared" si="130"/>
        <v>0</v>
      </c>
    </row>
    <row r="4166" spans="1:7" ht="15.75" x14ac:dyDescent="0.25">
      <c r="A4166" s="15">
        <f>'PEDIDO 52'!$B$2</f>
        <v>0</v>
      </c>
      <c r="B4166" s="12" t="s">
        <v>432</v>
      </c>
      <c r="C4166" s="1">
        <f>IFERROR(VLOOKUP(1105,'PEDIDO 52'!$C$2:$E$230,3,0),0)</f>
        <v>0</v>
      </c>
      <c r="D4166" s="1">
        <f>IFERROR(VLOOKUP(1106,'PEDIDO 52'!$C$2:$E$230,3,0),0)</f>
        <v>0</v>
      </c>
      <c r="E4166" s="1">
        <f>IFERROR(VLOOKUP(1107,'PEDIDO 52'!$C$2:$E$230,3,0),0)</f>
        <v>0</v>
      </c>
      <c r="F4166" s="1">
        <f>IFERROR(VLOOKUP(1108,'PEDIDO 52'!$C$2:$E$230,3,0),0)</f>
        <v>0</v>
      </c>
      <c r="G4166" s="18">
        <f t="shared" si="130"/>
        <v>0</v>
      </c>
    </row>
    <row r="4167" spans="1:7" ht="15.75" x14ac:dyDescent="0.25">
      <c r="A4167" s="15">
        <f>'PEDIDO 52'!$B$2</f>
        <v>0</v>
      </c>
      <c r="B4167" s="12" t="s">
        <v>433</v>
      </c>
      <c r="C4167" s="1">
        <f>IFERROR(VLOOKUP(1109,'PEDIDO 52'!$C$2:$E$230,3,0),0)</f>
        <v>0</v>
      </c>
      <c r="D4167" s="1">
        <f>IFERROR(VLOOKUP(1110,'PEDIDO 52'!$C$2:$E$230,3,0),0)</f>
        <v>0</v>
      </c>
      <c r="E4167" s="1">
        <f>IFERROR(VLOOKUP(1111,'PEDIDO 52'!$C$2:$E$230,3,0),0)</f>
        <v>0</v>
      </c>
      <c r="F4167" s="1">
        <f>IFERROR(VLOOKUP(1112,'PEDIDO 52'!$C$2:$E$230,3,0),0)</f>
        <v>0</v>
      </c>
      <c r="G4167" s="18">
        <f t="shared" si="130"/>
        <v>0</v>
      </c>
    </row>
    <row r="4168" spans="1:7" ht="15.75" x14ac:dyDescent="0.25">
      <c r="A4168" s="15">
        <f>'PEDIDO 52'!$B$2</f>
        <v>0</v>
      </c>
      <c r="B4168" s="12" t="s">
        <v>434</v>
      </c>
      <c r="C4168" s="1">
        <f>IFERROR(VLOOKUP(1113,'PEDIDO 52'!$C$2:$E$230,3,0),0)</f>
        <v>0</v>
      </c>
      <c r="D4168" s="1">
        <f>IFERROR(VLOOKUP(1114,'PEDIDO 52'!$C$2:$E$230,3,0),0)</f>
        <v>0</v>
      </c>
      <c r="E4168" s="1">
        <f>IFERROR(VLOOKUP(1115,'PEDIDO 52'!$C$2:$E$230,3,0),0)</f>
        <v>0</v>
      </c>
      <c r="F4168" s="1">
        <f>IFERROR(VLOOKUP(1116,'PEDIDO 52'!$C$2:$E$230,3,0),0)</f>
        <v>0</v>
      </c>
      <c r="G4168" s="18">
        <f t="shared" si="130"/>
        <v>0</v>
      </c>
    </row>
    <row r="4169" spans="1:7" ht="15.75" x14ac:dyDescent="0.25">
      <c r="A4169" s="15">
        <f>'PEDIDO 52'!$B$2</f>
        <v>0</v>
      </c>
      <c r="B4169" s="12" t="s">
        <v>435</v>
      </c>
      <c r="C4169" s="1">
        <f>IFERROR(VLOOKUP(1117,'PEDIDO 52'!$C$2:$E$230,3,0),0)</f>
        <v>0</v>
      </c>
      <c r="D4169" s="1">
        <f>IFERROR(VLOOKUP(1118,'PEDIDO 52'!$C$2:$E$230,3,0),0)</f>
        <v>0</v>
      </c>
      <c r="E4169" s="1">
        <f>IFERROR(VLOOKUP(1119,'PEDIDO 52'!$C$2:$E$230,3,0),0)</f>
        <v>0</v>
      </c>
      <c r="F4169" s="1">
        <f>IFERROR(VLOOKUP(1120,'PEDIDO 52'!$C$2:$E$230,3,0),0)</f>
        <v>0</v>
      </c>
      <c r="G4169" s="18">
        <f t="shared" si="130"/>
        <v>0</v>
      </c>
    </row>
    <row r="4170" spans="1:7" ht="15.75" x14ac:dyDescent="0.25">
      <c r="A4170" s="15">
        <f>'PEDIDO 52'!$B$2</f>
        <v>0</v>
      </c>
      <c r="B4170" s="12" t="s">
        <v>436</v>
      </c>
      <c r="C4170" s="1">
        <f>IFERROR(VLOOKUP(1121,'PEDIDO 52'!$C$2:$E$230,3,0),0)</f>
        <v>0</v>
      </c>
      <c r="D4170" s="1">
        <f>IFERROR(VLOOKUP(1122,'PEDIDO 52'!$C$2:$E$230,3,0),0)</f>
        <v>0</v>
      </c>
      <c r="E4170" s="1">
        <f>IFERROR(VLOOKUP(1123,'PEDIDO 52'!$C$2:$E$230,3,0),0)</f>
        <v>0</v>
      </c>
      <c r="F4170" s="1">
        <f>IFERROR(VLOOKUP(1124,'PEDIDO 52'!$C$2:$E$230,3,0),0)</f>
        <v>0</v>
      </c>
      <c r="G4170" s="18">
        <f t="shared" si="130"/>
        <v>0</v>
      </c>
    </row>
    <row r="4171" spans="1:7" ht="15.75" x14ac:dyDescent="0.25">
      <c r="A4171" s="15">
        <f>'PEDIDO 52'!$B$2</f>
        <v>0</v>
      </c>
      <c r="B4171" s="12" t="s">
        <v>437</v>
      </c>
      <c r="C4171" s="1">
        <f>IFERROR(VLOOKUP(1129,'PEDIDO 52'!$C$2:$E$230,3,0),0)</f>
        <v>0</v>
      </c>
      <c r="D4171" s="1">
        <f>IFERROR(VLOOKUP(1130,'PEDIDO 52'!$C$2:$E$230,3,0),0)</f>
        <v>0</v>
      </c>
      <c r="E4171" s="1">
        <f>IFERROR(VLOOKUP(1131,'PEDIDO 52'!$C$2:$E$230,3,0),0)</f>
        <v>0</v>
      </c>
      <c r="F4171" s="1">
        <f>IFERROR(VLOOKUP(1132,'PEDIDO 52'!$C$2:$E$230,3,0),0)</f>
        <v>0</v>
      </c>
      <c r="G4171" s="18">
        <f t="shared" si="130"/>
        <v>0</v>
      </c>
    </row>
    <row r="4172" spans="1:7" ht="15.75" x14ac:dyDescent="0.25">
      <c r="A4172" s="15">
        <f>'PEDIDO 52'!$B$2</f>
        <v>0</v>
      </c>
      <c r="B4172" s="12" t="s">
        <v>438</v>
      </c>
      <c r="C4172" s="1">
        <f>IFERROR(VLOOKUP(1137,'PEDIDO 52'!$C$2:$E$230,3,0),0)</f>
        <v>0</v>
      </c>
      <c r="D4172" s="1">
        <f>IFERROR(VLOOKUP(1138,'PEDIDO 52'!$C$2:$E$230,3,0),0)</f>
        <v>0</v>
      </c>
      <c r="E4172" s="1">
        <f>IFERROR(VLOOKUP(1139,'PEDIDO 52'!$C$2:$E$230,3,0),0)</f>
        <v>0</v>
      </c>
      <c r="F4172" s="1">
        <f>IFERROR(VLOOKUP(1140,'PEDIDO 52'!$C$2:$E$230,3,0),0)</f>
        <v>0</v>
      </c>
      <c r="G4172" s="18">
        <f t="shared" si="130"/>
        <v>0</v>
      </c>
    </row>
    <row r="4173" spans="1:7" ht="15.75" x14ac:dyDescent="0.25">
      <c r="A4173" s="15">
        <f>'PEDIDO 52'!$B$2</f>
        <v>0</v>
      </c>
      <c r="B4173" s="12" t="s">
        <v>439</v>
      </c>
      <c r="C4173" s="1">
        <f>IFERROR(VLOOKUP(1141,'PEDIDO 52'!$C$2:$E$230,3,0),0)</f>
        <v>0</v>
      </c>
      <c r="D4173" s="1">
        <f>IFERROR(VLOOKUP(1142,'PEDIDO 52'!$C$2:$E$230,3,0),0)</f>
        <v>0</v>
      </c>
      <c r="E4173" s="1">
        <f>IFERROR(VLOOKUP(1143,'PEDIDO 52'!$C$2:$E$230,3,0),0)</f>
        <v>0</v>
      </c>
      <c r="F4173" s="1">
        <f>IFERROR(VLOOKUP(1144,'PEDIDO 52'!$C$2:$E$230,3,0),0)</f>
        <v>0</v>
      </c>
      <c r="G4173" s="18">
        <f t="shared" si="130"/>
        <v>0</v>
      </c>
    </row>
    <row r="4174" spans="1:7" ht="15.75" x14ac:dyDescent="0.25">
      <c r="A4174" s="15">
        <f>'PEDIDO 52'!$B$2</f>
        <v>0</v>
      </c>
      <c r="B4174" s="12" t="s">
        <v>440</v>
      </c>
      <c r="C4174" s="1">
        <f>IFERROR(VLOOKUP(1145,'PEDIDO 52'!$C$2:$E$230,3,0),0)</f>
        <v>0</v>
      </c>
      <c r="D4174" s="1">
        <f>IFERROR(VLOOKUP(1146,'PEDIDO 52'!$C$2:$E$230,3,0),0)</f>
        <v>0</v>
      </c>
      <c r="E4174" s="1">
        <f>IFERROR(VLOOKUP(1147,'PEDIDO 52'!$C$2:$E$230,3,0),0)</f>
        <v>0</v>
      </c>
      <c r="F4174" s="1">
        <f>IFERROR(VLOOKUP(1148,'PEDIDO 52'!$C$2:$E$230,3,0),0)</f>
        <v>0</v>
      </c>
      <c r="G4174" s="18">
        <f t="shared" si="130"/>
        <v>0</v>
      </c>
    </row>
    <row r="4175" spans="1:7" ht="15.75" x14ac:dyDescent="0.25">
      <c r="A4175" s="15">
        <f>'PEDIDO 52'!$B$2</f>
        <v>0</v>
      </c>
      <c r="B4175" s="12" t="s">
        <v>441</v>
      </c>
      <c r="C4175" s="1">
        <f>IFERROR(VLOOKUP(1149,'PEDIDO 52'!$C$2:$E$230,3,0),0)</f>
        <v>0</v>
      </c>
      <c r="D4175" s="1">
        <f>IFERROR(VLOOKUP(1150,'PEDIDO 52'!$C$2:$E$230,3,0),0)</f>
        <v>0</v>
      </c>
      <c r="E4175" s="1">
        <f>IFERROR(VLOOKUP(1151,'PEDIDO 52'!$C$2:$E$230,3,0),0)</f>
        <v>0</v>
      </c>
      <c r="F4175" s="1">
        <f>IFERROR(VLOOKUP(1152,'PEDIDO 52'!$C$2:$E$230,3,0),0)</f>
        <v>0</v>
      </c>
      <c r="G4175" s="18">
        <f t="shared" si="130"/>
        <v>0</v>
      </c>
    </row>
    <row r="4176" spans="1:7" ht="15.75" x14ac:dyDescent="0.25">
      <c r="A4176" s="15">
        <f>'PEDIDO 52'!$B$2</f>
        <v>0</v>
      </c>
      <c r="B4176" s="12" t="s">
        <v>442</v>
      </c>
      <c r="C4176" s="1">
        <f>IFERROR(VLOOKUP(1153,'PEDIDO 52'!$C$2:$E$230,3,0),0)</f>
        <v>0</v>
      </c>
      <c r="D4176" s="1">
        <f>IFERROR(VLOOKUP(1154,'PEDIDO 52'!$C$2:$E$230,3,0),0)</f>
        <v>0</v>
      </c>
      <c r="E4176" s="1">
        <f>IFERROR(VLOOKUP(1155,'PEDIDO 52'!$C$2:$E$230,3,0),0)</f>
        <v>0</v>
      </c>
      <c r="F4176" s="1">
        <f>IFERROR(VLOOKUP(1156,'PEDIDO 52'!$C$2:$E$230,3,0),0)</f>
        <v>0</v>
      </c>
      <c r="G4176" s="18">
        <f t="shared" si="130"/>
        <v>0</v>
      </c>
    </row>
    <row r="4177" spans="1:7" ht="15.75" x14ac:dyDescent="0.25">
      <c r="A4177" s="15">
        <f>'PEDIDO 52'!$B$2</f>
        <v>0</v>
      </c>
      <c r="B4177" s="12" t="s">
        <v>443</v>
      </c>
      <c r="C4177" s="1">
        <f>IFERROR(VLOOKUP(1157,'PEDIDO 52'!$C$2:$E$230,3,0),0)</f>
        <v>0</v>
      </c>
      <c r="D4177" s="1">
        <f>IFERROR(VLOOKUP(1158,'PEDIDO 52'!$C$2:$E$230,3,0),0)</f>
        <v>0</v>
      </c>
      <c r="E4177" s="1">
        <f>IFERROR(VLOOKUP(1159,'PEDIDO 52'!$C$2:$E$230,3,0),0)</f>
        <v>0</v>
      </c>
      <c r="F4177" s="1">
        <f>IFERROR(VLOOKUP(1160,'PEDIDO 52'!$C$2:$E$230,3,0),0)</f>
        <v>0</v>
      </c>
      <c r="G4177" s="18">
        <f t="shared" si="130"/>
        <v>0</v>
      </c>
    </row>
    <row r="4178" spans="1:7" ht="15.75" x14ac:dyDescent="0.25">
      <c r="A4178" s="15">
        <f>'PEDIDO 52'!$B$2</f>
        <v>0</v>
      </c>
      <c r="B4178" s="12" t="s">
        <v>444</v>
      </c>
      <c r="C4178" s="1">
        <f>IFERROR(VLOOKUP(1161,'PEDIDO 52'!$C$2:$E$230,3,0),0)</f>
        <v>0</v>
      </c>
      <c r="D4178" s="1">
        <f>IFERROR(VLOOKUP(1162,'PEDIDO 52'!$C$2:$E$230,3,0),0)</f>
        <v>0</v>
      </c>
      <c r="E4178" s="1">
        <f>IFERROR(VLOOKUP(1163,'PEDIDO 52'!$C$2:$E$230,3,0),0)</f>
        <v>0</v>
      </c>
      <c r="F4178" s="1">
        <f>IFERROR(VLOOKUP(1164,'PEDIDO 52'!$C$2:$E$230,3,0),0)</f>
        <v>0</v>
      </c>
      <c r="G4178" s="18">
        <f t="shared" si="130"/>
        <v>0</v>
      </c>
    </row>
    <row r="4179" spans="1:7" ht="15.75" x14ac:dyDescent="0.25">
      <c r="A4179" s="15">
        <f>'PEDIDO 52'!$B$2</f>
        <v>0</v>
      </c>
      <c r="B4179" s="12" t="s">
        <v>445</v>
      </c>
      <c r="C4179" s="1">
        <f>IFERROR(VLOOKUP(1165,'PEDIDO 52'!$C$2:$E$230,3,0),0)</f>
        <v>0</v>
      </c>
      <c r="D4179" s="1">
        <f>IFERROR(VLOOKUP(1166,'PEDIDO 52'!$C$2:$E$230,3,0),0)</f>
        <v>0</v>
      </c>
      <c r="E4179" s="1">
        <f>IFERROR(VLOOKUP(1167,'PEDIDO 52'!$C$2:$E$230,3,0),0)</f>
        <v>0</v>
      </c>
      <c r="F4179" s="1">
        <f>IFERROR(VLOOKUP(1168,'PEDIDO 52'!$C$2:$E$230,3,0),0)</f>
        <v>0</v>
      </c>
      <c r="G4179" s="18">
        <f t="shared" si="130"/>
        <v>0</v>
      </c>
    </row>
    <row r="4180" spans="1:7" ht="15.75" x14ac:dyDescent="0.25">
      <c r="A4180" s="15">
        <f>'PEDIDO 52'!$B$2</f>
        <v>0</v>
      </c>
      <c r="B4180" s="12" t="s">
        <v>446</v>
      </c>
      <c r="C4180" s="1">
        <f>IFERROR(VLOOKUP(1169,'PEDIDO 52'!$C$2:$E$230,3,0),0)</f>
        <v>0</v>
      </c>
      <c r="D4180" s="1">
        <f>IFERROR(VLOOKUP(1170,'PEDIDO 52'!$C$2:$E$230,3,0),0)</f>
        <v>0</v>
      </c>
      <c r="E4180" s="1">
        <f>IFERROR(VLOOKUP(1171,'PEDIDO 52'!$C$2:$E$230,3,0),0)</f>
        <v>0</v>
      </c>
      <c r="F4180" s="1">
        <f>IFERROR(VLOOKUP(1172,'PEDIDO 52'!$C$2:$E$230,3,0),0)</f>
        <v>0</v>
      </c>
      <c r="G4180" s="18">
        <f t="shared" si="130"/>
        <v>0</v>
      </c>
    </row>
    <row r="4181" spans="1:7" ht="15.75" x14ac:dyDescent="0.25">
      <c r="A4181" s="15">
        <f>'PEDIDO 52'!$B$2</f>
        <v>0</v>
      </c>
      <c r="B4181" s="12" t="s">
        <v>447</v>
      </c>
      <c r="C4181" s="1">
        <f>IFERROR(VLOOKUP(1173,'PEDIDO 52'!$C$2:$E$230,3,0),0)</f>
        <v>0</v>
      </c>
      <c r="D4181" s="1">
        <f>IFERROR(VLOOKUP(1174,'PEDIDO 52'!$C$2:$E$230,3,0),0)</f>
        <v>0</v>
      </c>
      <c r="E4181" s="1">
        <f>IFERROR(VLOOKUP(1175,'PEDIDO 52'!$C$2:$E$230,3,0),0)</f>
        <v>0</v>
      </c>
      <c r="F4181" s="1">
        <f>IFERROR(VLOOKUP(1176,'PEDIDO 52'!$C$2:$E$230,3,0),0)</f>
        <v>0</v>
      </c>
      <c r="G4181" s="18">
        <f t="shared" si="130"/>
        <v>0</v>
      </c>
    </row>
    <row r="4182" spans="1:7" ht="15.75" x14ac:dyDescent="0.25">
      <c r="A4182" s="15">
        <f>'PEDIDO 52'!$B$2</f>
        <v>0</v>
      </c>
      <c r="B4182" s="12" t="s">
        <v>448</v>
      </c>
      <c r="C4182" s="1">
        <f>IFERROR(VLOOKUP(1249,'PEDIDO 52'!$C$2:$E$230,3,0),0)</f>
        <v>0</v>
      </c>
      <c r="D4182" s="1">
        <f>IFERROR(VLOOKUP(1250,'PEDIDO 52'!$C$2:$E$230,3,0),0)</f>
        <v>0</v>
      </c>
      <c r="E4182" s="1">
        <f>IFERROR(VLOOKUP(1251,'PEDIDO 52'!$C$2:$E$230,3,0),0)</f>
        <v>0</v>
      </c>
      <c r="F4182" s="1">
        <f>IFERROR(VLOOKUP(1252,'PEDIDO 52'!$C$2:$E$230,3,0),0)</f>
        <v>0</v>
      </c>
      <c r="G4182" s="18">
        <f t="shared" si="130"/>
        <v>0</v>
      </c>
    </row>
    <row r="4183" spans="1:7" ht="15.75" x14ac:dyDescent="0.25">
      <c r="A4183" s="15">
        <f>'PEDIDO 52'!$B$2</f>
        <v>0</v>
      </c>
      <c r="B4183" s="12" t="s">
        <v>449</v>
      </c>
      <c r="C4183" s="1">
        <f>IFERROR(VLOOKUP(1177,'PEDIDO 52'!$C$2:$E$230,3,0),0)</f>
        <v>0</v>
      </c>
      <c r="D4183" s="1">
        <f>IFERROR(VLOOKUP(1178,'PEDIDO 52'!$C$2:$E$230,3,0),0)</f>
        <v>0</v>
      </c>
      <c r="E4183" s="1">
        <f>IFERROR(VLOOKUP(1179,'PEDIDO 52'!$C$2:$E$230,3,0),0)</f>
        <v>0</v>
      </c>
      <c r="F4183" s="1">
        <f>IFERROR(VLOOKUP(1180,'PEDIDO 52'!$C$2:$E$230,3,0),0)</f>
        <v>0</v>
      </c>
      <c r="G4183" s="18">
        <f t="shared" si="130"/>
        <v>0</v>
      </c>
    </row>
    <row r="4184" spans="1:7" ht="15.75" x14ac:dyDescent="0.25">
      <c r="A4184" s="15">
        <f>'PEDIDO 52'!$B$2</f>
        <v>0</v>
      </c>
      <c r="B4184" s="12" t="s">
        <v>450</v>
      </c>
      <c r="C4184" s="1">
        <f>IFERROR(VLOOKUP(1181,'PEDIDO 52'!$C$2:$E$230,3,0),0)</f>
        <v>0</v>
      </c>
      <c r="D4184" s="1">
        <f>IFERROR(VLOOKUP(1182,'PEDIDO 52'!$C$2:$E$230,3,0),0)</f>
        <v>0</v>
      </c>
      <c r="E4184" s="1">
        <f>IFERROR(VLOOKUP(1183,'PEDIDO 52'!$C$2:$E$230,3,0),0)</f>
        <v>0</v>
      </c>
      <c r="F4184" s="1">
        <f>IFERROR(VLOOKUP(1184,'PEDIDO 52'!$C$2:$E$230,3,0),0)</f>
        <v>0</v>
      </c>
      <c r="G4184" s="18">
        <f t="shared" si="130"/>
        <v>0</v>
      </c>
    </row>
    <row r="4185" spans="1:7" ht="15.75" x14ac:dyDescent="0.25">
      <c r="A4185" s="15">
        <f>'PEDIDO 52'!$B$2</f>
        <v>0</v>
      </c>
      <c r="B4185" s="12" t="s">
        <v>451</v>
      </c>
      <c r="C4185" s="1">
        <f>IFERROR(VLOOKUP(1185,'PEDIDO 52'!$C$2:$E$230,3,0),0)</f>
        <v>0</v>
      </c>
      <c r="D4185" s="1">
        <f>IFERROR(VLOOKUP(1186,'PEDIDO 52'!$C$2:$E$230,3,0),0)</f>
        <v>0</v>
      </c>
      <c r="E4185" s="1">
        <f>IFERROR(VLOOKUP(1187,'PEDIDO 52'!$C$2:$E$230,3,0),0)</f>
        <v>0</v>
      </c>
      <c r="F4185" s="1">
        <f>IFERROR(VLOOKUP(1188,'PEDIDO 52'!$C$2:$E$230,3,0),0)</f>
        <v>0</v>
      </c>
      <c r="G4185" s="18">
        <f t="shared" si="130"/>
        <v>0</v>
      </c>
    </row>
    <row r="4186" spans="1:7" ht="15.75" x14ac:dyDescent="0.25">
      <c r="A4186" s="15">
        <f>'PEDIDO 52'!$B$2</f>
        <v>0</v>
      </c>
      <c r="B4186" s="12" t="s">
        <v>452</v>
      </c>
      <c r="C4186" s="1">
        <f>IFERROR(VLOOKUP(1189,'PEDIDO 52'!$C$2:$E$230,3,0),0)</f>
        <v>0</v>
      </c>
      <c r="D4186" s="1">
        <f>IFERROR(VLOOKUP(1190,'PEDIDO 52'!$C$2:$E$230,3,0),0)</f>
        <v>0</v>
      </c>
      <c r="E4186" s="1">
        <f>IFERROR(VLOOKUP(1191,'PEDIDO 52'!$C$2:$E$230,3,0),0)</f>
        <v>0</v>
      </c>
      <c r="F4186" s="1">
        <f>IFERROR(VLOOKUP(1192,'PEDIDO 52'!$C$2:$E$230,3,0),0)</f>
        <v>0</v>
      </c>
      <c r="G4186" s="18">
        <f t="shared" si="130"/>
        <v>0</v>
      </c>
    </row>
    <row r="4187" spans="1:7" ht="15.75" x14ac:dyDescent="0.25">
      <c r="A4187" s="15">
        <f>'PEDIDO 52'!$B$2</f>
        <v>0</v>
      </c>
      <c r="B4187" s="12" t="s">
        <v>453</v>
      </c>
      <c r="C4187" s="1">
        <f>IFERROR(VLOOKUP(1193,'PEDIDO 52'!$C$2:$E$230,3,0),0)</f>
        <v>0</v>
      </c>
      <c r="D4187" s="1">
        <f>IFERROR(VLOOKUP(1194,'PEDIDO 52'!$C$2:$E$230,3,0),0)</f>
        <v>0</v>
      </c>
      <c r="E4187" s="1">
        <f>IFERROR(VLOOKUP(1195,'PEDIDO 52'!$C$2:$E$230,3,0),0)</f>
        <v>0</v>
      </c>
      <c r="F4187" s="1">
        <f>IFERROR(VLOOKUP(1196,'PEDIDO 52'!$C$2:$E$230,3,0),0)</f>
        <v>0</v>
      </c>
      <c r="G4187" s="18">
        <f t="shared" si="130"/>
        <v>0</v>
      </c>
    </row>
    <row r="4188" spans="1:7" ht="15.75" x14ac:dyDescent="0.25">
      <c r="A4188" s="15">
        <f>'PEDIDO 52'!$B$2</f>
        <v>0</v>
      </c>
      <c r="B4188" s="12" t="s">
        <v>454</v>
      </c>
      <c r="C4188" s="1">
        <f>IFERROR(VLOOKUP(1197,'PEDIDO 52'!$C$2:$E$230,3,0),0)</f>
        <v>0</v>
      </c>
      <c r="D4188" s="1">
        <f>IFERROR(VLOOKUP(1198,'PEDIDO 52'!$C$2:$E$230,3,0),0)</f>
        <v>0</v>
      </c>
      <c r="E4188" s="1">
        <f>IFERROR(VLOOKUP(1199,'PEDIDO 52'!$C$2:$E$230,3,0),0)</f>
        <v>0</v>
      </c>
      <c r="F4188" s="1">
        <f>IFERROR(VLOOKUP(1200,'PEDIDO 52'!$C$2:$E$230,3,0),0)</f>
        <v>0</v>
      </c>
      <c r="G4188" s="18">
        <f t="shared" si="130"/>
        <v>0</v>
      </c>
    </row>
    <row r="4189" spans="1:7" ht="15.75" x14ac:dyDescent="0.25">
      <c r="A4189" s="15">
        <f>'PEDIDO 52'!$B$2</f>
        <v>0</v>
      </c>
      <c r="B4189" s="12" t="s">
        <v>455</v>
      </c>
      <c r="C4189" s="1">
        <f>IFERROR(VLOOKUP(1201,'PEDIDO 52'!$C$2:$E$230,3,0),0)</f>
        <v>0</v>
      </c>
      <c r="D4189" s="1">
        <f>IFERROR(VLOOKUP(1202,'PEDIDO 52'!$C$2:$E$230,3,0),0)</f>
        <v>0</v>
      </c>
      <c r="E4189" s="1">
        <f>IFERROR(VLOOKUP(1203,'PEDIDO 52'!$C$2:$E$230,3,0),0)</f>
        <v>0</v>
      </c>
      <c r="F4189" s="1">
        <f>IFERROR(VLOOKUP(1204,'PEDIDO 52'!$C$2:$E$230,3,0),0)</f>
        <v>0</v>
      </c>
      <c r="G4189" s="18">
        <f t="shared" si="130"/>
        <v>0</v>
      </c>
    </row>
    <row r="4190" spans="1:7" ht="15.75" x14ac:dyDescent="0.25">
      <c r="A4190" s="15">
        <f>'PEDIDO 52'!$B$2</f>
        <v>0</v>
      </c>
      <c r="B4190" s="12" t="s">
        <v>456</v>
      </c>
      <c r="C4190" s="1">
        <f>IFERROR(VLOOKUP(1205,'PEDIDO 52'!$C$2:$E$230,3,0),0)</f>
        <v>0</v>
      </c>
      <c r="D4190" s="1">
        <f>IFERROR(VLOOKUP(1206,'PEDIDO 52'!$C$2:$E$230,3,0),0)</f>
        <v>0</v>
      </c>
      <c r="E4190" s="1">
        <f>IFERROR(VLOOKUP(1207,'PEDIDO 52'!$C$2:$E$230,3,0),0)</f>
        <v>0</v>
      </c>
      <c r="F4190" s="1">
        <f>IFERROR(VLOOKUP(1208,'PEDIDO 52'!$C$2:$E$230,3,0),0)</f>
        <v>0</v>
      </c>
      <c r="G4190" s="18">
        <f t="shared" si="130"/>
        <v>0</v>
      </c>
    </row>
    <row r="4191" spans="1:7" ht="15.75" x14ac:dyDescent="0.25">
      <c r="A4191" s="15">
        <f>'PEDIDO 52'!$B$2</f>
        <v>0</v>
      </c>
      <c r="B4191" s="12" t="s">
        <v>457</v>
      </c>
      <c r="C4191" s="1">
        <f>IFERROR(VLOOKUP(1213,'PEDIDO 52'!$C$2:$E$230,3,0),0)</f>
        <v>0</v>
      </c>
      <c r="D4191" s="1">
        <f>IFERROR(VLOOKUP(1214,'PEDIDO 52'!$C$2:$E$230,3,0),0)</f>
        <v>0</v>
      </c>
      <c r="E4191" s="1">
        <f>IFERROR(VLOOKUP(1215,'PEDIDO 52'!$C$2:$E$230,3,0),0)</f>
        <v>0</v>
      </c>
      <c r="F4191" s="10">
        <f>IFERROR(VLOOKUP(1216,'PEDIDO 52'!$C$2:$E$230,3,0),0)</f>
        <v>0</v>
      </c>
      <c r="G4191" s="18">
        <f t="shared" si="130"/>
        <v>0</v>
      </c>
    </row>
    <row r="4192" spans="1:7" ht="15.75" x14ac:dyDescent="0.25">
      <c r="A4192" s="15">
        <f>'PEDIDO 52'!$B$2</f>
        <v>0</v>
      </c>
      <c r="B4192" s="12" t="s">
        <v>458</v>
      </c>
      <c r="C4192" s="1">
        <f>IFERROR(VLOOKUP(1209,'PEDIDO 52'!$C$2:$E$230,3,0),0)</f>
        <v>0</v>
      </c>
      <c r="D4192" s="1">
        <f>IFERROR(VLOOKUP(1210,'PEDIDO 52'!$C$2:$E$230,3,0),0)</f>
        <v>0</v>
      </c>
      <c r="E4192" s="1">
        <f>IFERROR(VLOOKUP(1211,'PEDIDO 52'!$C$2:$E$230,3,0),0)</f>
        <v>0</v>
      </c>
      <c r="F4192" s="1">
        <f>IFERROR(VLOOKUP(1212,'PEDIDO 52'!$C$2:$E$230,3,0),0)</f>
        <v>0</v>
      </c>
      <c r="G4192" s="18">
        <f t="shared" si="130"/>
        <v>0</v>
      </c>
    </row>
    <row r="4193" spans="1:7" ht="15.75" x14ac:dyDescent="0.25">
      <c r="A4193" s="15">
        <f>'PEDIDO 52'!$B$2</f>
        <v>0</v>
      </c>
      <c r="B4193" s="12" t="s">
        <v>459</v>
      </c>
      <c r="C4193" s="1">
        <f>IFERROR(VLOOKUP(1217,'PEDIDO 52'!$C$2:$E$230,3,0),0)</f>
        <v>0</v>
      </c>
      <c r="D4193" s="1">
        <f>IFERROR(VLOOKUP(1218,'PEDIDO 52'!$C$2:$E$230,3,0),0)</f>
        <v>0</v>
      </c>
      <c r="E4193" s="1">
        <f>IFERROR(VLOOKUP(1219,'PEDIDO 52'!$C$2:$E$230,3,0),0)</f>
        <v>0</v>
      </c>
      <c r="F4193" s="1">
        <f>IFERROR(VLOOKUP(1220,'PEDIDO 52'!$C$2:$E$230,3,0),0)</f>
        <v>0</v>
      </c>
      <c r="G4193" s="18">
        <f t="shared" si="130"/>
        <v>0</v>
      </c>
    </row>
    <row r="4194" spans="1:7" ht="15.75" x14ac:dyDescent="0.25">
      <c r="A4194" s="15">
        <f>'PEDIDO 52'!$B$2</f>
        <v>0</v>
      </c>
      <c r="B4194" s="12" t="s">
        <v>461</v>
      </c>
      <c r="C4194" s="1">
        <f>IFERROR(VLOOKUP(1225,'PEDIDO 52'!$C$2:$E$230,3,0),0)</f>
        <v>0</v>
      </c>
      <c r="D4194" s="1">
        <f>IFERROR(VLOOKUP(1226,'PEDIDO 52'!$C$2:$E$230,3,0),0)</f>
        <v>0</v>
      </c>
      <c r="E4194" s="1">
        <f>IFERROR(VLOOKUP(1227,'PEDIDO 52'!$C$2:$E$230,3,0),0)</f>
        <v>0</v>
      </c>
      <c r="F4194" s="1">
        <f>IFERROR(VLOOKUP(1228,'PEDIDO 52'!$C$2:$E$230,3,0),0)</f>
        <v>0</v>
      </c>
      <c r="G4194" s="18">
        <f t="shared" si="130"/>
        <v>0</v>
      </c>
    </row>
    <row r="4195" spans="1:7" ht="15.75" x14ac:dyDescent="0.25">
      <c r="A4195" s="15">
        <f>'PEDIDO 52'!$B$2</f>
        <v>0</v>
      </c>
      <c r="B4195" s="12" t="s">
        <v>462</v>
      </c>
      <c r="C4195" s="1">
        <f>IFERROR(VLOOKUP(1221,'PEDIDO 52'!$C$2:$E$230,3,0),0)</f>
        <v>0</v>
      </c>
      <c r="D4195" s="1">
        <f>IFERROR(VLOOKUP(1222,'PEDIDO 52'!$C$2:$E$230,3,0),0)</f>
        <v>0</v>
      </c>
      <c r="E4195" s="1">
        <f>IFERROR(VLOOKUP(1223,'PEDIDO 52'!$C$2:$E$230,3,0),0)</f>
        <v>0</v>
      </c>
      <c r="F4195" s="1">
        <f>IFERROR(VLOOKUP(1224,'PEDIDO 52'!$C$2:$E$230,3,0),0)</f>
        <v>0</v>
      </c>
      <c r="G4195" s="18">
        <f t="shared" si="130"/>
        <v>0</v>
      </c>
    </row>
    <row r="4196" spans="1:7" ht="15.75" x14ac:dyDescent="0.25">
      <c r="A4196" s="15">
        <f>'PEDIDO 52'!$B$2</f>
        <v>0</v>
      </c>
      <c r="B4196" s="12" t="s">
        <v>460</v>
      </c>
      <c r="C4196" s="1">
        <f>IFERROR(VLOOKUP(1229,'PEDIDO 52'!$C$2:$E$230,3,0),0)</f>
        <v>0</v>
      </c>
      <c r="D4196" s="1">
        <f>IFERROR(VLOOKUP(1230,'PEDIDO 52'!$C$2:$E$230,3,0),0)</f>
        <v>0</v>
      </c>
      <c r="E4196" s="1">
        <f>IFERROR(VLOOKUP(1231,'PEDIDO 52'!$C$2:$E$230,3,0),0)</f>
        <v>0</v>
      </c>
      <c r="F4196" s="1">
        <f>IFERROR(VLOOKUP(1232,'PEDIDO 52'!$C$2:$E$230,3,0),0)</f>
        <v>0</v>
      </c>
      <c r="G4196" s="18">
        <f t="shared" si="130"/>
        <v>0</v>
      </c>
    </row>
    <row r="4197" spans="1:7" ht="15.75" x14ac:dyDescent="0.25">
      <c r="A4197" s="15">
        <f>'PEDIDO 52'!$B$2</f>
        <v>0</v>
      </c>
      <c r="B4197" s="12" t="s">
        <v>463</v>
      </c>
      <c r="C4197" s="1">
        <f>IFERROR(VLOOKUP(1233,'PEDIDO 52'!$C$2:$E$230,3,0),0)</f>
        <v>0</v>
      </c>
      <c r="D4197" s="1">
        <f>IFERROR(VLOOKUP(1234,'PEDIDO 52'!$C$2:$E$230,3,0),0)</f>
        <v>0</v>
      </c>
      <c r="E4197" s="1">
        <f>IFERROR(VLOOKUP(1235,'PEDIDO 52'!$C$2:$E$230,3,0),0)</f>
        <v>0</v>
      </c>
      <c r="F4197" s="1">
        <f>IFERROR(VLOOKUP(1236,'PEDIDO 52'!$C$2:$E$230,3,0),0)</f>
        <v>0</v>
      </c>
      <c r="G4197" s="18">
        <f t="shared" ref="G4197:G4210" si="131">SUM(C4197+D4197+E4197+F4197)</f>
        <v>0</v>
      </c>
    </row>
    <row r="4198" spans="1:7" ht="15.75" x14ac:dyDescent="0.25">
      <c r="A4198" s="15">
        <f>'PEDIDO 52'!$B$2</f>
        <v>0</v>
      </c>
      <c r="B4198" s="12" t="s">
        <v>464</v>
      </c>
      <c r="C4198" s="1">
        <f>IFERROR(VLOOKUP(1237,'PEDIDO 52'!$C$2:$E$230,3,0),0)</f>
        <v>0</v>
      </c>
      <c r="D4198" s="1">
        <f>IFERROR(VLOOKUP(1238,'PEDIDO 52'!$C$2:$E$230,3,0),0)</f>
        <v>0</v>
      </c>
      <c r="E4198" s="1">
        <f>IFERROR(VLOOKUP(1239,'PEDIDO 52'!$C$2:$E$230,3,0),0)</f>
        <v>0</v>
      </c>
      <c r="F4198" s="1">
        <f>IFERROR(VLOOKUP(1240,'PEDIDO 52'!$C$2:$E$230,3,0),0)</f>
        <v>0</v>
      </c>
      <c r="G4198" s="18">
        <f t="shared" si="131"/>
        <v>0</v>
      </c>
    </row>
    <row r="4199" spans="1:7" ht="15.75" x14ac:dyDescent="0.25">
      <c r="A4199" s="15">
        <f>'PEDIDO 52'!$B$2</f>
        <v>0</v>
      </c>
      <c r="B4199" s="12" t="s">
        <v>465</v>
      </c>
      <c r="C4199" s="1">
        <f>IFERROR(VLOOKUP(1241,'PEDIDO 52'!$C$2:$E$230,3,0),0)</f>
        <v>0</v>
      </c>
      <c r="D4199" s="1">
        <f>IFERROR(VLOOKUP(1242,'PEDIDO 52'!$C$2:$E$230,3,0),0)</f>
        <v>0</v>
      </c>
      <c r="E4199" s="1">
        <f>IFERROR(VLOOKUP(1243,'PEDIDO 52'!$C$2:$E$230,3,0),0)</f>
        <v>0</v>
      </c>
      <c r="F4199" s="1">
        <f>IFERROR(VLOOKUP(1244,'PEDIDO 52'!$C$2:$E$230,3,0),0)</f>
        <v>0</v>
      </c>
      <c r="G4199" s="18">
        <f t="shared" si="131"/>
        <v>0</v>
      </c>
    </row>
    <row r="4200" spans="1:7" ht="15.75" x14ac:dyDescent="0.25">
      <c r="A4200" s="15">
        <f>'PEDIDO 52'!$B$2</f>
        <v>0</v>
      </c>
      <c r="B4200" s="12" t="s">
        <v>466</v>
      </c>
      <c r="C4200" s="1">
        <f>IFERROR(VLOOKUP(1245,'PEDIDO 52'!$C$2:$E$230,3,0),0)</f>
        <v>0</v>
      </c>
      <c r="D4200" s="1">
        <f>IFERROR(VLOOKUP(1246,'PEDIDO 52'!$C$2:$E$230,3,0),0)</f>
        <v>0</v>
      </c>
      <c r="E4200" s="1">
        <f>IFERROR(VLOOKUP(1247,'PEDIDO 52'!$C$2:$E$230,3,0),0)</f>
        <v>0</v>
      </c>
      <c r="F4200" s="1">
        <f>IFERROR(VLOOKUP(1248,'PEDIDO 52'!$C$2:$E$230,3,0),0)</f>
        <v>0</v>
      </c>
      <c r="G4200" s="18">
        <f t="shared" si="131"/>
        <v>0</v>
      </c>
    </row>
    <row r="4201" spans="1:7" ht="15.75" x14ac:dyDescent="0.25">
      <c r="A4201" s="15">
        <f>'PEDIDO 52'!$B$2</f>
        <v>0</v>
      </c>
      <c r="B4201" s="12" t="s">
        <v>467</v>
      </c>
      <c r="C4201" s="1">
        <f>IFERROR(VLOOKUP(25714,'PEDIDO 52'!$C$2:$E$230,3,0),0)</f>
        <v>0</v>
      </c>
      <c r="D4201" s="1"/>
      <c r="E4201" s="1"/>
      <c r="F4201" s="1"/>
      <c r="G4201" s="18">
        <f t="shared" si="131"/>
        <v>0</v>
      </c>
    </row>
    <row r="4202" spans="1:7" ht="15.75" x14ac:dyDescent="0.25">
      <c r="A4202" s="15">
        <f>'PEDIDO 52'!$B$2</f>
        <v>0</v>
      </c>
      <c r="B4202" s="12" t="s">
        <v>468</v>
      </c>
      <c r="C4202" s="1">
        <f>IFERROR(VLOOKUP(25712,'PEDIDO 52'!$C$2:$E$230,3,0),0)</f>
        <v>0</v>
      </c>
      <c r="D4202" s="1"/>
      <c r="E4202" s="1"/>
      <c r="F4202" s="1"/>
      <c r="G4202" s="18">
        <f t="shared" si="131"/>
        <v>0</v>
      </c>
    </row>
    <row r="4203" spans="1:7" ht="15.75" x14ac:dyDescent="0.25">
      <c r="A4203" s="15">
        <f>'PEDIDO 52'!$B$2</f>
        <v>0</v>
      </c>
      <c r="B4203" s="12" t="s">
        <v>469</v>
      </c>
      <c r="C4203" s="1">
        <f>IFERROR(VLOOKUP(25713,'PEDIDO 52'!$C$2:$E$230,3,0),0)</f>
        <v>0</v>
      </c>
      <c r="D4203" s="1"/>
      <c r="E4203" s="1"/>
      <c r="F4203" s="1"/>
      <c r="G4203" s="18">
        <f t="shared" si="131"/>
        <v>0</v>
      </c>
    </row>
    <row r="4204" spans="1:7" ht="15.75" x14ac:dyDescent="0.25">
      <c r="A4204" s="15">
        <f>'PEDIDO 52'!$B$2</f>
        <v>0</v>
      </c>
      <c r="B4204" s="12" t="s">
        <v>470</v>
      </c>
      <c r="C4204" s="1">
        <f>IFERROR(VLOOKUP(1260,'PEDIDO 52'!$C$2:$E$230,3,0),0)</f>
        <v>0</v>
      </c>
      <c r="D4204" s="1"/>
      <c r="E4204" s="1"/>
      <c r="F4204" s="1"/>
      <c r="G4204" s="18">
        <f t="shared" si="131"/>
        <v>0</v>
      </c>
    </row>
    <row r="4205" spans="1:7" ht="15.75" x14ac:dyDescent="0.25">
      <c r="A4205" s="15">
        <f>'PEDIDO 52'!$B$2</f>
        <v>0</v>
      </c>
      <c r="B4205" s="12" t="s">
        <v>471</v>
      </c>
      <c r="C4205" s="1">
        <f>IFERROR(VLOOKUP(1261,'PEDIDO 52'!$C$2:$E$230,3,0),0)</f>
        <v>0</v>
      </c>
      <c r="D4205" s="1"/>
      <c r="E4205" s="1"/>
      <c r="F4205" s="1"/>
      <c r="G4205" s="18">
        <f t="shared" si="131"/>
        <v>0</v>
      </c>
    </row>
    <row r="4206" spans="1:7" ht="15.75" x14ac:dyDescent="0.25">
      <c r="A4206" s="15">
        <f>'PEDIDO 52'!$B$2</f>
        <v>0</v>
      </c>
      <c r="B4206" s="12" t="s">
        <v>472</v>
      </c>
      <c r="C4206" s="1">
        <f>IFERROR(VLOOKUP(1262,'PEDIDO 52'!$C$2:$E$230,3,0),0)</f>
        <v>0</v>
      </c>
      <c r="D4206" s="1"/>
      <c r="E4206" s="1"/>
      <c r="F4206" s="1"/>
      <c r="G4206" s="18">
        <f t="shared" si="131"/>
        <v>0</v>
      </c>
    </row>
    <row r="4207" spans="1:7" ht="15.75" x14ac:dyDescent="0.25">
      <c r="A4207" s="15">
        <f>'PEDIDO 52'!$B$2</f>
        <v>0</v>
      </c>
      <c r="B4207" s="12" t="s">
        <v>473</v>
      </c>
      <c r="C4207" s="1">
        <f>IFERROR(VLOOKUP(1263,'PEDIDO 52'!$C$2:$E$230,3,0),0)</f>
        <v>0</v>
      </c>
      <c r="D4207" s="1"/>
      <c r="E4207" s="1"/>
      <c r="F4207" s="1"/>
      <c r="G4207" s="18">
        <f t="shared" si="131"/>
        <v>0</v>
      </c>
    </row>
    <row r="4208" spans="1:7" ht="15.75" x14ac:dyDescent="0.25">
      <c r="A4208" s="15">
        <f>'PEDIDO 52'!$B$2</f>
        <v>0</v>
      </c>
      <c r="B4208" s="12" t="s">
        <v>474</v>
      </c>
      <c r="C4208" s="1">
        <f>IFERROR(VLOOKUP(1264,'PEDIDO 52'!$C$2:$E$230,3,0),0)</f>
        <v>0</v>
      </c>
      <c r="D4208" s="1"/>
      <c r="E4208" s="1"/>
      <c r="F4208" s="1"/>
      <c r="G4208" s="18">
        <f t="shared" si="131"/>
        <v>0</v>
      </c>
    </row>
    <row r="4209" spans="1:7" ht="15.75" x14ac:dyDescent="0.25">
      <c r="A4209" s="15">
        <f>'PEDIDO 52'!$B$2</f>
        <v>0</v>
      </c>
      <c r="B4209" s="12" t="s">
        <v>475</v>
      </c>
      <c r="C4209" s="1">
        <f>IFERROR(VLOOKUP(1265,'PEDIDO 52'!$C$2:$E$230,3,0),0)</f>
        <v>0</v>
      </c>
      <c r="D4209" s="1"/>
      <c r="E4209" s="1"/>
      <c r="F4209" s="1"/>
      <c r="G4209" s="18">
        <f t="shared" si="131"/>
        <v>0</v>
      </c>
    </row>
    <row r="4210" spans="1:7" ht="15.75" x14ac:dyDescent="0.25">
      <c r="A4210" s="15">
        <f>'PEDIDO 52'!$B$2</f>
        <v>0</v>
      </c>
      <c r="B4210" s="12" t="s">
        <v>476</v>
      </c>
      <c r="C4210" s="1">
        <f>IFERROR(VLOOKUP(1266,'PEDIDO 52'!$C$2:$E$230,3,0),0)</f>
        <v>0</v>
      </c>
      <c r="D4210" s="1"/>
      <c r="E4210" s="1"/>
      <c r="F4210" s="1"/>
      <c r="G4210" s="18">
        <f t="shared" si="131"/>
        <v>0</v>
      </c>
    </row>
    <row r="4211" spans="1:7" ht="15.75" x14ac:dyDescent="0.25">
      <c r="A4211" s="15">
        <f>'PEDIDO 52'!$B$2</f>
        <v>0</v>
      </c>
      <c r="B4211" s="12" t="s">
        <v>477</v>
      </c>
      <c r="C4211" s="1">
        <f>IFERROR(VLOOKUP(1268,'PEDIDO 52'!$C$2:$E$230,3,0),0)</f>
        <v>0</v>
      </c>
      <c r="D4211" s="1">
        <f>IFERROR(VLOOKUP(1269,'PEDIDO 52'!$C$2:$E$230,3,0),0)</f>
        <v>0</v>
      </c>
      <c r="E4211" s="1">
        <f>IFERROR(VLOOKUP(1270,'PEDIDO 52'!$C$2:$E$230,3,0),0)</f>
        <v>0</v>
      </c>
      <c r="F4211" s="1">
        <f>IFERROR(VLOOKUP(1271,'PEDIDO 52'!$C$2:$E$230,3,0),0)</f>
        <v>0</v>
      </c>
      <c r="G4211" s="18">
        <f t="shared" ref="G4211" si="132">SUM(C4211+D4211+E4211+F4211)</f>
        <v>0</v>
      </c>
    </row>
    <row r="4214" spans="1:7" ht="15.75" x14ac:dyDescent="0.25">
      <c r="A4214" s="15">
        <f>'PEDIDO 53'!$B$2</f>
        <v>0</v>
      </c>
      <c r="B4214" s="12" t="s">
        <v>399</v>
      </c>
      <c r="C4214" s="1">
        <f>IFERROR(VLOOKUP(1,'PEDIDO 53'!$C$2:$E$230,3,0),0)</f>
        <v>0</v>
      </c>
      <c r="D4214" s="1">
        <f>IFERROR(VLOOKUP(2,'PEDIDO 53'!$C$2:$E$230,3,0),0)</f>
        <v>0</v>
      </c>
      <c r="E4214" s="1">
        <f>IFERROR(VLOOKUP(3,'PEDIDO 53'!$C$2:$E$230,3,0),0)</f>
        <v>0</v>
      </c>
      <c r="F4214" s="1">
        <f>IFERROR(VLOOKUP(282,'PEDIDO 53'!$C$2:$E$230,3,0),0)</f>
        <v>0</v>
      </c>
      <c r="G4214" s="18">
        <f t="shared" ref="G4214:G4277" si="133">SUM(C4214+D4214+E4214+F4214)</f>
        <v>0</v>
      </c>
    </row>
    <row r="4215" spans="1:7" ht="15.75" x14ac:dyDescent="0.25">
      <c r="A4215" s="15">
        <f>'PEDIDO 53'!$B$2</f>
        <v>0</v>
      </c>
      <c r="B4215" s="12" t="s">
        <v>400</v>
      </c>
      <c r="C4215" s="1">
        <f>IFERROR(VLOOKUP(5,'PEDIDO 53'!$C$2:$E$230,3,0),0)</f>
        <v>0</v>
      </c>
      <c r="D4215" s="1">
        <f>IFERROR(VLOOKUP(6,'PEDIDO 53'!$C$2:$E$230,3,0),0)</f>
        <v>0</v>
      </c>
      <c r="E4215" s="1">
        <f>IFERROR(VLOOKUP(7,'PEDIDO 53'!$C$2:$E$230,3,0),0)</f>
        <v>0</v>
      </c>
      <c r="F4215" s="1">
        <f>IFERROR(VLOOKUP(258,'PEDIDO 53'!$C$2:$E$230,3,0),0)</f>
        <v>0</v>
      </c>
      <c r="G4215" s="18">
        <f t="shared" si="133"/>
        <v>0</v>
      </c>
    </row>
    <row r="4216" spans="1:7" ht="15.75" x14ac:dyDescent="0.25">
      <c r="A4216" s="15">
        <f>'PEDIDO 53'!$B$2</f>
        <v>0</v>
      </c>
      <c r="B4216" s="12" t="s">
        <v>401</v>
      </c>
      <c r="C4216" s="1">
        <f>IFERROR(VLOOKUP(13,'PEDIDO 53'!$C$2:$E$230,3,0),0)</f>
        <v>0</v>
      </c>
      <c r="D4216" s="1">
        <f>IFERROR(VLOOKUP(14,'PEDIDO 53'!$C$2:$E$230,3,0),0)</f>
        <v>0</v>
      </c>
      <c r="E4216" s="1">
        <f>IFERROR(VLOOKUP(15,'PEDIDO 53'!$C$2:$E$230,3,0),0)</f>
        <v>0</v>
      </c>
      <c r="F4216" s="1">
        <f>IFERROR(VLOOKUP(289,'PEDIDO 53'!$C$2:$E$230,3,0),0)</f>
        <v>0</v>
      </c>
      <c r="G4216" s="18">
        <f t="shared" si="133"/>
        <v>0</v>
      </c>
    </row>
    <row r="4217" spans="1:7" ht="15.75" x14ac:dyDescent="0.25">
      <c r="A4217" s="15">
        <f>'PEDIDO 53'!$B$2</f>
        <v>0</v>
      </c>
      <c r="B4217" s="12" t="s">
        <v>402</v>
      </c>
      <c r="C4217" s="1">
        <f>IFERROR(VLOOKUP(267,'PEDIDO 53'!$C$2:$E$230,3,0),0)</f>
        <v>0</v>
      </c>
      <c r="D4217" s="1">
        <f>IFERROR(VLOOKUP(268,'PEDIDO 53'!$C$2:$E$230,3,0),0)</f>
        <v>0</v>
      </c>
      <c r="E4217" s="1">
        <f>IFERROR(VLOOKUP(270,'PEDIDO 53'!$C$2:$E$230,3,0),0)</f>
        <v>0</v>
      </c>
      <c r="F4217" s="1">
        <f>IFERROR(VLOOKUP(269,'PEDIDO 53'!$C$2:$E$230,3,0),0)</f>
        <v>0</v>
      </c>
      <c r="G4217" s="18">
        <f t="shared" si="133"/>
        <v>0</v>
      </c>
    </row>
    <row r="4218" spans="1:7" ht="15.75" x14ac:dyDescent="0.25">
      <c r="A4218" s="15">
        <f>'PEDIDO 53'!$B$2</f>
        <v>0</v>
      </c>
      <c r="B4218" s="12" t="s">
        <v>403</v>
      </c>
      <c r="C4218" s="1">
        <f>IFERROR(VLOOKUP(17,'PEDIDO 53'!$C$2:$E$230,3,0),0)</f>
        <v>0</v>
      </c>
      <c r="D4218" s="1">
        <f>IFERROR(VLOOKUP(18,'PEDIDO 53'!$C$2:$E$230,3,0),0)</f>
        <v>0</v>
      </c>
      <c r="E4218" s="1">
        <f>IFERROR(VLOOKUP(19,'PEDIDO 53'!$C$2:$E$230,3,0),0)</f>
        <v>0</v>
      </c>
      <c r="F4218" s="1">
        <f>IFERROR(VLOOKUP(290,'PEDIDO 53'!$C$2:$E$230,3,0),0)</f>
        <v>0</v>
      </c>
      <c r="G4218" s="18">
        <f t="shared" si="133"/>
        <v>0</v>
      </c>
    </row>
    <row r="4219" spans="1:7" ht="15.75" x14ac:dyDescent="0.25">
      <c r="A4219" s="15">
        <f>'PEDIDO 53'!$B$2</f>
        <v>0</v>
      </c>
      <c r="B4219" s="12" t="s">
        <v>404</v>
      </c>
      <c r="C4219" s="1">
        <f>IFERROR(VLOOKUP(23,'PEDIDO 53'!$C$2:$E$230,3,0),0)</f>
        <v>0</v>
      </c>
      <c r="D4219" s="1">
        <f>IFERROR(VLOOKUP(24,'PEDIDO 53'!$C$2:$E$230,3,0),0)</f>
        <v>0</v>
      </c>
      <c r="E4219" s="1">
        <f>IFERROR(VLOOKUP(25,'PEDIDO 53'!$C$2:$E$230,3,0),0)</f>
        <v>0</v>
      </c>
      <c r="F4219" s="1">
        <f>IFERROR(VLOOKUP(291,'PEDIDO 53'!$C$2:$E$230,3,0),0)</f>
        <v>0</v>
      </c>
      <c r="G4219" s="18">
        <f t="shared" si="133"/>
        <v>0</v>
      </c>
    </row>
    <row r="4220" spans="1:7" ht="15.75" x14ac:dyDescent="0.25">
      <c r="A4220" s="15">
        <f>'PEDIDO 53'!$B$2</f>
        <v>0</v>
      </c>
      <c r="B4220" s="12" t="s">
        <v>405</v>
      </c>
      <c r="C4220" s="1">
        <f>IFERROR(VLOOKUP(27,'PEDIDO 53'!$C$2:$E$230,3,0),0)</f>
        <v>0</v>
      </c>
      <c r="D4220" s="1">
        <f>IFERROR(VLOOKUP(28,'PEDIDO 53'!$C$2:$E$230,3,0),0)</f>
        <v>0</v>
      </c>
      <c r="E4220" s="1">
        <f>IFERROR(VLOOKUP(29,'PEDIDO 53'!$C$2:$E$230,3,0),0)</f>
        <v>0</v>
      </c>
      <c r="F4220" s="1">
        <f>IFERROR(VLOOKUP(292,'PEDIDO 53'!$C$2:$E$230,3,0),0)</f>
        <v>0</v>
      </c>
      <c r="G4220" s="18">
        <f t="shared" si="133"/>
        <v>0</v>
      </c>
    </row>
    <row r="4221" spans="1:7" ht="15.75" x14ac:dyDescent="0.25">
      <c r="A4221" s="15">
        <f>'PEDIDO 53'!$B$2</f>
        <v>0</v>
      </c>
      <c r="B4221" s="12" t="s">
        <v>406</v>
      </c>
      <c r="C4221" s="1">
        <f>IFERROR(VLOOKUP(227,'PEDIDO 53'!$C$2:$E$230,3,0),0)</f>
        <v>0</v>
      </c>
      <c r="D4221" s="1">
        <f>IFERROR(VLOOKUP(228,'PEDIDO 53'!$C$2:$E$230,3,0),0)</f>
        <v>0</v>
      </c>
      <c r="E4221" s="1">
        <f>IFERROR(VLOOKUP(229,'PEDIDO 53'!$C$2:$E$230,3,0),0)</f>
        <v>0</v>
      </c>
      <c r="F4221" s="1">
        <f>IFERROR(VLOOKUP(230,'PEDIDO 53'!$C$2:$E$230,3,0),0)</f>
        <v>0</v>
      </c>
      <c r="G4221" s="18">
        <f t="shared" si="133"/>
        <v>0</v>
      </c>
    </row>
    <row r="4222" spans="1:7" ht="15.75" x14ac:dyDescent="0.25">
      <c r="A4222" s="15">
        <f>'PEDIDO 53'!$B$2</f>
        <v>0</v>
      </c>
      <c r="B4222" s="12" t="s">
        <v>407</v>
      </c>
      <c r="C4222" s="1">
        <f>IFERROR(VLOOKUP(231,'PEDIDO 53'!$C$2:$E$230,3,0),0)</f>
        <v>0</v>
      </c>
      <c r="D4222" s="1">
        <f>IFERROR(VLOOKUP(232,'PEDIDO 53'!$C$2:$E$230,3,0),0)</f>
        <v>0</v>
      </c>
      <c r="E4222" s="1">
        <f>IFERROR(VLOOKUP(234,'PEDIDO 53'!$C$2:$E$230,3,0),0)</f>
        <v>0</v>
      </c>
      <c r="F4222" s="1">
        <f>IFERROR(VLOOKUP(233,'PEDIDO 53'!$C$2:$E$230,3,0),0)</f>
        <v>0</v>
      </c>
      <c r="G4222" s="18">
        <f t="shared" si="133"/>
        <v>0</v>
      </c>
    </row>
    <row r="4223" spans="1:7" ht="15.75" x14ac:dyDescent="0.25">
      <c r="A4223" s="15">
        <f>'PEDIDO 53'!$B$2</f>
        <v>0</v>
      </c>
      <c r="B4223" s="12" t="s">
        <v>408</v>
      </c>
      <c r="C4223" s="1">
        <f>IFERROR(VLOOKUP(237,'PEDIDO 53'!$C$2:$E$230,3,0),0)</f>
        <v>0</v>
      </c>
      <c r="D4223" s="1">
        <f>IFERROR(VLOOKUP(238,'PEDIDO 53'!$C$2:$E$230,3,0),0)</f>
        <v>0</v>
      </c>
      <c r="E4223" s="1">
        <f>IFERROR(VLOOKUP(240,'PEDIDO 53'!$C$2:$E$230,3,0),0)</f>
        <v>0</v>
      </c>
      <c r="F4223" s="1">
        <f>IFERROR(VLOOKUP(239,'PEDIDO 53'!$C$2:$E$230,3,0),0)</f>
        <v>0</v>
      </c>
      <c r="G4223" s="18">
        <f t="shared" si="133"/>
        <v>0</v>
      </c>
    </row>
    <row r="4224" spans="1:7" ht="15.75" x14ac:dyDescent="0.25">
      <c r="A4224" s="15">
        <f>'PEDIDO 53'!$B$2</f>
        <v>0</v>
      </c>
      <c r="B4224" s="12" t="s">
        <v>409</v>
      </c>
      <c r="C4224" s="1">
        <f>IFERROR(VLOOKUP(25707,'PEDIDO 53'!$C$2:$E$230,3,0),0)</f>
        <v>0</v>
      </c>
      <c r="D4224" s="1">
        <f>IFERROR(VLOOKUP(25708,'PEDIDO 53'!$C$2:$E$230,3,0),0)</f>
        <v>0</v>
      </c>
      <c r="E4224" s="1">
        <f>IFERROR(VLOOKUP(25710,'PEDIDO 53'!$C$2:$E$230,3,0),0)</f>
        <v>0</v>
      </c>
      <c r="F4224" s="1">
        <f>IFERROR(VLOOKUP(25709,'PEDIDO 53'!$C$2:$E$230,3,0),0)</f>
        <v>0</v>
      </c>
      <c r="G4224" s="18">
        <f t="shared" si="133"/>
        <v>0</v>
      </c>
    </row>
    <row r="4225" spans="1:7" ht="15.75" x14ac:dyDescent="0.25">
      <c r="A4225" s="15">
        <f>'PEDIDO 53'!$B$2</f>
        <v>0</v>
      </c>
      <c r="B4225" s="12" t="s">
        <v>410</v>
      </c>
      <c r="C4225" s="1">
        <f>IFERROR(VLOOKUP(25711,'PEDIDO 53'!$C$2:$E$230,3,0),0)</f>
        <v>0</v>
      </c>
      <c r="D4225" s="1"/>
      <c r="E4225" s="1"/>
      <c r="F4225" s="1"/>
      <c r="G4225" s="18">
        <f t="shared" si="133"/>
        <v>0</v>
      </c>
    </row>
    <row r="4226" spans="1:7" ht="15.75" x14ac:dyDescent="0.25">
      <c r="A4226" s="15">
        <f>'PEDIDO 53'!$B$2</f>
        <v>0</v>
      </c>
      <c r="B4226" s="12" t="s">
        <v>411</v>
      </c>
      <c r="C4226" s="1">
        <f>IFERROR(VLOOKUP(35,'PEDIDO 53'!$C$2:$E$230,3,0),0)</f>
        <v>0</v>
      </c>
      <c r="D4226" s="1">
        <f>IFERROR(VLOOKUP(36,'PEDIDO 53'!$C$2:$E$230,3,0),0)</f>
        <v>0</v>
      </c>
      <c r="E4226" s="1">
        <f>IFERROR(VLOOKUP(37,'PEDIDO 53'!$C$2:$E$230,3,0),0)</f>
        <v>0</v>
      </c>
      <c r="F4226" s="1">
        <f>IFERROR(VLOOKUP(294,'PEDIDO 53'!$C$2:$E$230,3,0),0)</f>
        <v>0</v>
      </c>
      <c r="G4226" s="18">
        <f t="shared" si="133"/>
        <v>0</v>
      </c>
    </row>
    <row r="4227" spans="1:7" ht="15.75" x14ac:dyDescent="0.25">
      <c r="A4227" s="15">
        <f>'PEDIDO 53'!$B$2</f>
        <v>0</v>
      </c>
      <c r="B4227" s="12" t="s">
        <v>412</v>
      </c>
      <c r="C4227" s="1">
        <f>IFERROR(VLOOKUP(39,'PEDIDO 53'!$C$2:$E$230,3,0),0)</f>
        <v>0</v>
      </c>
      <c r="D4227" s="1">
        <f>IFERROR(VLOOKUP(40,'PEDIDO 53'!$C$2:$E$230,3,0),0)</f>
        <v>0</v>
      </c>
      <c r="E4227" s="1">
        <f>IFERROR(VLOOKUP(42,'PEDIDO 53'!$C$2:$E$230,3,0),0)</f>
        <v>0</v>
      </c>
      <c r="F4227" s="1">
        <f>IFERROR(VLOOKUP(295,'PEDIDO 53'!$C$2:$E$230,3,0),0)</f>
        <v>0</v>
      </c>
      <c r="G4227" s="18">
        <f t="shared" si="133"/>
        <v>0</v>
      </c>
    </row>
    <row r="4228" spans="1:7" ht="15.75" x14ac:dyDescent="0.25">
      <c r="A4228" s="15">
        <f>'PEDIDO 53'!$B$2</f>
        <v>0</v>
      </c>
      <c r="B4228" s="12" t="s">
        <v>413</v>
      </c>
      <c r="C4228" s="1">
        <f>IFERROR(VLOOKUP(44,'PEDIDO 53'!$C$2:$E$230,3,0),0)</f>
        <v>0</v>
      </c>
      <c r="D4228" s="1">
        <f>IFERROR(VLOOKUP(45,'PEDIDO 53'!$C$2:$E$230,3,0),0)</f>
        <v>0</v>
      </c>
      <c r="E4228" s="1">
        <f>IFERROR(VLOOKUP(46,'PEDIDO 53'!$C$2:$E$230,3,0),0)</f>
        <v>0</v>
      </c>
      <c r="F4228" s="1">
        <f>IFERROR(VLOOKUP(283,'PEDIDO 53'!$C$2:$E$230,3,0),0)</f>
        <v>0</v>
      </c>
      <c r="G4228" s="18">
        <f t="shared" si="133"/>
        <v>0</v>
      </c>
    </row>
    <row r="4229" spans="1:7" ht="15.75" x14ac:dyDescent="0.25">
      <c r="A4229" s="15">
        <f>'PEDIDO 53'!$B$2</f>
        <v>0</v>
      </c>
      <c r="B4229" s="12" t="s">
        <v>414</v>
      </c>
      <c r="C4229" s="1">
        <f>IFERROR(VLOOKUP(48,'PEDIDO 53'!$C$2:$E$230,3,0),0)</f>
        <v>0</v>
      </c>
      <c r="D4229" s="1">
        <f>IFERROR(VLOOKUP(49,'PEDIDO 53'!$C$2:$E$230,3,0),0)</f>
        <v>0</v>
      </c>
      <c r="E4229" s="1">
        <f>IFERROR(VLOOKUP(50,'PEDIDO 53'!$C$2:$E$230,3,0),0)</f>
        <v>0</v>
      </c>
      <c r="F4229" s="1">
        <f>IFERROR(VLOOKUP(298,'PEDIDO 53'!$C$2:$E$230,3,0),0)</f>
        <v>0</v>
      </c>
      <c r="G4229" s="18">
        <f t="shared" si="133"/>
        <v>0</v>
      </c>
    </row>
    <row r="4230" spans="1:7" ht="15.75" x14ac:dyDescent="0.25">
      <c r="A4230" s="15">
        <f>'PEDIDO 53'!$B$2</f>
        <v>0</v>
      </c>
      <c r="B4230" s="12" t="s">
        <v>415</v>
      </c>
      <c r="C4230" s="1">
        <f>IFERROR(VLOOKUP(52,'PEDIDO 53'!$C$2:$E$230,3,0),0)</f>
        <v>0</v>
      </c>
      <c r="D4230" s="1">
        <f>IFERROR(VLOOKUP(53,'PEDIDO 53'!$C$2:$E$230,3,0),0)</f>
        <v>0</v>
      </c>
      <c r="E4230" s="1">
        <f>IFERROR(VLOOKUP(54,'PEDIDO 53'!$C$2:$E$230,3,0),0)</f>
        <v>0</v>
      </c>
      <c r="F4230" s="1">
        <f>IFERROR(VLOOKUP(299,'PEDIDO 53'!$C$2:$E$230,3,0),0)</f>
        <v>0</v>
      </c>
      <c r="G4230" s="18">
        <f t="shared" si="133"/>
        <v>0</v>
      </c>
    </row>
    <row r="4231" spans="1:7" ht="15.75" x14ac:dyDescent="0.25">
      <c r="A4231" s="15">
        <f>'PEDIDO 53'!$B$2</f>
        <v>0</v>
      </c>
      <c r="B4231" s="12" t="s">
        <v>416</v>
      </c>
      <c r="C4231" s="1">
        <f>IFERROR(VLOOKUP(56,'PEDIDO 53'!$C$2:$E$230,3,0),0)</f>
        <v>0</v>
      </c>
      <c r="D4231" s="1">
        <f>IFERROR(VLOOKUP(61,'PEDIDO 53'!$C$2:$E$230,3,0),0)</f>
        <v>0</v>
      </c>
      <c r="E4231" s="1">
        <f>IFERROR(VLOOKUP(58,'PEDIDO 53'!$C$2:$E$230,3,0),0)</f>
        <v>0</v>
      </c>
      <c r="F4231" s="1">
        <f>IFERROR(VLOOKUP(300,'PEDIDO 53'!$C$2:$E$230,3,0),0)</f>
        <v>0</v>
      </c>
      <c r="G4231" s="18">
        <f t="shared" si="133"/>
        <v>0</v>
      </c>
    </row>
    <row r="4232" spans="1:7" ht="15.75" x14ac:dyDescent="0.25">
      <c r="A4232" s="15">
        <f>'PEDIDO 53'!$B$2</f>
        <v>0</v>
      </c>
      <c r="B4232" s="12" t="s">
        <v>417</v>
      </c>
      <c r="C4232" s="1">
        <f>IFERROR(VLOOKUP(60,'PEDIDO 53'!$C$2:$E$230,3,0),0)</f>
        <v>0</v>
      </c>
      <c r="D4232" s="1">
        <f>IFERROR(VLOOKUP(120,'PEDIDO 53'!$C$2:$E$230,3,0),0)</f>
        <v>0</v>
      </c>
      <c r="E4232" s="1">
        <f>IFERROR(VLOOKUP(62,'PEDIDO 53'!$C$2:$E$230,3,0),0)</f>
        <v>0</v>
      </c>
      <c r="F4232" s="1">
        <f>IFERROR(VLOOKUP(301,'PEDIDO 53'!$C$2:$E$230,3,0),0)</f>
        <v>0</v>
      </c>
      <c r="G4232" s="18">
        <f t="shared" si="133"/>
        <v>0</v>
      </c>
    </row>
    <row r="4233" spans="1:7" ht="15.75" x14ac:dyDescent="0.25">
      <c r="A4233" s="15">
        <f>'PEDIDO 53'!$B$2</f>
        <v>0</v>
      </c>
      <c r="B4233" s="12" t="s">
        <v>426</v>
      </c>
      <c r="C4233" s="1">
        <f>IFERROR(VLOOKUP(112,'PEDIDO 53'!$C$2:$E$230,3,0),0)</f>
        <v>0</v>
      </c>
      <c r="D4233" s="1">
        <f>IFERROR(VLOOKUP(113,'PEDIDO 53'!$C$2:$E$230,3,0),0)</f>
        <v>0</v>
      </c>
      <c r="E4233" s="1">
        <f>IFERROR(VLOOKUP(114,'PEDIDO 53'!$C$2:$E$230,3,0),0)</f>
        <v>0</v>
      </c>
      <c r="F4233" s="1">
        <f>IFERROR(VLOOKUP(296,'PEDIDO 53'!$C$2:$E$230,3,0),0)</f>
        <v>0</v>
      </c>
      <c r="G4233" s="18">
        <f t="shared" si="133"/>
        <v>0</v>
      </c>
    </row>
    <row r="4234" spans="1:7" ht="15.75" x14ac:dyDescent="0.25">
      <c r="A4234" s="15">
        <f>'PEDIDO 53'!$B$2</f>
        <v>0</v>
      </c>
      <c r="B4234" s="12" t="s">
        <v>427</v>
      </c>
      <c r="C4234" s="1">
        <f>IFERROR(VLOOKUP(116,'PEDIDO 53'!$C$2:$E$230,3,0),0)</f>
        <v>0</v>
      </c>
      <c r="D4234" s="1">
        <f>IFERROR(VLOOKUP(117,'PEDIDO 53'!$C$2:$E$230,3,0),0)</f>
        <v>0</v>
      </c>
      <c r="E4234" s="1">
        <f>IFERROR(VLOOKUP(118,'PEDIDO 53'!$C$2:$E$230,3,0),0)</f>
        <v>0</v>
      </c>
      <c r="F4234" s="1">
        <f>IFERROR(VLOOKUP(293,'PEDIDO 53'!$C$2:$E$230,3,0),0)</f>
        <v>0</v>
      </c>
      <c r="G4234" s="18">
        <f t="shared" si="133"/>
        <v>0</v>
      </c>
    </row>
    <row r="4235" spans="1:7" ht="15.75" x14ac:dyDescent="0.25">
      <c r="A4235" s="15">
        <f>'PEDIDO 53'!$B$2</f>
        <v>0</v>
      </c>
      <c r="B4235" s="12" t="s">
        <v>418</v>
      </c>
      <c r="C4235" s="1">
        <f>IFERROR(VLOOKUP(963,'PEDIDO 53'!$C$2:$E$230,3,0),0)</f>
        <v>0</v>
      </c>
      <c r="D4235" s="1">
        <f>IFERROR(VLOOKUP(965,'PEDIDO 53'!$C$2:$E$230,3,0),0)</f>
        <v>0</v>
      </c>
      <c r="E4235" s="1">
        <f>IFERROR(VLOOKUP(966,'PEDIDO 53'!$C$2:$E$230,3,0),0)</f>
        <v>0</v>
      </c>
      <c r="F4235" s="1">
        <f>IFERROR(VLOOKUP(964,'PEDIDO 53'!$C$2:$E$230,3,0),0)</f>
        <v>0</v>
      </c>
      <c r="G4235" s="18">
        <f t="shared" si="133"/>
        <v>0</v>
      </c>
    </row>
    <row r="4236" spans="1:7" ht="15.75" x14ac:dyDescent="0.25">
      <c r="A4236" s="15">
        <f>'PEDIDO 53'!$B$2</f>
        <v>0</v>
      </c>
      <c r="B4236" s="12" t="s">
        <v>419</v>
      </c>
      <c r="C4236" s="1">
        <f>IFERROR(VLOOKUP(2042,'PEDIDO 53'!$C$2:$E$230,3,0),0)</f>
        <v>0</v>
      </c>
      <c r="D4236" s="1">
        <f>IFERROR(VLOOKUP(2041,'PEDIDO 53'!$C$2:$E$230,3,0),0)</f>
        <v>0</v>
      </c>
      <c r="E4236" s="1">
        <f>IFERROR(VLOOKUP(2043,'PEDIDO 53'!$C$2:$E$230,3,0),0)</f>
        <v>0</v>
      </c>
      <c r="F4236" s="1">
        <f>IFERROR(VLOOKUP(2040,'PEDIDO 53'!$C$2:$E$230,3,0),0)</f>
        <v>0</v>
      </c>
      <c r="G4236" s="18">
        <f t="shared" si="133"/>
        <v>0</v>
      </c>
    </row>
    <row r="4237" spans="1:7" ht="15.75" x14ac:dyDescent="0.25">
      <c r="A4237" s="15">
        <f>'PEDIDO 53'!$B$2</f>
        <v>0</v>
      </c>
      <c r="B4237" s="12" t="s">
        <v>420</v>
      </c>
      <c r="C4237" s="1">
        <f>IFERROR(VLOOKUP(2045,'PEDIDO 53'!$C$2:$E$230,3,0),0)</f>
        <v>0</v>
      </c>
      <c r="D4237" s="1">
        <f>IFERROR(VLOOKUP(2046,'PEDIDO 53'!$C$2:$E$230,3,0),0)</f>
        <v>0</v>
      </c>
      <c r="E4237" s="1">
        <f>IFERROR(VLOOKUP(2047,'PEDIDO 53'!$C$2:$E$230,3,0),0)</f>
        <v>0</v>
      </c>
      <c r="F4237" s="1">
        <f>IFERROR(VLOOKUP(2048,'PEDIDO 53'!$C$2:$E$230,3,0),0)</f>
        <v>0</v>
      </c>
      <c r="G4237" s="18">
        <f t="shared" si="133"/>
        <v>0</v>
      </c>
    </row>
    <row r="4238" spans="1:7" ht="15.75" x14ac:dyDescent="0.25">
      <c r="A4238" s="15">
        <f>'PEDIDO 53'!$B$2</f>
        <v>0</v>
      </c>
      <c r="B4238" s="12" t="s">
        <v>421</v>
      </c>
      <c r="C4238" s="1">
        <f>IFERROR(VLOOKUP(2050,'PEDIDO 53'!$C$2:$E$230,3,0),0)</f>
        <v>0</v>
      </c>
      <c r="D4238" s="1">
        <f>IFERROR(VLOOKUP(2051,'PEDIDO 53'!$C$2:$E$230,3,0),0)</f>
        <v>0</v>
      </c>
      <c r="E4238" s="1">
        <f>IFERROR(VLOOKUP(2052,'PEDIDO 53'!$C$2:$E$230,3,0),0)</f>
        <v>0</v>
      </c>
      <c r="F4238" s="1">
        <f>IFERROR(VLOOKUP(2053,'PEDIDO 53'!$C$2:$E$230,3,0),0)</f>
        <v>0</v>
      </c>
      <c r="G4238" s="18">
        <f t="shared" si="133"/>
        <v>0</v>
      </c>
    </row>
    <row r="4239" spans="1:7" ht="15.75" x14ac:dyDescent="0.25">
      <c r="A4239" s="15">
        <f>'PEDIDO 53'!$B$2</f>
        <v>0</v>
      </c>
      <c r="B4239" s="12" t="s">
        <v>422</v>
      </c>
      <c r="C4239" s="1">
        <f>IFERROR(VLOOKUP(216,'PEDIDO 53'!$C$2:$E$230,3,0),0)</f>
        <v>0</v>
      </c>
      <c r="D4239" s="1">
        <f>IFERROR(VLOOKUP(217,'PEDIDO 53'!$C$2:$E$230,3,0),0)</f>
        <v>0</v>
      </c>
      <c r="E4239" s="1">
        <f>IFERROR(VLOOKUP(218,'PEDIDO 53'!$C$2:$E$230,3,0),0)</f>
        <v>0</v>
      </c>
      <c r="F4239" s="1">
        <f>IFERROR(VLOOKUP(305,'PEDIDO 53'!$C$2:$E$230,3,0),0)</f>
        <v>0</v>
      </c>
      <c r="G4239" s="18">
        <f t="shared" si="133"/>
        <v>0</v>
      </c>
    </row>
    <row r="4240" spans="1:7" ht="15.75" x14ac:dyDescent="0.25">
      <c r="A4240" s="15">
        <f>'PEDIDO 53'!$B$2</f>
        <v>0</v>
      </c>
      <c r="B4240" s="12" t="s">
        <v>423</v>
      </c>
      <c r="C4240" s="1">
        <f>IFERROR(VLOOKUP(100,'PEDIDO 53'!$C$2:$E$230,3,0),0)</f>
        <v>0</v>
      </c>
      <c r="D4240" s="1">
        <f>IFERROR(VLOOKUP(101,'PEDIDO 53'!$C$2:$E$230,3,0),0)</f>
        <v>0</v>
      </c>
      <c r="E4240" s="1">
        <f>IFERROR(VLOOKUP(102,'PEDIDO 53'!$C$2:$E$230,3,0),0)</f>
        <v>0</v>
      </c>
      <c r="F4240" s="1">
        <f>IFERROR(VLOOKUP(306,'PEDIDO 53'!$C$2:$E$230,3,0),0)</f>
        <v>0</v>
      </c>
      <c r="G4240" s="18">
        <f t="shared" si="133"/>
        <v>0</v>
      </c>
    </row>
    <row r="4241" spans="1:7" ht="15.75" x14ac:dyDescent="0.25">
      <c r="A4241" s="15">
        <f>'PEDIDO 53'!$B$2</f>
        <v>0</v>
      </c>
      <c r="B4241" s="12" t="s">
        <v>424</v>
      </c>
      <c r="C4241" s="1">
        <f>IFERROR(VLOOKUP(104,'PEDIDO 53'!$C$2:$E$230,3,0),0)</f>
        <v>0</v>
      </c>
      <c r="D4241" s="1">
        <f>IFERROR(VLOOKUP(105,'PEDIDO 53'!$C$2:$E$230,3,0),0)</f>
        <v>0</v>
      </c>
      <c r="E4241" s="1">
        <f>IFERROR(VLOOKUP(106,'PEDIDO 53'!$C$2:$E$230,3,0),0)</f>
        <v>0</v>
      </c>
      <c r="F4241" s="1">
        <f>IFERROR(VLOOKUP(307,'PEDIDO 53'!$C$2:$E$230,3,0),0)</f>
        <v>0</v>
      </c>
      <c r="G4241" s="18">
        <f t="shared" si="133"/>
        <v>0</v>
      </c>
    </row>
    <row r="4242" spans="1:7" ht="15.75" x14ac:dyDescent="0.25">
      <c r="A4242" s="15">
        <f>'PEDIDO 53'!$B$2</f>
        <v>0</v>
      </c>
      <c r="B4242" s="12" t="s">
        <v>425</v>
      </c>
      <c r="C4242" s="1">
        <f>IFERROR(VLOOKUP(400,'PEDIDO 53'!$C$2:$E$230,3,0),0)</f>
        <v>0</v>
      </c>
      <c r="D4242" s="1">
        <f>IFERROR(VLOOKUP(401,'PEDIDO 53'!$C$2:$E$230,3,0),0)</f>
        <v>0</v>
      </c>
      <c r="E4242" s="1">
        <f>IFERROR(VLOOKUP(402,'PEDIDO 53'!$C$2:$E$230,3,0),0)</f>
        <v>0</v>
      </c>
      <c r="F4242" s="1">
        <f>IFERROR(VLOOKUP(403,'PEDIDO 53'!$C$2:$E$230,3,0),0)</f>
        <v>0</v>
      </c>
      <c r="G4242" s="18">
        <f t="shared" si="133"/>
        <v>0</v>
      </c>
    </row>
    <row r="4243" spans="1:7" ht="15.75" x14ac:dyDescent="0.25">
      <c r="A4243" s="15">
        <f>'PEDIDO 53'!$B$2</f>
        <v>0</v>
      </c>
      <c r="B4243" s="12" t="s">
        <v>428</v>
      </c>
      <c r="C4243" s="1">
        <f>IFERROR(VLOOKUP(22,'PEDIDO 53'!$C$2:$E$230,3,0),0)</f>
        <v>0</v>
      </c>
      <c r="D4243" s="1"/>
      <c r="E4243" s="1"/>
      <c r="F4243" s="1"/>
      <c r="G4243" s="18">
        <f t="shared" si="133"/>
        <v>0</v>
      </c>
    </row>
    <row r="4244" spans="1:7" ht="15.75" x14ac:dyDescent="0.25">
      <c r="A4244" s="15">
        <f>'PEDIDO 53'!$B$2</f>
        <v>0</v>
      </c>
      <c r="B4244" s="12" t="s">
        <v>429</v>
      </c>
      <c r="C4244" s="1">
        <f>IFERROR(VLOOKUP(21,'PEDIDO 53'!$C$2:$E$230,3,0),0)</f>
        <v>0</v>
      </c>
      <c r="D4244" s="1"/>
      <c r="E4244" s="1"/>
      <c r="F4244" s="1"/>
      <c r="G4244" s="18">
        <f t="shared" si="133"/>
        <v>0</v>
      </c>
    </row>
    <row r="4245" spans="1:7" ht="15.75" x14ac:dyDescent="0.25">
      <c r="A4245" s="15">
        <f>'PEDIDO 53'!$B$2</f>
        <v>0</v>
      </c>
      <c r="B4245" s="12" t="s">
        <v>430</v>
      </c>
      <c r="C4245" s="1">
        <f>IFERROR(VLOOKUP(1125,'PEDIDO 53'!$C$2:$E$230,3,0),0)</f>
        <v>0</v>
      </c>
      <c r="D4245" s="1">
        <f>IFERROR(VLOOKUP(1126,'PEDIDO 53'!$C$2:$E$230,3,0),0)</f>
        <v>0</v>
      </c>
      <c r="E4245" s="1">
        <f>IFERROR(VLOOKUP(1127,'PEDIDO 53'!$C$2:$E$230,3,0),0)</f>
        <v>0</v>
      </c>
      <c r="F4245" s="1">
        <f>IFERROR(VLOOKUP(1128,'PEDIDO 53'!$C$2:$E$230,3,0),0)</f>
        <v>0</v>
      </c>
      <c r="G4245" s="18">
        <f t="shared" si="133"/>
        <v>0</v>
      </c>
    </row>
    <row r="4246" spans="1:7" ht="15.75" x14ac:dyDescent="0.25">
      <c r="A4246" s="15">
        <f>'PEDIDO 53'!$B$2</f>
        <v>0</v>
      </c>
      <c r="B4246" s="12" t="s">
        <v>431</v>
      </c>
      <c r="C4246" s="1">
        <f>IFERROR(VLOOKUP(1133,'PEDIDO 53'!$C$2:$E$230,3,0),0)</f>
        <v>0</v>
      </c>
      <c r="D4246" s="1">
        <f>IFERROR(VLOOKUP(1134,'PEDIDO 53'!$C$2:$E$230,3,0),0)</f>
        <v>0</v>
      </c>
      <c r="E4246" s="1">
        <f>IFERROR(VLOOKUP(1135,'PEDIDO 53'!$C$2:$E$230,3,0),0)</f>
        <v>0</v>
      </c>
      <c r="F4246" s="1">
        <f>IFERROR(VLOOKUP(1136,'PEDIDO 53'!$C$2:$E$230,3,0),0)</f>
        <v>0</v>
      </c>
      <c r="G4246" s="18">
        <f t="shared" si="133"/>
        <v>0</v>
      </c>
    </row>
    <row r="4247" spans="1:7" ht="15.75" x14ac:dyDescent="0.25">
      <c r="A4247" s="15">
        <f>'PEDIDO 53'!$B$2</f>
        <v>0</v>
      </c>
      <c r="B4247" s="12" t="s">
        <v>432</v>
      </c>
      <c r="C4247" s="1">
        <f>IFERROR(VLOOKUP(1105,'PEDIDO 53'!$C$2:$E$230,3,0),0)</f>
        <v>0</v>
      </c>
      <c r="D4247" s="1">
        <f>IFERROR(VLOOKUP(1106,'PEDIDO 53'!$C$2:$E$230,3,0),0)</f>
        <v>0</v>
      </c>
      <c r="E4247" s="1">
        <f>IFERROR(VLOOKUP(1107,'PEDIDO 53'!$C$2:$E$230,3,0),0)</f>
        <v>0</v>
      </c>
      <c r="F4247" s="1">
        <f>IFERROR(VLOOKUP(1108,'PEDIDO 53'!$C$2:$E$230,3,0),0)</f>
        <v>0</v>
      </c>
      <c r="G4247" s="18">
        <f t="shared" si="133"/>
        <v>0</v>
      </c>
    </row>
    <row r="4248" spans="1:7" ht="15.75" x14ac:dyDescent="0.25">
      <c r="A4248" s="15">
        <f>'PEDIDO 53'!$B$2</f>
        <v>0</v>
      </c>
      <c r="B4248" s="12" t="s">
        <v>433</v>
      </c>
      <c r="C4248" s="1">
        <f>IFERROR(VLOOKUP(1109,'PEDIDO 53'!$C$2:$E$230,3,0),0)</f>
        <v>0</v>
      </c>
      <c r="D4248" s="1">
        <f>IFERROR(VLOOKUP(1110,'PEDIDO 53'!$C$2:$E$230,3,0),0)</f>
        <v>0</v>
      </c>
      <c r="E4248" s="1">
        <f>IFERROR(VLOOKUP(1111,'PEDIDO 53'!$C$2:$E$230,3,0),0)</f>
        <v>0</v>
      </c>
      <c r="F4248" s="1">
        <f>IFERROR(VLOOKUP(1112,'PEDIDO 53'!$C$2:$E$230,3,0),0)</f>
        <v>0</v>
      </c>
      <c r="G4248" s="18">
        <f t="shared" si="133"/>
        <v>0</v>
      </c>
    </row>
    <row r="4249" spans="1:7" ht="15.75" x14ac:dyDescent="0.25">
      <c r="A4249" s="15">
        <f>'PEDIDO 53'!$B$2</f>
        <v>0</v>
      </c>
      <c r="B4249" s="12" t="s">
        <v>434</v>
      </c>
      <c r="C4249" s="1">
        <f>IFERROR(VLOOKUP(1113,'PEDIDO 53'!$C$2:$E$230,3,0),0)</f>
        <v>0</v>
      </c>
      <c r="D4249" s="1">
        <f>IFERROR(VLOOKUP(1114,'PEDIDO 53'!$C$2:$E$230,3,0),0)</f>
        <v>0</v>
      </c>
      <c r="E4249" s="1">
        <f>IFERROR(VLOOKUP(1115,'PEDIDO 53'!$C$2:$E$230,3,0),0)</f>
        <v>0</v>
      </c>
      <c r="F4249" s="1">
        <f>IFERROR(VLOOKUP(1116,'PEDIDO 53'!$C$2:$E$230,3,0),0)</f>
        <v>0</v>
      </c>
      <c r="G4249" s="18">
        <f t="shared" si="133"/>
        <v>0</v>
      </c>
    </row>
    <row r="4250" spans="1:7" ht="15.75" x14ac:dyDescent="0.25">
      <c r="A4250" s="15">
        <f>'PEDIDO 53'!$B$2</f>
        <v>0</v>
      </c>
      <c r="B4250" s="12" t="s">
        <v>435</v>
      </c>
      <c r="C4250" s="1">
        <f>IFERROR(VLOOKUP(1117,'PEDIDO 53'!$C$2:$E$230,3,0),0)</f>
        <v>0</v>
      </c>
      <c r="D4250" s="1">
        <f>IFERROR(VLOOKUP(1118,'PEDIDO 53'!$C$2:$E$230,3,0),0)</f>
        <v>0</v>
      </c>
      <c r="E4250" s="1">
        <f>IFERROR(VLOOKUP(1119,'PEDIDO 53'!$C$2:$E$230,3,0),0)</f>
        <v>0</v>
      </c>
      <c r="F4250" s="1">
        <f>IFERROR(VLOOKUP(1120,'PEDIDO 53'!$C$2:$E$230,3,0),0)</f>
        <v>0</v>
      </c>
      <c r="G4250" s="18">
        <f t="shared" si="133"/>
        <v>0</v>
      </c>
    </row>
    <row r="4251" spans="1:7" ht="15.75" x14ac:dyDescent="0.25">
      <c r="A4251" s="15">
        <f>'PEDIDO 53'!$B$2</f>
        <v>0</v>
      </c>
      <c r="B4251" s="12" t="s">
        <v>436</v>
      </c>
      <c r="C4251" s="1">
        <f>IFERROR(VLOOKUP(1121,'PEDIDO 53'!$C$2:$E$230,3,0),0)</f>
        <v>0</v>
      </c>
      <c r="D4251" s="1">
        <f>IFERROR(VLOOKUP(1122,'PEDIDO 53'!$C$2:$E$230,3,0),0)</f>
        <v>0</v>
      </c>
      <c r="E4251" s="1">
        <f>IFERROR(VLOOKUP(1123,'PEDIDO 53'!$C$2:$E$230,3,0),0)</f>
        <v>0</v>
      </c>
      <c r="F4251" s="1">
        <f>IFERROR(VLOOKUP(1124,'PEDIDO 53'!$C$2:$E$230,3,0),0)</f>
        <v>0</v>
      </c>
      <c r="G4251" s="18">
        <f t="shared" si="133"/>
        <v>0</v>
      </c>
    </row>
    <row r="4252" spans="1:7" ht="15.75" x14ac:dyDescent="0.25">
      <c r="A4252" s="15">
        <f>'PEDIDO 53'!$B$2</f>
        <v>0</v>
      </c>
      <c r="B4252" s="12" t="s">
        <v>437</v>
      </c>
      <c r="C4252" s="1">
        <f>IFERROR(VLOOKUP(1129,'PEDIDO 53'!$C$2:$E$230,3,0),0)</f>
        <v>0</v>
      </c>
      <c r="D4252" s="1">
        <f>IFERROR(VLOOKUP(1130,'PEDIDO 53'!$C$2:$E$230,3,0),0)</f>
        <v>0</v>
      </c>
      <c r="E4252" s="1">
        <f>IFERROR(VLOOKUP(1131,'PEDIDO 53'!$C$2:$E$230,3,0),0)</f>
        <v>0</v>
      </c>
      <c r="F4252" s="1">
        <f>IFERROR(VLOOKUP(1132,'PEDIDO 53'!$C$2:$E$230,3,0),0)</f>
        <v>0</v>
      </c>
      <c r="G4252" s="18">
        <f t="shared" si="133"/>
        <v>0</v>
      </c>
    </row>
    <row r="4253" spans="1:7" ht="15.75" x14ac:dyDescent="0.25">
      <c r="A4253" s="15">
        <f>'PEDIDO 53'!$B$2</f>
        <v>0</v>
      </c>
      <c r="B4253" s="12" t="s">
        <v>438</v>
      </c>
      <c r="C4253" s="1">
        <f>IFERROR(VLOOKUP(1137,'PEDIDO 53'!$C$2:$E$230,3,0),0)</f>
        <v>0</v>
      </c>
      <c r="D4253" s="1">
        <f>IFERROR(VLOOKUP(1138,'PEDIDO 53'!$C$2:$E$230,3,0),0)</f>
        <v>0</v>
      </c>
      <c r="E4253" s="1">
        <f>IFERROR(VLOOKUP(1139,'PEDIDO 53'!$C$2:$E$230,3,0),0)</f>
        <v>0</v>
      </c>
      <c r="F4253" s="1">
        <f>IFERROR(VLOOKUP(1140,'PEDIDO 53'!$C$2:$E$230,3,0),0)</f>
        <v>0</v>
      </c>
      <c r="G4253" s="18">
        <f t="shared" si="133"/>
        <v>0</v>
      </c>
    </row>
    <row r="4254" spans="1:7" ht="15.75" x14ac:dyDescent="0.25">
      <c r="A4254" s="15">
        <f>'PEDIDO 53'!$B$2</f>
        <v>0</v>
      </c>
      <c r="B4254" s="12" t="s">
        <v>439</v>
      </c>
      <c r="C4254" s="1">
        <f>IFERROR(VLOOKUP(1141,'PEDIDO 53'!$C$2:$E$230,3,0),0)</f>
        <v>0</v>
      </c>
      <c r="D4254" s="1">
        <f>IFERROR(VLOOKUP(1142,'PEDIDO 53'!$C$2:$E$230,3,0),0)</f>
        <v>0</v>
      </c>
      <c r="E4254" s="1">
        <f>IFERROR(VLOOKUP(1143,'PEDIDO 53'!$C$2:$E$230,3,0),0)</f>
        <v>0</v>
      </c>
      <c r="F4254" s="1">
        <f>IFERROR(VLOOKUP(1144,'PEDIDO 53'!$C$2:$E$230,3,0),0)</f>
        <v>0</v>
      </c>
      <c r="G4254" s="18">
        <f t="shared" si="133"/>
        <v>0</v>
      </c>
    </row>
    <row r="4255" spans="1:7" ht="15.75" x14ac:dyDescent="0.25">
      <c r="A4255" s="15">
        <f>'PEDIDO 53'!$B$2</f>
        <v>0</v>
      </c>
      <c r="B4255" s="12" t="s">
        <v>440</v>
      </c>
      <c r="C4255" s="1">
        <f>IFERROR(VLOOKUP(1145,'PEDIDO 53'!$C$2:$E$230,3,0),0)</f>
        <v>0</v>
      </c>
      <c r="D4255" s="1">
        <f>IFERROR(VLOOKUP(1146,'PEDIDO 53'!$C$2:$E$230,3,0),0)</f>
        <v>0</v>
      </c>
      <c r="E4255" s="1">
        <f>IFERROR(VLOOKUP(1147,'PEDIDO 53'!$C$2:$E$230,3,0),0)</f>
        <v>0</v>
      </c>
      <c r="F4255" s="1">
        <f>IFERROR(VLOOKUP(1148,'PEDIDO 53'!$C$2:$E$230,3,0),0)</f>
        <v>0</v>
      </c>
      <c r="G4255" s="18">
        <f t="shared" si="133"/>
        <v>0</v>
      </c>
    </row>
    <row r="4256" spans="1:7" ht="15.75" x14ac:dyDescent="0.25">
      <c r="A4256" s="15">
        <f>'PEDIDO 53'!$B$2</f>
        <v>0</v>
      </c>
      <c r="B4256" s="12" t="s">
        <v>441</v>
      </c>
      <c r="C4256" s="1">
        <f>IFERROR(VLOOKUP(1149,'PEDIDO 53'!$C$2:$E$230,3,0),0)</f>
        <v>0</v>
      </c>
      <c r="D4256" s="1">
        <f>IFERROR(VLOOKUP(1150,'PEDIDO 53'!$C$2:$E$230,3,0),0)</f>
        <v>0</v>
      </c>
      <c r="E4256" s="1">
        <f>IFERROR(VLOOKUP(1151,'PEDIDO 53'!$C$2:$E$230,3,0),0)</f>
        <v>0</v>
      </c>
      <c r="F4256" s="1">
        <f>IFERROR(VLOOKUP(1152,'PEDIDO 53'!$C$2:$E$230,3,0),0)</f>
        <v>0</v>
      </c>
      <c r="G4256" s="18">
        <f t="shared" si="133"/>
        <v>0</v>
      </c>
    </row>
    <row r="4257" spans="1:7" ht="15.75" x14ac:dyDescent="0.25">
      <c r="A4257" s="15">
        <f>'PEDIDO 53'!$B$2</f>
        <v>0</v>
      </c>
      <c r="B4257" s="12" t="s">
        <v>442</v>
      </c>
      <c r="C4257" s="1">
        <f>IFERROR(VLOOKUP(1153,'PEDIDO 53'!$C$2:$E$230,3,0),0)</f>
        <v>0</v>
      </c>
      <c r="D4257" s="1">
        <f>IFERROR(VLOOKUP(1154,'PEDIDO 53'!$C$2:$E$230,3,0),0)</f>
        <v>0</v>
      </c>
      <c r="E4257" s="1">
        <f>IFERROR(VLOOKUP(1155,'PEDIDO 53'!$C$2:$E$230,3,0),0)</f>
        <v>0</v>
      </c>
      <c r="F4257" s="1">
        <f>IFERROR(VLOOKUP(1156,'PEDIDO 53'!$C$2:$E$230,3,0),0)</f>
        <v>0</v>
      </c>
      <c r="G4257" s="18">
        <f t="shared" si="133"/>
        <v>0</v>
      </c>
    </row>
    <row r="4258" spans="1:7" ht="15.75" x14ac:dyDescent="0.25">
      <c r="A4258" s="15">
        <f>'PEDIDO 53'!$B$2</f>
        <v>0</v>
      </c>
      <c r="B4258" s="12" t="s">
        <v>443</v>
      </c>
      <c r="C4258" s="1">
        <f>IFERROR(VLOOKUP(1157,'PEDIDO 53'!$C$2:$E$230,3,0),0)</f>
        <v>0</v>
      </c>
      <c r="D4258" s="1">
        <f>IFERROR(VLOOKUP(1158,'PEDIDO 53'!$C$2:$E$230,3,0),0)</f>
        <v>0</v>
      </c>
      <c r="E4258" s="1">
        <f>IFERROR(VLOOKUP(1159,'PEDIDO 53'!$C$2:$E$230,3,0),0)</f>
        <v>0</v>
      </c>
      <c r="F4258" s="1">
        <f>IFERROR(VLOOKUP(1160,'PEDIDO 53'!$C$2:$E$230,3,0),0)</f>
        <v>0</v>
      </c>
      <c r="G4258" s="18">
        <f t="shared" si="133"/>
        <v>0</v>
      </c>
    </row>
    <row r="4259" spans="1:7" ht="15.75" x14ac:dyDescent="0.25">
      <c r="A4259" s="15">
        <f>'PEDIDO 53'!$B$2</f>
        <v>0</v>
      </c>
      <c r="B4259" s="12" t="s">
        <v>444</v>
      </c>
      <c r="C4259" s="1">
        <f>IFERROR(VLOOKUP(1161,'PEDIDO 53'!$C$2:$E$230,3,0),0)</f>
        <v>0</v>
      </c>
      <c r="D4259" s="1">
        <f>IFERROR(VLOOKUP(1162,'PEDIDO 53'!$C$2:$E$230,3,0),0)</f>
        <v>0</v>
      </c>
      <c r="E4259" s="1">
        <f>IFERROR(VLOOKUP(1163,'PEDIDO 53'!$C$2:$E$230,3,0),0)</f>
        <v>0</v>
      </c>
      <c r="F4259" s="1">
        <f>IFERROR(VLOOKUP(1164,'PEDIDO 53'!$C$2:$E$230,3,0),0)</f>
        <v>0</v>
      </c>
      <c r="G4259" s="18">
        <f t="shared" si="133"/>
        <v>0</v>
      </c>
    </row>
    <row r="4260" spans="1:7" ht="15.75" x14ac:dyDescent="0.25">
      <c r="A4260" s="15">
        <f>'PEDIDO 53'!$B$2</f>
        <v>0</v>
      </c>
      <c r="B4260" s="12" t="s">
        <v>445</v>
      </c>
      <c r="C4260" s="1">
        <f>IFERROR(VLOOKUP(1165,'PEDIDO 53'!$C$2:$E$230,3,0),0)</f>
        <v>0</v>
      </c>
      <c r="D4260" s="1">
        <f>IFERROR(VLOOKUP(1166,'PEDIDO 53'!$C$2:$E$230,3,0),0)</f>
        <v>0</v>
      </c>
      <c r="E4260" s="1">
        <f>IFERROR(VLOOKUP(1167,'PEDIDO 53'!$C$2:$E$230,3,0),0)</f>
        <v>0</v>
      </c>
      <c r="F4260" s="1">
        <f>IFERROR(VLOOKUP(1168,'PEDIDO 53'!$C$2:$E$230,3,0),0)</f>
        <v>0</v>
      </c>
      <c r="G4260" s="18">
        <f t="shared" si="133"/>
        <v>0</v>
      </c>
    </row>
    <row r="4261" spans="1:7" ht="15.75" x14ac:dyDescent="0.25">
      <c r="A4261" s="15">
        <f>'PEDIDO 53'!$B$2</f>
        <v>0</v>
      </c>
      <c r="B4261" s="12" t="s">
        <v>446</v>
      </c>
      <c r="C4261" s="1">
        <f>IFERROR(VLOOKUP(1169,'PEDIDO 53'!$C$2:$E$230,3,0),0)</f>
        <v>0</v>
      </c>
      <c r="D4261" s="1">
        <f>IFERROR(VLOOKUP(1170,'PEDIDO 53'!$C$2:$E$230,3,0),0)</f>
        <v>0</v>
      </c>
      <c r="E4261" s="1">
        <f>IFERROR(VLOOKUP(1171,'PEDIDO 53'!$C$2:$E$230,3,0),0)</f>
        <v>0</v>
      </c>
      <c r="F4261" s="1">
        <f>IFERROR(VLOOKUP(1172,'PEDIDO 53'!$C$2:$E$230,3,0),0)</f>
        <v>0</v>
      </c>
      <c r="G4261" s="18">
        <f t="shared" si="133"/>
        <v>0</v>
      </c>
    </row>
    <row r="4262" spans="1:7" ht="15.75" x14ac:dyDescent="0.25">
      <c r="A4262" s="15">
        <f>'PEDIDO 53'!$B$2</f>
        <v>0</v>
      </c>
      <c r="B4262" s="12" t="s">
        <v>447</v>
      </c>
      <c r="C4262" s="1">
        <f>IFERROR(VLOOKUP(1173,'PEDIDO 53'!$C$2:$E$230,3,0),0)</f>
        <v>0</v>
      </c>
      <c r="D4262" s="1">
        <f>IFERROR(VLOOKUP(1174,'PEDIDO 53'!$C$2:$E$230,3,0),0)</f>
        <v>0</v>
      </c>
      <c r="E4262" s="1">
        <f>IFERROR(VLOOKUP(1175,'PEDIDO 53'!$C$2:$E$230,3,0),0)</f>
        <v>0</v>
      </c>
      <c r="F4262" s="1">
        <f>IFERROR(VLOOKUP(1176,'PEDIDO 53'!$C$2:$E$230,3,0),0)</f>
        <v>0</v>
      </c>
      <c r="G4262" s="18">
        <f t="shared" si="133"/>
        <v>0</v>
      </c>
    </row>
    <row r="4263" spans="1:7" ht="15.75" x14ac:dyDescent="0.25">
      <c r="A4263" s="15">
        <f>'PEDIDO 53'!$B$2</f>
        <v>0</v>
      </c>
      <c r="B4263" s="12" t="s">
        <v>448</v>
      </c>
      <c r="C4263" s="1">
        <f>IFERROR(VLOOKUP(1249,'PEDIDO 53'!$C$2:$E$230,3,0),0)</f>
        <v>0</v>
      </c>
      <c r="D4263" s="1">
        <f>IFERROR(VLOOKUP(1250,'PEDIDO 53'!$C$2:$E$230,3,0),0)</f>
        <v>0</v>
      </c>
      <c r="E4263" s="1">
        <f>IFERROR(VLOOKUP(1251,'PEDIDO 53'!$C$2:$E$230,3,0),0)</f>
        <v>0</v>
      </c>
      <c r="F4263" s="1">
        <f>IFERROR(VLOOKUP(1252,'PEDIDO 53'!$C$2:$E$230,3,0),0)</f>
        <v>0</v>
      </c>
      <c r="G4263" s="18">
        <f t="shared" si="133"/>
        <v>0</v>
      </c>
    </row>
    <row r="4264" spans="1:7" ht="15.75" x14ac:dyDescent="0.25">
      <c r="A4264" s="15">
        <f>'PEDIDO 53'!$B$2</f>
        <v>0</v>
      </c>
      <c r="B4264" s="12" t="s">
        <v>449</v>
      </c>
      <c r="C4264" s="1">
        <f>IFERROR(VLOOKUP(1177,'PEDIDO 53'!$C$2:$E$230,3,0),0)</f>
        <v>0</v>
      </c>
      <c r="D4264" s="1">
        <f>IFERROR(VLOOKUP(1178,'PEDIDO 53'!$C$2:$E$230,3,0),0)</f>
        <v>0</v>
      </c>
      <c r="E4264" s="1">
        <f>IFERROR(VLOOKUP(1179,'PEDIDO 53'!$C$2:$E$230,3,0),0)</f>
        <v>0</v>
      </c>
      <c r="F4264" s="1">
        <f>IFERROR(VLOOKUP(1180,'PEDIDO 53'!$C$2:$E$230,3,0),0)</f>
        <v>0</v>
      </c>
      <c r="G4264" s="18">
        <f t="shared" si="133"/>
        <v>0</v>
      </c>
    </row>
    <row r="4265" spans="1:7" ht="15.75" x14ac:dyDescent="0.25">
      <c r="A4265" s="15">
        <f>'PEDIDO 53'!$B$2</f>
        <v>0</v>
      </c>
      <c r="B4265" s="12" t="s">
        <v>450</v>
      </c>
      <c r="C4265" s="1">
        <f>IFERROR(VLOOKUP(1181,'PEDIDO 53'!$C$2:$E$230,3,0),0)</f>
        <v>0</v>
      </c>
      <c r="D4265" s="1">
        <f>IFERROR(VLOOKUP(1182,'PEDIDO 53'!$C$2:$E$230,3,0),0)</f>
        <v>0</v>
      </c>
      <c r="E4265" s="1">
        <f>IFERROR(VLOOKUP(1183,'PEDIDO 53'!$C$2:$E$230,3,0),0)</f>
        <v>0</v>
      </c>
      <c r="F4265" s="1">
        <f>IFERROR(VLOOKUP(1184,'PEDIDO 53'!$C$2:$E$230,3,0),0)</f>
        <v>0</v>
      </c>
      <c r="G4265" s="18">
        <f t="shared" si="133"/>
        <v>0</v>
      </c>
    </row>
    <row r="4266" spans="1:7" ht="15.75" x14ac:dyDescent="0.25">
      <c r="A4266" s="15">
        <f>'PEDIDO 53'!$B$2</f>
        <v>0</v>
      </c>
      <c r="B4266" s="12" t="s">
        <v>451</v>
      </c>
      <c r="C4266" s="1">
        <f>IFERROR(VLOOKUP(1185,'PEDIDO 53'!$C$2:$E$230,3,0),0)</f>
        <v>0</v>
      </c>
      <c r="D4266" s="1">
        <f>IFERROR(VLOOKUP(1186,'PEDIDO 53'!$C$2:$E$230,3,0),0)</f>
        <v>0</v>
      </c>
      <c r="E4266" s="1">
        <f>IFERROR(VLOOKUP(1187,'PEDIDO 53'!$C$2:$E$230,3,0),0)</f>
        <v>0</v>
      </c>
      <c r="F4266" s="1">
        <f>IFERROR(VLOOKUP(1188,'PEDIDO 53'!$C$2:$E$230,3,0),0)</f>
        <v>0</v>
      </c>
      <c r="G4266" s="18">
        <f t="shared" si="133"/>
        <v>0</v>
      </c>
    </row>
    <row r="4267" spans="1:7" ht="15.75" x14ac:dyDescent="0.25">
      <c r="A4267" s="15">
        <f>'PEDIDO 53'!$B$2</f>
        <v>0</v>
      </c>
      <c r="B4267" s="12" t="s">
        <v>452</v>
      </c>
      <c r="C4267" s="1">
        <f>IFERROR(VLOOKUP(1189,'PEDIDO 53'!$C$2:$E$230,3,0),0)</f>
        <v>0</v>
      </c>
      <c r="D4267" s="1">
        <f>IFERROR(VLOOKUP(1190,'PEDIDO 53'!$C$2:$E$230,3,0),0)</f>
        <v>0</v>
      </c>
      <c r="E4267" s="1">
        <f>IFERROR(VLOOKUP(1191,'PEDIDO 53'!$C$2:$E$230,3,0),0)</f>
        <v>0</v>
      </c>
      <c r="F4267" s="1">
        <f>IFERROR(VLOOKUP(1192,'PEDIDO 53'!$C$2:$E$230,3,0),0)</f>
        <v>0</v>
      </c>
      <c r="G4267" s="18">
        <f t="shared" si="133"/>
        <v>0</v>
      </c>
    </row>
    <row r="4268" spans="1:7" ht="15.75" x14ac:dyDescent="0.25">
      <c r="A4268" s="15">
        <f>'PEDIDO 53'!$B$2</f>
        <v>0</v>
      </c>
      <c r="B4268" s="12" t="s">
        <v>453</v>
      </c>
      <c r="C4268" s="1">
        <f>IFERROR(VLOOKUP(1193,'PEDIDO 53'!$C$2:$E$230,3,0),0)</f>
        <v>0</v>
      </c>
      <c r="D4268" s="1">
        <f>IFERROR(VLOOKUP(1194,'PEDIDO 53'!$C$2:$E$230,3,0),0)</f>
        <v>0</v>
      </c>
      <c r="E4268" s="1">
        <f>IFERROR(VLOOKUP(1195,'PEDIDO 53'!$C$2:$E$230,3,0),0)</f>
        <v>0</v>
      </c>
      <c r="F4268" s="1">
        <f>IFERROR(VLOOKUP(1196,'PEDIDO 53'!$C$2:$E$230,3,0),0)</f>
        <v>0</v>
      </c>
      <c r="G4268" s="18">
        <f t="shared" si="133"/>
        <v>0</v>
      </c>
    </row>
    <row r="4269" spans="1:7" ht="15.75" x14ac:dyDescent="0.25">
      <c r="A4269" s="15">
        <f>'PEDIDO 53'!$B$2</f>
        <v>0</v>
      </c>
      <c r="B4269" s="12" t="s">
        <v>454</v>
      </c>
      <c r="C4269" s="1">
        <f>IFERROR(VLOOKUP(1197,'PEDIDO 53'!$C$2:$E$230,3,0),0)</f>
        <v>0</v>
      </c>
      <c r="D4269" s="1">
        <f>IFERROR(VLOOKUP(1198,'PEDIDO 53'!$C$2:$E$230,3,0),0)</f>
        <v>0</v>
      </c>
      <c r="E4269" s="1">
        <f>IFERROR(VLOOKUP(1199,'PEDIDO 53'!$C$2:$E$230,3,0),0)</f>
        <v>0</v>
      </c>
      <c r="F4269" s="1">
        <f>IFERROR(VLOOKUP(1200,'PEDIDO 53'!$C$2:$E$230,3,0),0)</f>
        <v>0</v>
      </c>
      <c r="G4269" s="18">
        <f t="shared" si="133"/>
        <v>0</v>
      </c>
    </row>
    <row r="4270" spans="1:7" ht="15.75" x14ac:dyDescent="0.25">
      <c r="A4270" s="15">
        <f>'PEDIDO 53'!$B$2</f>
        <v>0</v>
      </c>
      <c r="B4270" s="12" t="s">
        <v>455</v>
      </c>
      <c r="C4270" s="1">
        <f>IFERROR(VLOOKUP(1201,'PEDIDO 53'!$C$2:$E$230,3,0),0)</f>
        <v>0</v>
      </c>
      <c r="D4270" s="1">
        <f>IFERROR(VLOOKUP(1202,'PEDIDO 53'!$C$2:$E$230,3,0),0)</f>
        <v>0</v>
      </c>
      <c r="E4270" s="1">
        <f>IFERROR(VLOOKUP(1203,'PEDIDO 53'!$C$2:$E$230,3,0),0)</f>
        <v>0</v>
      </c>
      <c r="F4270" s="1">
        <f>IFERROR(VLOOKUP(1204,'PEDIDO 53'!$C$2:$E$230,3,0),0)</f>
        <v>0</v>
      </c>
      <c r="G4270" s="18">
        <f t="shared" si="133"/>
        <v>0</v>
      </c>
    </row>
    <row r="4271" spans="1:7" ht="15.75" x14ac:dyDescent="0.25">
      <c r="A4271" s="15">
        <f>'PEDIDO 53'!$B$2</f>
        <v>0</v>
      </c>
      <c r="B4271" s="12" t="s">
        <v>456</v>
      </c>
      <c r="C4271" s="1">
        <f>IFERROR(VLOOKUP(1205,'PEDIDO 53'!$C$2:$E$230,3,0),0)</f>
        <v>0</v>
      </c>
      <c r="D4271" s="1">
        <f>IFERROR(VLOOKUP(1206,'PEDIDO 53'!$C$2:$E$230,3,0),0)</f>
        <v>0</v>
      </c>
      <c r="E4271" s="1">
        <f>IFERROR(VLOOKUP(1207,'PEDIDO 53'!$C$2:$E$230,3,0),0)</f>
        <v>0</v>
      </c>
      <c r="F4271" s="1">
        <f>IFERROR(VLOOKUP(1208,'PEDIDO 53'!$C$2:$E$230,3,0),0)</f>
        <v>0</v>
      </c>
      <c r="G4271" s="18">
        <f t="shared" si="133"/>
        <v>0</v>
      </c>
    </row>
    <row r="4272" spans="1:7" ht="15.75" x14ac:dyDescent="0.25">
      <c r="A4272" s="15">
        <f>'PEDIDO 53'!$B$2</f>
        <v>0</v>
      </c>
      <c r="B4272" s="12" t="s">
        <v>457</v>
      </c>
      <c r="C4272" s="1">
        <f>IFERROR(VLOOKUP(1213,'PEDIDO 53'!$C$2:$E$230,3,0),0)</f>
        <v>0</v>
      </c>
      <c r="D4272" s="1">
        <f>IFERROR(VLOOKUP(1214,'PEDIDO 53'!$C$2:$E$230,3,0),0)</f>
        <v>0</v>
      </c>
      <c r="E4272" s="1">
        <f>IFERROR(VLOOKUP(1215,'PEDIDO 53'!$C$2:$E$230,3,0),0)</f>
        <v>0</v>
      </c>
      <c r="F4272" s="10">
        <f>IFERROR(VLOOKUP(1216,'PEDIDO 53'!$C$2:$E$230,3,0),0)</f>
        <v>0</v>
      </c>
      <c r="G4272" s="18">
        <f t="shared" si="133"/>
        <v>0</v>
      </c>
    </row>
    <row r="4273" spans="1:7" ht="15.75" x14ac:dyDescent="0.25">
      <c r="A4273" s="15">
        <f>'PEDIDO 53'!$B$2</f>
        <v>0</v>
      </c>
      <c r="B4273" s="12" t="s">
        <v>458</v>
      </c>
      <c r="C4273" s="1">
        <f>IFERROR(VLOOKUP(1209,'PEDIDO 53'!$C$2:$E$230,3,0),0)</f>
        <v>0</v>
      </c>
      <c r="D4273" s="1">
        <f>IFERROR(VLOOKUP(1210,'PEDIDO 53'!$C$2:$E$230,3,0),0)</f>
        <v>0</v>
      </c>
      <c r="E4273" s="1">
        <f>IFERROR(VLOOKUP(1211,'PEDIDO 53'!$C$2:$E$230,3,0),0)</f>
        <v>0</v>
      </c>
      <c r="F4273" s="1">
        <f>IFERROR(VLOOKUP(1212,'PEDIDO 53'!$C$2:$E$230,3,0),0)</f>
        <v>0</v>
      </c>
      <c r="G4273" s="18">
        <f t="shared" si="133"/>
        <v>0</v>
      </c>
    </row>
    <row r="4274" spans="1:7" ht="15.75" x14ac:dyDescent="0.25">
      <c r="A4274" s="15">
        <f>'PEDIDO 53'!$B$2</f>
        <v>0</v>
      </c>
      <c r="B4274" s="12" t="s">
        <v>459</v>
      </c>
      <c r="C4274" s="1">
        <f>IFERROR(VLOOKUP(1217,'PEDIDO 53'!$C$2:$E$230,3,0),0)</f>
        <v>0</v>
      </c>
      <c r="D4274" s="1">
        <f>IFERROR(VLOOKUP(1218,'PEDIDO 53'!$C$2:$E$230,3,0),0)</f>
        <v>0</v>
      </c>
      <c r="E4274" s="1">
        <f>IFERROR(VLOOKUP(1219,'PEDIDO 53'!$C$2:$E$230,3,0),0)</f>
        <v>0</v>
      </c>
      <c r="F4274" s="1">
        <f>IFERROR(VLOOKUP(1220,'PEDIDO 53'!$C$2:$E$230,3,0),0)</f>
        <v>0</v>
      </c>
      <c r="G4274" s="18">
        <f t="shared" si="133"/>
        <v>0</v>
      </c>
    </row>
    <row r="4275" spans="1:7" ht="15.75" x14ac:dyDescent="0.25">
      <c r="A4275" s="15">
        <f>'PEDIDO 53'!$B$2</f>
        <v>0</v>
      </c>
      <c r="B4275" s="12" t="s">
        <v>461</v>
      </c>
      <c r="C4275" s="1">
        <f>IFERROR(VLOOKUP(1225,'PEDIDO 53'!$C$2:$E$230,3,0),0)</f>
        <v>0</v>
      </c>
      <c r="D4275" s="1">
        <f>IFERROR(VLOOKUP(1226,'PEDIDO 53'!$C$2:$E$230,3,0),0)</f>
        <v>0</v>
      </c>
      <c r="E4275" s="1">
        <f>IFERROR(VLOOKUP(1227,'PEDIDO 53'!$C$2:$E$230,3,0),0)</f>
        <v>0</v>
      </c>
      <c r="F4275" s="1">
        <f>IFERROR(VLOOKUP(1228,'PEDIDO 53'!$C$2:$E$230,3,0),0)</f>
        <v>0</v>
      </c>
      <c r="G4275" s="18">
        <f t="shared" si="133"/>
        <v>0</v>
      </c>
    </row>
    <row r="4276" spans="1:7" ht="15.75" x14ac:dyDescent="0.25">
      <c r="A4276" s="15">
        <f>'PEDIDO 53'!$B$2</f>
        <v>0</v>
      </c>
      <c r="B4276" s="12" t="s">
        <v>462</v>
      </c>
      <c r="C4276" s="1">
        <f>IFERROR(VLOOKUP(1221,'PEDIDO 53'!$C$2:$E$230,3,0),0)</f>
        <v>0</v>
      </c>
      <c r="D4276" s="1">
        <f>IFERROR(VLOOKUP(1222,'PEDIDO 53'!$C$2:$E$230,3,0),0)</f>
        <v>0</v>
      </c>
      <c r="E4276" s="1">
        <f>IFERROR(VLOOKUP(1223,'PEDIDO 53'!$C$2:$E$230,3,0),0)</f>
        <v>0</v>
      </c>
      <c r="F4276" s="1">
        <f>IFERROR(VLOOKUP(1224,'PEDIDO 53'!$C$2:$E$230,3,0),0)</f>
        <v>0</v>
      </c>
      <c r="G4276" s="18">
        <f t="shared" si="133"/>
        <v>0</v>
      </c>
    </row>
    <row r="4277" spans="1:7" ht="15.75" x14ac:dyDescent="0.25">
      <c r="A4277" s="15">
        <f>'PEDIDO 53'!$B$2</f>
        <v>0</v>
      </c>
      <c r="B4277" s="12" t="s">
        <v>460</v>
      </c>
      <c r="C4277" s="1">
        <f>IFERROR(VLOOKUP(1229,'PEDIDO 53'!$C$2:$E$230,3,0),0)</f>
        <v>0</v>
      </c>
      <c r="D4277" s="1">
        <f>IFERROR(VLOOKUP(1230,'PEDIDO 53'!$C$2:$E$230,3,0),0)</f>
        <v>0</v>
      </c>
      <c r="E4277" s="1">
        <f>IFERROR(VLOOKUP(1231,'PEDIDO 53'!$C$2:$E$230,3,0),0)</f>
        <v>0</v>
      </c>
      <c r="F4277" s="1">
        <f>IFERROR(VLOOKUP(1232,'PEDIDO 53'!$C$2:$E$230,3,0),0)</f>
        <v>0</v>
      </c>
      <c r="G4277" s="18">
        <f t="shared" si="133"/>
        <v>0</v>
      </c>
    </row>
    <row r="4278" spans="1:7" ht="15.75" x14ac:dyDescent="0.25">
      <c r="A4278" s="15">
        <f>'PEDIDO 53'!$B$2</f>
        <v>0</v>
      </c>
      <c r="B4278" s="12" t="s">
        <v>463</v>
      </c>
      <c r="C4278" s="1">
        <f>IFERROR(VLOOKUP(1233,'PEDIDO 53'!$C$2:$E$230,3,0),0)</f>
        <v>0</v>
      </c>
      <c r="D4278" s="1">
        <f>IFERROR(VLOOKUP(1234,'PEDIDO 53'!$C$2:$E$230,3,0),0)</f>
        <v>0</v>
      </c>
      <c r="E4278" s="1">
        <f>IFERROR(VLOOKUP(1235,'PEDIDO 53'!$C$2:$E$230,3,0),0)</f>
        <v>0</v>
      </c>
      <c r="F4278" s="1">
        <f>IFERROR(VLOOKUP(1236,'PEDIDO 53'!$C$2:$E$230,3,0),0)</f>
        <v>0</v>
      </c>
      <c r="G4278" s="18">
        <f t="shared" ref="G4278:G4291" si="134">SUM(C4278+D4278+E4278+F4278)</f>
        <v>0</v>
      </c>
    </row>
    <row r="4279" spans="1:7" ht="15.75" x14ac:dyDescent="0.25">
      <c r="A4279" s="15">
        <f>'PEDIDO 53'!$B$2</f>
        <v>0</v>
      </c>
      <c r="B4279" s="12" t="s">
        <v>464</v>
      </c>
      <c r="C4279" s="1">
        <f>IFERROR(VLOOKUP(1237,'PEDIDO 53'!$C$2:$E$230,3,0),0)</f>
        <v>0</v>
      </c>
      <c r="D4279" s="1">
        <f>IFERROR(VLOOKUP(1238,'PEDIDO 53'!$C$2:$E$230,3,0),0)</f>
        <v>0</v>
      </c>
      <c r="E4279" s="1">
        <f>IFERROR(VLOOKUP(1239,'PEDIDO 53'!$C$2:$E$230,3,0),0)</f>
        <v>0</v>
      </c>
      <c r="F4279" s="1">
        <f>IFERROR(VLOOKUP(1240,'PEDIDO 53'!$C$2:$E$230,3,0),0)</f>
        <v>0</v>
      </c>
      <c r="G4279" s="18">
        <f t="shared" si="134"/>
        <v>0</v>
      </c>
    </row>
    <row r="4280" spans="1:7" ht="15.75" x14ac:dyDescent="0.25">
      <c r="A4280" s="15">
        <f>'PEDIDO 53'!$B$2</f>
        <v>0</v>
      </c>
      <c r="B4280" s="12" t="s">
        <v>465</v>
      </c>
      <c r="C4280" s="1">
        <f>IFERROR(VLOOKUP(1241,'PEDIDO 53'!$C$2:$E$230,3,0),0)</f>
        <v>0</v>
      </c>
      <c r="D4280" s="1">
        <f>IFERROR(VLOOKUP(1242,'PEDIDO 53'!$C$2:$E$230,3,0),0)</f>
        <v>0</v>
      </c>
      <c r="E4280" s="1">
        <f>IFERROR(VLOOKUP(1243,'PEDIDO 53'!$C$2:$E$230,3,0),0)</f>
        <v>0</v>
      </c>
      <c r="F4280" s="1">
        <f>IFERROR(VLOOKUP(1244,'PEDIDO 53'!$C$2:$E$230,3,0),0)</f>
        <v>0</v>
      </c>
      <c r="G4280" s="18">
        <f t="shared" si="134"/>
        <v>0</v>
      </c>
    </row>
    <row r="4281" spans="1:7" ht="15.75" x14ac:dyDescent="0.25">
      <c r="A4281" s="15">
        <f>'PEDIDO 53'!$B$2</f>
        <v>0</v>
      </c>
      <c r="B4281" s="12" t="s">
        <v>466</v>
      </c>
      <c r="C4281" s="1">
        <f>IFERROR(VLOOKUP(1245,'PEDIDO 53'!$C$2:$E$230,3,0),0)</f>
        <v>0</v>
      </c>
      <c r="D4281" s="1">
        <f>IFERROR(VLOOKUP(1246,'PEDIDO 53'!$C$2:$E$230,3,0),0)</f>
        <v>0</v>
      </c>
      <c r="E4281" s="1">
        <f>IFERROR(VLOOKUP(1247,'PEDIDO 53'!$C$2:$E$230,3,0),0)</f>
        <v>0</v>
      </c>
      <c r="F4281" s="1">
        <f>IFERROR(VLOOKUP(1248,'PEDIDO 53'!$C$2:$E$230,3,0),0)</f>
        <v>0</v>
      </c>
      <c r="G4281" s="18">
        <f t="shared" si="134"/>
        <v>0</v>
      </c>
    </row>
    <row r="4282" spans="1:7" ht="15.75" x14ac:dyDescent="0.25">
      <c r="A4282" s="15">
        <f>'PEDIDO 53'!$B$2</f>
        <v>0</v>
      </c>
      <c r="B4282" s="12" t="s">
        <v>467</v>
      </c>
      <c r="C4282" s="1">
        <f>IFERROR(VLOOKUP(25714,'PEDIDO 53'!$C$2:$E$230,3,0),0)</f>
        <v>0</v>
      </c>
      <c r="D4282" s="1"/>
      <c r="E4282" s="1"/>
      <c r="F4282" s="1"/>
      <c r="G4282" s="18">
        <f t="shared" si="134"/>
        <v>0</v>
      </c>
    </row>
    <row r="4283" spans="1:7" ht="15.75" x14ac:dyDescent="0.25">
      <c r="A4283" s="15">
        <f>'PEDIDO 53'!$B$2</f>
        <v>0</v>
      </c>
      <c r="B4283" s="12" t="s">
        <v>468</v>
      </c>
      <c r="C4283" s="1">
        <f>IFERROR(VLOOKUP(25712,'PEDIDO 53'!$C$2:$E$230,3,0),0)</f>
        <v>0</v>
      </c>
      <c r="D4283" s="1"/>
      <c r="E4283" s="1"/>
      <c r="F4283" s="1"/>
      <c r="G4283" s="18">
        <f t="shared" si="134"/>
        <v>0</v>
      </c>
    </row>
    <row r="4284" spans="1:7" ht="15.75" x14ac:dyDescent="0.25">
      <c r="A4284" s="15">
        <f>'PEDIDO 53'!$B$2</f>
        <v>0</v>
      </c>
      <c r="B4284" s="12" t="s">
        <v>469</v>
      </c>
      <c r="C4284" s="1">
        <f>IFERROR(VLOOKUP(25713,'PEDIDO 53'!$C$2:$E$230,3,0),0)</f>
        <v>0</v>
      </c>
      <c r="D4284" s="1"/>
      <c r="E4284" s="1"/>
      <c r="F4284" s="1"/>
      <c r="G4284" s="18">
        <f t="shared" si="134"/>
        <v>0</v>
      </c>
    </row>
    <row r="4285" spans="1:7" ht="15.75" x14ac:dyDescent="0.25">
      <c r="A4285" s="15">
        <f>'PEDIDO 53'!$B$2</f>
        <v>0</v>
      </c>
      <c r="B4285" s="12" t="s">
        <v>470</v>
      </c>
      <c r="C4285" s="1">
        <f>IFERROR(VLOOKUP(1260,'PEDIDO 53'!$C$2:$E$230,3,0),0)</f>
        <v>0</v>
      </c>
      <c r="D4285" s="1"/>
      <c r="E4285" s="1"/>
      <c r="F4285" s="1"/>
      <c r="G4285" s="18">
        <f t="shared" si="134"/>
        <v>0</v>
      </c>
    </row>
    <row r="4286" spans="1:7" ht="15.75" x14ac:dyDescent="0.25">
      <c r="A4286" s="15">
        <f>'PEDIDO 53'!$B$2</f>
        <v>0</v>
      </c>
      <c r="B4286" s="12" t="s">
        <v>471</v>
      </c>
      <c r="C4286" s="1">
        <f>IFERROR(VLOOKUP(1261,'PEDIDO 53'!$C$2:$E$230,3,0),0)</f>
        <v>0</v>
      </c>
      <c r="D4286" s="1"/>
      <c r="E4286" s="1"/>
      <c r="F4286" s="1"/>
      <c r="G4286" s="18">
        <f t="shared" si="134"/>
        <v>0</v>
      </c>
    </row>
    <row r="4287" spans="1:7" ht="15.75" x14ac:dyDescent="0.25">
      <c r="A4287" s="15">
        <f>'PEDIDO 53'!$B$2</f>
        <v>0</v>
      </c>
      <c r="B4287" s="12" t="s">
        <v>472</v>
      </c>
      <c r="C4287" s="1">
        <f>IFERROR(VLOOKUP(1262,'PEDIDO 53'!$C$2:$E$230,3,0),0)</f>
        <v>0</v>
      </c>
      <c r="D4287" s="1"/>
      <c r="E4287" s="1"/>
      <c r="F4287" s="1"/>
      <c r="G4287" s="18">
        <f t="shared" si="134"/>
        <v>0</v>
      </c>
    </row>
    <row r="4288" spans="1:7" ht="15.75" x14ac:dyDescent="0.25">
      <c r="A4288" s="15">
        <f>'PEDIDO 53'!$B$2</f>
        <v>0</v>
      </c>
      <c r="B4288" s="12" t="s">
        <v>473</v>
      </c>
      <c r="C4288" s="1">
        <f>IFERROR(VLOOKUP(1263,'PEDIDO 53'!$C$2:$E$230,3,0),0)</f>
        <v>0</v>
      </c>
      <c r="D4288" s="1"/>
      <c r="E4288" s="1"/>
      <c r="F4288" s="1"/>
      <c r="G4288" s="18">
        <f t="shared" si="134"/>
        <v>0</v>
      </c>
    </row>
    <row r="4289" spans="1:7" ht="15.75" x14ac:dyDescent="0.25">
      <c r="A4289" s="15">
        <f>'PEDIDO 53'!$B$2</f>
        <v>0</v>
      </c>
      <c r="B4289" s="12" t="s">
        <v>474</v>
      </c>
      <c r="C4289" s="1">
        <f>IFERROR(VLOOKUP(1264,'PEDIDO 53'!$C$2:$E$230,3,0),0)</f>
        <v>0</v>
      </c>
      <c r="D4289" s="1"/>
      <c r="E4289" s="1"/>
      <c r="F4289" s="1"/>
      <c r="G4289" s="18">
        <f t="shared" si="134"/>
        <v>0</v>
      </c>
    </row>
    <row r="4290" spans="1:7" ht="15.75" x14ac:dyDescent="0.25">
      <c r="A4290" s="15">
        <f>'PEDIDO 53'!$B$2</f>
        <v>0</v>
      </c>
      <c r="B4290" s="12" t="s">
        <v>475</v>
      </c>
      <c r="C4290" s="1">
        <f>IFERROR(VLOOKUP(1265,'PEDIDO 53'!$C$2:$E$230,3,0),0)</f>
        <v>0</v>
      </c>
      <c r="D4290" s="1"/>
      <c r="E4290" s="1"/>
      <c r="F4290" s="1"/>
      <c r="G4290" s="18">
        <f t="shared" si="134"/>
        <v>0</v>
      </c>
    </row>
    <row r="4291" spans="1:7" ht="15.75" x14ac:dyDescent="0.25">
      <c r="A4291" s="15">
        <f>'PEDIDO 53'!$B$2</f>
        <v>0</v>
      </c>
      <c r="B4291" s="12" t="s">
        <v>476</v>
      </c>
      <c r="C4291" s="1">
        <f>IFERROR(VLOOKUP(1266,'PEDIDO 53'!$C$2:$E$230,3,0),0)</f>
        <v>0</v>
      </c>
      <c r="D4291" s="1"/>
      <c r="E4291" s="1"/>
      <c r="F4291" s="1"/>
      <c r="G4291" s="18">
        <f t="shared" si="134"/>
        <v>0</v>
      </c>
    </row>
    <row r="4292" spans="1:7" ht="15.75" x14ac:dyDescent="0.25">
      <c r="A4292" s="15">
        <f>'PEDIDO 53'!$B$2</f>
        <v>0</v>
      </c>
      <c r="B4292" s="12" t="s">
        <v>477</v>
      </c>
      <c r="C4292" s="1">
        <f>IFERROR(VLOOKUP(1268,'PEDIDO 53'!$C$2:$E$230,3,0),0)</f>
        <v>0</v>
      </c>
      <c r="D4292" s="1">
        <f>IFERROR(VLOOKUP(1269,'PEDIDO 53'!$C$2:$E$230,3,0),0)</f>
        <v>0</v>
      </c>
      <c r="E4292" s="1">
        <f>IFERROR(VLOOKUP(1270,'PEDIDO 53'!$C$2:$E$230,3,0),0)</f>
        <v>0</v>
      </c>
      <c r="F4292" s="1">
        <f>IFERROR(VLOOKUP(1271,'PEDIDO 53'!$C$2:$E$230,3,0),0)</f>
        <v>0</v>
      </c>
      <c r="G4292" s="18">
        <f t="shared" ref="G4292" si="135">SUM(C4292+D4292+E4292+F4292)</f>
        <v>0</v>
      </c>
    </row>
    <row r="4295" spans="1:7" ht="15.75" x14ac:dyDescent="0.25">
      <c r="A4295" s="15">
        <f>'PEDIDO 54'!$B$2</f>
        <v>0</v>
      </c>
      <c r="B4295" s="12" t="s">
        <v>399</v>
      </c>
      <c r="C4295" s="1">
        <f>IFERROR(VLOOKUP(1,'PEDIDO 54'!$C$2:$E$230,3,0),0)</f>
        <v>0</v>
      </c>
      <c r="D4295" s="1">
        <f>IFERROR(VLOOKUP(2,'PEDIDO 54'!$C$2:$E$230,3,0),0)</f>
        <v>0</v>
      </c>
      <c r="E4295" s="1">
        <f>IFERROR(VLOOKUP(3,'PEDIDO 54'!$C$2:$E$230,3,0),0)</f>
        <v>0</v>
      </c>
      <c r="F4295" s="1">
        <f>IFERROR(VLOOKUP(282,'PEDIDO 54'!$C$2:$E$230,3,0),0)</f>
        <v>0</v>
      </c>
      <c r="G4295" s="18">
        <f t="shared" ref="G4295:G4358" si="136">SUM(C4295+D4295+E4295+F4295)</f>
        <v>0</v>
      </c>
    </row>
    <row r="4296" spans="1:7" ht="15.75" x14ac:dyDescent="0.25">
      <c r="A4296" s="15">
        <f>'PEDIDO 54'!$B$2</f>
        <v>0</v>
      </c>
      <c r="B4296" s="12" t="s">
        <v>400</v>
      </c>
      <c r="C4296" s="1">
        <f>IFERROR(VLOOKUP(5,'PEDIDO 54'!$C$2:$E$230,3,0),0)</f>
        <v>0</v>
      </c>
      <c r="D4296" s="1">
        <f>IFERROR(VLOOKUP(6,'PEDIDO 54'!$C$2:$E$230,3,0),0)</f>
        <v>0</v>
      </c>
      <c r="E4296" s="1">
        <f>IFERROR(VLOOKUP(7,'PEDIDO 54'!$C$2:$E$230,3,0),0)</f>
        <v>0</v>
      </c>
      <c r="F4296" s="1">
        <f>IFERROR(VLOOKUP(258,'PEDIDO 54'!$C$2:$E$230,3,0),0)</f>
        <v>0</v>
      </c>
      <c r="G4296" s="18">
        <f t="shared" si="136"/>
        <v>0</v>
      </c>
    </row>
    <row r="4297" spans="1:7" ht="15.75" x14ac:dyDescent="0.25">
      <c r="A4297" s="15">
        <f>'PEDIDO 54'!$B$2</f>
        <v>0</v>
      </c>
      <c r="B4297" s="12" t="s">
        <v>401</v>
      </c>
      <c r="C4297" s="1">
        <f>IFERROR(VLOOKUP(13,'PEDIDO 54'!$C$2:$E$230,3,0),0)</f>
        <v>0</v>
      </c>
      <c r="D4297" s="1">
        <f>IFERROR(VLOOKUP(14,'PEDIDO 54'!$C$2:$E$230,3,0),0)</f>
        <v>0</v>
      </c>
      <c r="E4297" s="1">
        <f>IFERROR(VLOOKUP(15,'PEDIDO 54'!$C$2:$E$230,3,0),0)</f>
        <v>0</v>
      </c>
      <c r="F4297" s="1">
        <f>IFERROR(VLOOKUP(289,'PEDIDO 54'!$C$2:$E$230,3,0),0)</f>
        <v>0</v>
      </c>
      <c r="G4297" s="18">
        <f t="shared" si="136"/>
        <v>0</v>
      </c>
    </row>
    <row r="4298" spans="1:7" ht="15.75" x14ac:dyDescent="0.25">
      <c r="A4298" s="15">
        <f>'PEDIDO 54'!$B$2</f>
        <v>0</v>
      </c>
      <c r="B4298" s="12" t="s">
        <v>402</v>
      </c>
      <c r="C4298" s="1">
        <f>IFERROR(VLOOKUP(267,'PEDIDO 54'!$C$2:$E$230,3,0),0)</f>
        <v>0</v>
      </c>
      <c r="D4298" s="1">
        <f>IFERROR(VLOOKUP(268,'PEDIDO 54'!$C$2:$E$230,3,0),0)</f>
        <v>0</v>
      </c>
      <c r="E4298" s="1">
        <f>IFERROR(VLOOKUP(270,'PEDIDO 54'!$C$2:$E$230,3,0),0)</f>
        <v>0</v>
      </c>
      <c r="F4298" s="1">
        <f>IFERROR(VLOOKUP(269,'PEDIDO 54'!$C$2:$E$230,3,0),0)</f>
        <v>0</v>
      </c>
      <c r="G4298" s="18">
        <f t="shared" si="136"/>
        <v>0</v>
      </c>
    </row>
    <row r="4299" spans="1:7" ht="15.75" x14ac:dyDescent="0.25">
      <c r="A4299" s="15">
        <f>'PEDIDO 54'!$B$2</f>
        <v>0</v>
      </c>
      <c r="B4299" s="12" t="s">
        <v>403</v>
      </c>
      <c r="C4299" s="1">
        <f>IFERROR(VLOOKUP(17,'PEDIDO 54'!$C$2:$E$230,3,0),0)</f>
        <v>0</v>
      </c>
      <c r="D4299" s="1">
        <f>IFERROR(VLOOKUP(18,'PEDIDO 54'!$C$2:$E$230,3,0),0)</f>
        <v>0</v>
      </c>
      <c r="E4299" s="1">
        <f>IFERROR(VLOOKUP(19,'PEDIDO 54'!$C$2:$E$230,3,0),0)</f>
        <v>0</v>
      </c>
      <c r="F4299" s="1">
        <f>IFERROR(VLOOKUP(290,'PEDIDO 54'!$C$2:$E$230,3,0),0)</f>
        <v>0</v>
      </c>
      <c r="G4299" s="18">
        <f t="shared" si="136"/>
        <v>0</v>
      </c>
    </row>
    <row r="4300" spans="1:7" ht="15.75" x14ac:dyDescent="0.25">
      <c r="A4300" s="15">
        <f>'PEDIDO 54'!$B$2</f>
        <v>0</v>
      </c>
      <c r="B4300" s="12" t="s">
        <v>404</v>
      </c>
      <c r="C4300" s="1">
        <f>IFERROR(VLOOKUP(23,'PEDIDO 54'!$C$2:$E$230,3,0),0)</f>
        <v>0</v>
      </c>
      <c r="D4300" s="1">
        <f>IFERROR(VLOOKUP(24,'PEDIDO 54'!$C$2:$E$230,3,0),0)</f>
        <v>0</v>
      </c>
      <c r="E4300" s="1">
        <f>IFERROR(VLOOKUP(25,'PEDIDO 54'!$C$2:$E$230,3,0),0)</f>
        <v>0</v>
      </c>
      <c r="F4300" s="1">
        <f>IFERROR(VLOOKUP(291,'PEDIDO 54'!$C$2:$E$230,3,0),0)</f>
        <v>0</v>
      </c>
      <c r="G4300" s="18">
        <f t="shared" si="136"/>
        <v>0</v>
      </c>
    </row>
    <row r="4301" spans="1:7" ht="15.75" x14ac:dyDescent="0.25">
      <c r="A4301" s="15">
        <f>'PEDIDO 54'!$B$2</f>
        <v>0</v>
      </c>
      <c r="B4301" s="12" t="s">
        <v>405</v>
      </c>
      <c r="C4301" s="1">
        <f>IFERROR(VLOOKUP(27,'PEDIDO 54'!$C$2:$E$230,3,0),0)</f>
        <v>0</v>
      </c>
      <c r="D4301" s="1">
        <f>IFERROR(VLOOKUP(28,'PEDIDO 54'!$C$2:$E$230,3,0),0)</f>
        <v>0</v>
      </c>
      <c r="E4301" s="1">
        <f>IFERROR(VLOOKUP(29,'PEDIDO 54'!$C$2:$E$230,3,0),0)</f>
        <v>0</v>
      </c>
      <c r="F4301" s="1">
        <f>IFERROR(VLOOKUP(292,'PEDIDO 54'!$C$2:$E$230,3,0),0)</f>
        <v>0</v>
      </c>
      <c r="G4301" s="18">
        <f t="shared" si="136"/>
        <v>0</v>
      </c>
    </row>
    <row r="4302" spans="1:7" ht="15.75" x14ac:dyDescent="0.25">
      <c r="A4302" s="15">
        <f>'PEDIDO 54'!$B$2</f>
        <v>0</v>
      </c>
      <c r="B4302" s="12" t="s">
        <v>406</v>
      </c>
      <c r="C4302" s="1">
        <f>IFERROR(VLOOKUP(227,'PEDIDO 54'!$C$2:$E$230,3,0),0)</f>
        <v>0</v>
      </c>
      <c r="D4302" s="1">
        <f>IFERROR(VLOOKUP(228,'PEDIDO 54'!$C$2:$E$230,3,0),0)</f>
        <v>0</v>
      </c>
      <c r="E4302" s="1">
        <f>IFERROR(VLOOKUP(229,'PEDIDO 54'!$C$2:$E$230,3,0),0)</f>
        <v>0</v>
      </c>
      <c r="F4302" s="1">
        <f>IFERROR(VLOOKUP(230,'PEDIDO 54'!$C$2:$E$230,3,0),0)</f>
        <v>0</v>
      </c>
      <c r="G4302" s="18">
        <f t="shared" si="136"/>
        <v>0</v>
      </c>
    </row>
    <row r="4303" spans="1:7" ht="15.75" x14ac:dyDescent="0.25">
      <c r="A4303" s="15">
        <f>'PEDIDO 54'!$B$2</f>
        <v>0</v>
      </c>
      <c r="B4303" s="12" t="s">
        <v>407</v>
      </c>
      <c r="C4303" s="1">
        <f>IFERROR(VLOOKUP(231,'PEDIDO 54'!$C$2:$E$230,3,0),0)</f>
        <v>0</v>
      </c>
      <c r="D4303" s="1">
        <f>IFERROR(VLOOKUP(232,'PEDIDO 54'!$C$2:$E$230,3,0),0)</f>
        <v>0</v>
      </c>
      <c r="E4303" s="1">
        <f>IFERROR(VLOOKUP(234,'PEDIDO 54'!$C$2:$E$230,3,0),0)</f>
        <v>0</v>
      </c>
      <c r="F4303" s="1">
        <f>IFERROR(VLOOKUP(233,'PEDIDO 54'!$C$2:$E$230,3,0),0)</f>
        <v>0</v>
      </c>
      <c r="G4303" s="18">
        <f t="shared" si="136"/>
        <v>0</v>
      </c>
    </row>
    <row r="4304" spans="1:7" ht="15.75" x14ac:dyDescent="0.25">
      <c r="A4304" s="15">
        <f>'PEDIDO 54'!$B$2</f>
        <v>0</v>
      </c>
      <c r="B4304" s="12" t="s">
        <v>408</v>
      </c>
      <c r="C4304" s="1">
        <f>IFERROR(VLOOKUP(237,'PEDIDO 54'!$C$2:$E$230,3,0),0)</f>
        <v>0</v>
      </c>
      <c r="D4304" s="1">
        <f>IFERROR(VLOOKUP(238,'PEDIDO 54'!$C$2:$E$230,3,0),0)</f>
        <v>0</v>
      </c>
      <c r="E4304" s="1">
        <f>IFERROR(VLOOKUP(240,'PEDIDO 54'!$C$2:$E$230,3,0),0)</f>
        <v>0</v>
      </c>
      <c r="F4304" s="1">
        <f>IFERROR(VLOOKUP(239,'PEDIDO 54'!$C$2:$E$230,3,0),0)</f>
        <v>0</v>
      </c>
      <c r="G4304" s="18">
        <f t="shared" si="136"/>
        <v>0</v>
      </c>
    </row>
    <row r="4305" spans="1:7" ht="15.75" x14ac:dyDescent="0.25">
      <c r="A4305" s="15">
        <f>'PEDIDO 54'!$B$2</f>
        <v>0</v>
      </c>
      <c r="B4305" s="12" t="s">
        <v>409</v>
      </c>
      <c r="C4305" s="1">
        <f>IFERROR(VLOOKUP(25707,'PEDIDO 54'!$C$2:$E$230,3,0),0)</f>
        <v>0</v>
      </c>
      <c r="D4305" s="1">
        <f>IFERROR(VLOOKUP(25708,'PEDIDO 54'!$C$2:$E$230,3,0),0)</f>
        <v>0</v>
      </c>
      <c r="E4305" s="1">
        <f>IFERROR(VLOOKUP(25710,'PEDIDO 54'!$C$2:$E$230,3,0),0)</f>
        <v>0</v>
      </c>
      <c r="F4305" s="1">
        <f>IFERROR(VLOOKUP(25709,'PEDIDO 54'!$C$2:$E$230,3,0),0)</f>
        <v>0</v>
      </c>
      <c r="G4305" s="18">
        <f t="shared" si="136"/>
        <v>0</v>
      </c>
    </row>
    <row r="4306" spans="1:7" ht="15.75" x14ac:dyDescent="0.25">
      <c r="A4306" s="15">
        <f>'PEDIDO 54'!$B$2</f>
        <v>0</v>
      </c>
      <c r="B4306" s="12" t="s">
        <v>410</v>
      </c>
      <c r="C4306" s="1">
        <f>IFERROR(VLOOKUP(25711,'PEDIDO 54'!$C$2:$E$230,3,0),0)</f>
        <v>0</v>
      </c>
      <c r="D4306" s="1"/>
      <c r="E4306" s="1"/>
      <c r="F4306" s="1"/>
      <c r="G4306" s="18">
        <f t="shared" si="136"/>
        <v>0</v>
      </c>
    </row>
    <row r="4307" spans="1:7" ht="15.75" x14ac:dyDescent="0.25">
      <c r="A4307" s="15">
        <f>'PEDIDO 54'!$B$2</f>
        <v>0</v>
      </c>
      <c r="B4307" s="12" t="s">
        <v>411</v>
      </c>
      <c r="C4307" s="1">
        <f>IFERROR(VLOOKUP(35,'PEDIDO 54'!$C$2:$E$230,3,0),0)</f>
        <v>0</v>
      </c>
      <c r="D4307" s="1">
        <f>IFERROR(VLOOKUP(36,'PEDIDO 54'!$C$2:$E$230,3,0),0)</f>
        <v>0</v>
      </c>
      <c r="E4307" s="1">
        <f>IFERROR(VLOOKUP(37,'PEDIDO 54'!$C$2:$E$230,3,0),0)</f>
        <v>0</v>
      </c>
      <c r="F4307" s="1">
        <f>IFERROR(VLOOKUP(294,'PEDIDO 54'!$C$2:$E$230,3,0),0)</f>
        <v>0</v>
      </c>
      <c r="G4307" s="18">
        <f t="shared" si="136"/>
        <v>0</v>
      </c>
    </row>
    <row r="4308" spans="1:7" ht="15.75" x14ac:dyDescent="0.25">
      <c r="A4308" s="15">
        <f>'PEDIDO 54'!$B$2</f>
        <v>0</v>
      </c>
      <c r="B4308" s="12" t="s">
        <v>412</v>
      </c>
      <c r="C4308" s="1">
        <f>IFERROR(VLOOKUP(39,'PEDIDO 54'!$C$2:$E$230,3,0),0)</f>
        <v>0</v>
      </c>
      <c r="D4308" s="1">
        <f>IFERROR(VLOOKUP(40,'PEDIDO 54'!$C$2:$E$230,3,0),0)</f>
        <v>0</v>
      </c>
      <c r="E4308" s="1">
        <f>IFERROR(VLOOKUP(42,'PEDIDO 54'!$C$2:$E$230,3,0),0)</f>
        <v>0</v>
      </c>
      <c r="F4308" s="1">
        <f>IFERROR(VLOOKUP(295,'PEDIDO 54'!$C$2:$E$230,3,0),0)</f>
        <v>0</v>
      </c>
      <c r="G4308" s="18">
        <f t="shared" si="136"/>
        <v>0</v>
      </c>
    </row>
    <row r="4309" spans="1:7" ht="15.75" x14ac:dyDescent="0.25">
      <c r="A4309" s="15">
        <f>'PEDIDO 54'!$B$2</f>
        <v>0</v>
      </c>
      <c r="B4309" s="12" t="s">
        <v>413</v>
      </c>
      <c r="C4309" s="1">
        <f>IFERROR(VLOOKUP(44,'PEDIDO 54'!$C$2:$E$230,3,0),0)</f>
        <v>0</v>
      </c>
      <c r="D4309" s="1">
        <f>IFERROR(VLOOKUP(45,'PEDIDO 54'!$C$2:$E$230,3,0),0)</f>
        <v>0</v>
      </c>
      <c r="E4309" s="1">
        <f>IFERROR(VLOOKUP(46,'PEDIDO 54'!$C$2:$E$230,3,0),0)</f>
        <v>0</v>
      </c>
      <c r="F4309" s="1">
        <f>IFERROR(VLOOKUP(283,'PEDIDO 54'!$C$2:$E$230,3,0),0)</f>
        <v>0</v>
      </c>
      <c r="G4309" s="18">
        <f t="shared" si="136"/>
        <v>0</v>
      </c>
    </row>
    <row r="4310" spans="1:7" ht="15.75" x14ac:dyDescent="0.25">
      <c r="A4310" s="15">
        <f>'PEDIDO 54'!$B$2</f>
        <v>0</v>
      </c>
      <c r="B4310" s="12" t="s">
        <v>414</v>
      </c>
      <c r="C4310" s="1">
        <f>IFERROR(VLOOKUP(48,'PEDIDO 54'!$C$2:$E$230,3,0),0)</f>
        <v>0</v>
      </c>
      <c r="D4310" s="1">
        <f>IFERROR(VLOOKUP(49,'PEDIDO 54'!$C$2:$E$230,3,0),0)</f>
        <v>0</v>
      </c>
      <c r="E4310" s="1">
        <f>IFERROR(VLOOKUP(50,'PEDIDO 54'!$C$2:$E$230,3,0),0)</f>
        <v>0</v>
      </c>
      <c r="F4310" s="1">
        <f>IFERROR(VLOOKUP(298,'PEDIDO 54'!$C$2:$E$230,3,0),0)</f>
        <v>0</v>
      </c>
      <c r="G4310" s="18">
        <f t="shared" si="136"/>
        <v>0</v>
      </c>
    </row>
    <row r="4311" spans="1:7" ht="15.75" x14ac:dyDescent="0.25">
      <c r="A4311" s="15">
        <f>'PEDIDO 54'!$B$2</f>
        <v>0</v>
      </c>
      <c r="B4311" s="12" t="s">
        <v>415</v>
      </c>
      <c r="C4311" s="1">
        <f>IFERROR(VLOOKUP(52,'PEDIDO 54'!$C$2:$E$230,3,0),0)</f>
        <v>0</v>
      </c>
      <c r="D4311" s="1">
        <f>IFERROR(VLOOKUP(53,'PEDIDO 54'!$C$2:$E$230,3,0),0)</f>
        <v>0</v>
      </c>
      <c r="E4311" s="1">
        <f>IFERROR(VLOOKUP(54,'PEDIDO 54'!$C$2:$E$230,3,0),0)</f>
        <v>0</v>
      </c>
      <c r="F4311" s="1">
        <f>IFERROR(VLOOKUP(299,'PEDIDO 54'!$C$2:$E$230,3,0),0)</f>
        <v>0</v>
      </c>
      <c r="G4311" s="18">
        <f t="shared" si="136"/>
        <v>0</v>
      </c>
    </row>
    <row r="4312" spans="1:7" ht="15.75" x14ac:dyDescent="0.25">
      <c r="A4312" s="15">
        <f>'PEDIDO 54'!$B$2</f>
        <v>0</v>
      </c>
      <c r="B4312" s="12" t="s">
        <v>416</v>
      </c>
      <c r="C4312" s="1">
        <f>IFERROR(VLOOKUP(56,'PEDIDO 54'!$C$2:$E$230,3,0),0)</f>
        <v>0</v>
      </c>
      <c r="D4312" s="1">
        <f>IFERROR(VLOOKUP(61,'PEDIDO 54'!$C$2:$E$230,3,0),0)</f>
        <v>0</v>
      </c>
      <c r="E4312" s="1">
        <f>IFERROR(VLOOKUP(58,'PEDIDO 54'!$C$2:$E$230,3,0),0)</f>
        <v>0</v>
      </c>
      <c r="F4312" s="1">
        <f>IFERROR(VLOOKUP(300,'PEDIDO 54'!$C$2:$E$230,3,0),0)</f>
        <v>0</v>
      </c>
      <c r="G4312" s="18">
        <f t="shared" si="136"/>
        <v>0</v>
      </c>
    </row>
    <row r="4313" spans="1:7" ht="15.75" x14ac:dyDescent="0.25">
      <c r="A4313" s="15">
        <f>'PEDIDO 54'!$B$2</f>
        <v>0</v>
      </c>
      <c r="B4313" s="12" t="s">
        <v>417</v>
      </c>
      <c r="C4313" s="1">
        <f>IFERROR(VLOOKUP(60,'PEDIDO 54'!$C$2:$E$230,3,0),0)</f>
        <v>0</v>
      </c>
      <c r="D4313" s="1">
        <f>IFERROR(VLOOKUP(120,'PEDIDO 54'!$C$2:$E$230,3,0),0)</f>
        <v>0</v>
      </c>
      <c r="E4313" s="1">
        <f>IFERROR(VLOOKUP(62,'PEDIDO 54'!$C$2:$E$230,3,0),0)</f>
        <v>0</v>
      </c>
      <c r="F4313" s="1">
        <f>IFERROR(VLOOKUP(301,'PEDIDO 54'!$C$2:$E$230,3,0),0)</f>
        <v>0</v>
      </c>
      <c r="G4313" s="18">
        <f t="shared" si="136"/>
        <v>0</v>
      </c>
    </row>
    <row r="4314" spans="1:7" ht="15.75" x14ac:dyDescent="0.25">
      <c r="A4314" s="15">
        <f>'PEDIDO 54'!$B$2</f>
        <v>0</v>
      </c>
      <c r="B4314" s="12" t="s">
        <v>426</v>
      </c>
      <c r="C4314" s="1">
        <f>IFERROR(VLOOKUP(112,'PEDIDO 54'!$C$2:$E$230,3,0),0)</f>
        <v>0</v>
      </c>
      <c r="D4314" s="1">
        <f>IFERROR(VLOOKUP(113,'PEDIDO 54'!$C$2:$E$230,3,0),0)</f>
        <v>0</v>
      </c>
      <c r="E4314" s="1">
        <f>IFERROR(VLOOKUP(114,'PEDIDO 54'!$C$2:$E$230,3,0),0)</f>
        <v>0</v>
      </c>
      <c r="F4314" s="1">
        <f>IFERROR(VLOOKUP(296,'PEDIDO 54'!$C$2:$E$230,3,0),0)</f>
        <v>0</v>
      </c>
      <c r="G4314" s="18">
        <f t="shared" si="136"/>
        <v>0</v>
      </c>
    </row>
    <row r="4315" spans="1:7" ht="15.75" x14ac:dyDescent="0.25">
      <c r="A4315" s="15">
        <f>'PEDIDO 54'!$B$2</f>
        <v>0</v>
      </c>
      <c r="B4315" s="12" t="s">
        <v>427</v>
      </c>
      <c r="C4315" s="1">
        <f>IFERROR(VLOOKUP(116,'PEDIDO 54'!$C$2:$E$230,3,0),0)</f>
        <v>0</v>
      </c>
      <c r="D4315" s="1">
        <f>IFERROR(VLOOKUP(117,'PEDIDO 54'!$C$2:$E$230,3,0),0)</f>
        <v>0</v>
      </c>
      <c r="E4315" s="1">
        <f>IFERROR(VLOOKUP(118,'PEDIDO 54'!$C$2:$E$230,3,0),0)</f>
        <v>0</v>
      </c>
      <c r="F4315" s="1">
        <f>IFERROR(VLOOKUP(293,'PEDIDO 54'!$C$2:$E$230,3,0),0)</f>
        <v>0</v>
      </c>
      <c r="G4315" s="18">
        <f t="shared" si="136"/>
        <v>0</v>
      </c>
    </row>
    <row r="4316" spans="1:7" ht="15.75" x14ac:dyDescent="0.25">
      <c r="A4316" s="15">
        <f>'PEDIDO 54'!$B$2</f>
        <v>0</v>
      </c>
      <c r="B4316" s="12" t="s">
        <v>418</v>
      </c>
      <c r="C4316" s="1">
        <f>IFERROR(VLOOKUP(963,'PEDIDO 54'!$C$2:$E$230,3,0),0)</f>
        <v>0</v>
      </c>
      <c r="D4316" s="1">
        <f>IFERROR(VLOOKUP(965,'PEDIDO 54'!$C$2:$E$230,3,0),0)</f>
        <v>0</v>
      </c>
      <c r="E4316" s="1">
        <f>IFERROR(VLOOKUP(966,'PEDIDO 54'!$C$2:$E$230,3,0),0)</f>
        <v>0</v>
      </c>
      <c r="F4316" s="1">
        <f>IFERROR(VLOOKUP(964,'PEDIDO 54'!$C$2:$E$230,3,0),0)</f>
        <v>0</v>
      </c>
      <c r="G4316" s="18">
        <f t="shared" si="136"/>
        <v>0</v>
      </c>
    </row>
    <row r="4317" spans="1:7" ht="15.75" x14ac:dyDescent="0.25">
      <c r="A4317" s="15">
        <f>'PEDIDO 54'!$B$2</f>
        <v>0</v>
      </c>
      <c r="B4317" s="12" t="s">
        <v>419</v>
      </c>
      <c r="C4317" s="1">
        <f>IFERROR(VLOOKUP(2042,'PEDIDO 54'!$C$2:$E$230,3,0),0)</f>
        <v>0</v>
      </c>
      <c r="D4317" s="1">
        <f>IFERROR(VLOOKUP(2041,'PEDIDO 54'!$C$2:$E$230,3,0),0)</f>
        <v>0</v>
      </c>
      <c r="E4317" s="1">
        <f>IFERROR(VLOOKUP(2043,'PEDIDO 54'!$C$2:$E$230,3,0),0)</f>
        <v>0</v>
      </c>
      <c r="F4317" s="1">
        <f>IFERROR(VLOOKUP(2040,'PEDIDO 54'!$C$2:$E$230,3,0),0)</f>
        <v>0</v>
      </c>
      <c r="G4317" s="18">
        <f t="shared" si="136"/>
        <v>0</v>
      </c>
    </row>
    <row r="4318" spans="1:7" ht="15.75" x14ac:dyDescent="0.25">
      <c r="A4318" s="15">
        <f>'PEDIDO 54'!$B$2</f>
        <v>0</v>
      </c>
      <c r="B4318" s="12" t="s">
        <v>420</v>
      </c>
      <c r="C4318" s="1">
        <f>IFERROR(VLOOKUP(2045,'PEDIDO 54'!$C$2:$E$230,3,0),0)</f>
        <v>0</v>
      </c>
      <c r="D4318" s="1">
        <f>IFERROR(VLOOKUP(2046,'PEDIDO 54'!$C$2:$E$230,3,0),0)</f>
        <v>0</v>
      </c>
      <c r="E4318" s="1">
        <f>IFERROR(VLOOKUP(2047,'PEDIDO 54'!$C$2:$E$230,3,0),0)</f>
        <v>0</v>
      </c>
      <c r="F4318" s="1">
        <f>IFERROR(VLOOKUP(2048,'PEDIDO 54'!$C$2:$E$230,3,0),0)</f>
        <v>0</v>
      </c>
      <c r="G4318" s="18">
        <f t="shared" si="136"/>
        <v>0</v>
      </c>
    </row>
    <row r="4319" spans="1:7" ht="15.75" x14ac:dyDescent="0.25">
      <c r="A4319" s="15">
        <f>'PEDIDO 54'!$B$2</f>
        <v>0</v>
      </c>
      <c r="B4319" s="12" t="s">
        <v>421</v>
      </c>
      <c r="C4319" s="1">
        <f>IFERROR(VLOOKUP(2050,'PEDIDO 54'!$C$2:$E$230,3,0),0)</f>
        <v>0</v>
      </c>
      <c r="D4319" s="1">
        <f>IFERROR(VLOOKUP(2051,'PEDIDO 54'!$C$2:$E$230,3,0),0)</f>
        <v>0</v>
      </c>
      <c r="E4319" s="1">
        <f>IFERROR(VLOOKUP(2052,'PEDIDO 54'!$C$2:$E$230,3,0),0)</f>
        <v>0</v>
      </c>
      <c r="F4319" s="1">
        <f>IFERROR(VLOOKUP(2053,'PEDIDO 54'!$C$2:$E$230,3,0),0)</f>
        <v>0</v>
      </c>
      <c r="G4319" s="18">
        <f t="shared" si="136"/>
        <v>0</v>
      </c>
    </row>
    <row r="4320" spans="1:7" ht="15.75" x14ac:dyDescent="0.25">
      <c r="A4320" s="15">
        <f>'PEDIDO 54'!$B$2</f>
        <v>0</v>
      </c>
      <c r="B4320" s="12" t="s">
        <v>422</v>
      </c>
      <c r="C4320" s="1">
        <f>IFERROR(VLOOKUP(216,'PEDIDO 54'!$C$2:$E$230,3,0),0)</f>
        <v>0</v>
      </c>
      <c r="D4320" s="1">
        <f>IFERROR(VLOOKUP(217,'PEDIDO 54'!$C$2:$E$230,3,0),0)</f>
        <v>0</v>
      </c>
      <c r="E4320" s="1">
        <f>IFERROR(VLOOKUP(218,'PEDIDO 54'!$C$2:$E$230,3,0),0)</f>
        <v>0</v>
      </c>
      <c r="F4320" s="1">
        <f>IFERROR(VLOOKUP(305,'PEDIDO 54'!$C$2:$E$230,3,0),0)</f>
        <v>0</v>
      </c>
      <c r="G4320" s="18">
        <f t="shared" si="136"/>
        <v>0</v>
      </c>
    </row>
    <row r="4321" spans="1:7" ht="15.75" x14ac:dyDescent="0.25">
      <c r="A4321" s="15">
        <f>'PEDIDO 54'!$B$2</f>
        <v>0</v>
      </c>
      <c r="B4321" s="12" t="s">
        <v>423</v>
      </c>
      <c r="C4321" s="1">
        <f>IFERROR(VLOOKUP(100,'PEDIDO 54'!$C$2:$E$230,3,0),0)</f>
        <v>0</v>
      </c>
      <c r="D4321" s="1">
        <f>IFERROR(VLOOKUP(101,'PEDIDO 54'!$C$2:$E$230,3,0),0)</f>
        <v>0</v>
      </c>
      <c r="E4321" s="1">
        <f>IFERROR(VLOOKUP(102,'PEDIDO 54'!$C$2:$E$230,3,0),0)</f>
        <v>0</v>
      </c>
      <c r="F4321" s="1">
        <f>IFERROR(VLOOKUP(306,'PEDIDO 54'!$C$2:$E$230,3,0),0)</f>
        <v>0</v>
      </c>
      <c r="G4321" s="18">
        <f t="shared" si="136"/>
        <v>0</v>
      </c>
    </row>
    <row r="4322" spans="1:7" ht="15.75" x14ac:dyDescent="0.25">
      <c r="A4322" s="15">
        <f>'PEDIDO 54'!$B$2</f>
        <v>0</v>
      </c>
      <c r="B4322" s="12" t="s">
        <v>424</v>
      </c>
      <c r="C4322" s="1">
        <f>IFERROR(VLOOKUP(104,'PEDIDO 54'!$C$2:$E$230,3,0),0)</f>
        <v>0</v>
      </c>
      <c r="D4322" s="1">
        <f>IFERROR(VLOOKUP(105,'PEDIDO 54'!$C$2:$E$230,3,0),0)</f>
        <v>0</v>
      </c>
      <c r="E4322" s="1">
        <f>IFERROR(VLOOKUP(106,'PEDIDO 54'!$C$2:$E$230,3,0),0)</f>
        <v>0</v>
      </c>
      <c r="F4322" s="1">
        <f>IFERROR(VLOOKUP(307,'PEDIDO 54'!$C$2:$E$230,3,0),0)</f>
        <v>0</v>
      </c>
      <c r="G4322" s="18">
        <f t="shared" si="136"/>
        <v>0</v>
      </c>
    </row>
    <row r="4323" spans="1:7" ht="15.75" x14ac:dyDescent="0.25">
      <c r="A4323" s="15">
        <f>'PEDIDO 54'!$B$2</f>
        <v>0</v>
      </c>
      <c r="B4323" s="12" t="s">
        <v>425</v>
      </c>
      <c r="C4323" s="1">
        <f>IFERROR(VLOOKUP(400,'PEDIDO 54'!$C$2:$E$230,3,0),0)</f>
        <v>0</v>
      </c>
      <c r="D4323" s="1">
        <f>IFERROR(VLOOKUP(401,'PEDIDO 54'!$C$2:$E$230,3,0),0)</f>
        <v>0</v>
      </c>
      <c r="E4323" s="1">
        <f>IFERROR(VLOOKUP(402,'PEDIDO 54'!$C$2:$E$230,3,0),0)</f>
        <v>0</v>
      </c>
      <c r="F4323" s="1">
        <f>IFERROR(VLOOKUP(403,'PEDIDO 54'!$C$2:$E$230,3,0),0)</f>
        <v>0</v>
      </c>
      <c r="G4323" s="18">
        <f t="shared" si="136"/>
        <v>0</v>
      </c>
    </row>
    <row r="4324" spans="1:7" ht="15.75" x14ac:dyDescent="0.25">
      <c r="A4324" s="15">
        <f>'PEDIDO 54'!$B$2</f>
        <v>0</v>
      </c>
      <c r="B4324" s="12" t="s">
        <v>428</v>
      </c>
      <c r="C4324" s="1">
        <f>IFERROR(VLOOKUP(22,'PEDIDO 54'!$C$2:$E$230,3,0),0)</f>
        <v>0</v>
      </c>
      <c r="D4324" s="1"/>
      <c r="E4324" s="1"/>
      <c r="F4324" s="1"/>
      <c r="G4324" s="18">
        <f t="shared" si="136"/>
        <v>0</v>
      </c>
    </row>
    <row r="4325" spans="1:7" ht="15.75" x14ac:dyDescent="0.25">
      <c r="A4325" s="15">
        <f>'PEDIDO 54'!$B$2</f>
        <v>0</v>
      </c>
      <c r="B4325" s="12" t="s">
        <v>429</v>
      </c>
      <c r="C4325" s="1">
        <f>IFERROR(VLOOKUP(21,'PEDIDO 54'!$C$2:$E$230,3,0),0)</f>
        <v>0</v>
      </c>
      <c r="D4325" s="1"/>
      <c r="E4325" s="1"/>
      <c r="F4325" s="1"/>
      <c r="G4325" s="18">
        <f t="shared" si="136"/>
        <v>0</v>
      </c>
    </row>
    <row r="4326" spans="1:7" ht="15.75" x14ac:dyDescent="0.25">
      <c r="A4326" s="15">
        <f>'PEDIDO 54'!$B$2</f>
        <v>0</v>
      </c>
      <c r="B4326" s="12" t="s">
        <v>430</v>
      </c>
      <c r="C4326" s="1">
        <f>IFERROR(VLOOKUP(1125,'PEDIDO 54'!$C$2:$E$230,3,0),0)</f>
        <v>0</v>
      </c>
      <c r="D4326" s="1">
        <f>IFERROR(VLOOKUP(1126,'PEDIDO 54'!$C$2:$E$230,3,0),0)</f>
        <v>0</v>
      </c>
      <c r="E4326" s="1">
        <f>IFERROR(VLOOKUP(1127,'PEDIDO 54'!$C$2:$E$230,3,0),0)</f>
        <v>0</v>
      </c>
      <c r="F4326" s="1">
        <f>IFERROR(VLOOKUP(1128,'PEDIDO 54'!$C$2:$E$230,3,0),0)</f>
        <v>0</v>
      </c>
      <c r="G4326" s="18">
        <f t="shared" si="136"/>
        <v>0</v>
      </c>
    </row>
    <row r="4327" spans="1:7" ht="15.75" x14ac:dyDescent="0.25">
      <c r="A4327" s="15">
        <f>'PEDIDO 54'!$B$2</f>
        <v>0</v>
      </c>
      <c r="B4327" s="12" t="s">
        <v>431</v>
      </c>
      <c r="C4327" s="1">
        <f>IFERROR(VLOOKUP(1133,'PEDIDO 54'!$C$2:$E$230,3,0),0)</f>
        <v>0</v>
      </c>
      <c r="D4327" s="1">
        <f>IFERROR(VLOOKUP(1134,'PEDIDO 54'!$C$2:$E$230,3,0),0)</f>
        <v>0</v>
      </c>
      <c r="E4327" s="1">
        <f>IFERROR(VLOOKUP(1135,'PEDIDO 54'!$C$2:$E$230,3,0),0)</f>
        <v>0</v>
      </c>
      <c r="F4327" s="1">
        <f>IFERROR(VLOOKUP(1136,'PEDIDO 54'!$C$2:$E$230,3,0),0)</f>
        <v>0</v>
      </c>
      <c r="G4327" s="18">
        <f t="shared" si="136"/>
        <v>0</v>
      </c>
    </row>
    <row r="4328" spans="1:7" ht="15.75" x14ac:dyDescent="0.25">
      <c r="A4328" s="15">
        <f>'PEDIDO 54'!$B$2</f>
        <v>0</v>
      </c>
      <c r="B4328" s="12" t="s">
        <v>432</v>
      </c>
      <c r="C4328" s="1">
        <f>IFERROR(VLOOKUP(1105,'PEDIDO 54'!$C$2:$E$230,3,0),0)</f>
        <v>0</v>
      </c>
      <c r="D4328" s="1">
        <f>IFERROR(VLOOKUP(1106,'PEDIDO 54'!$C$2:$E$230,3,0),0)</f>
        <v>0</v>
      </c>
      <c r="E4328" s="1">
        <f>IFERROR(VLOOKUP(1107,'PEDIDO 54'!$C$2:$E$230,3,0),0)</f>
        <v>0</v>
      </c>
      <c r="F4328" s="1">
        <f>IFERROR(VLOOKUP(1108,'PEDIDO 54'!$C$2:$E$230,3,0),0)</f>
        <v>0</v>
      </c>
      <c r="G4328" s="18">
        <f t="shared" si="136"/>
        <v>0</v>
      </c>
    </row>
    <row r="4329" spans="1:7" ht="15.75" x14ac:dyDescent="0.25">
      <c r="A4329" s="15">
        <f>'PEDIDO 54'!$B$2</f>
        <v>0</v>
      </c>
      <c r="B4329" s="12" t="s">
        <v>433</v>
      </c>
      <c r="C4329" s="1">
        <f>IFERROR(VLOOKUP(1109,'PEDIDO 54'!$C$2:$E$230,3,0),0)</f>
        <v>0</v>
      </c>
      <c r="D4329" s="1">
        <f>IFERROR(VLOOKUP(1110,'PEDIDO 54'!$C$2:$E$230,3,0),0)</f>
        <v>0</v>
      </c>
      <c r="E4329" s="1">
        <f>IFERROR(VLOOKUP(1111,'PEDIDO 54'!$C$2:$E$230,3,0),0)</f>
        <v>0</v>
      </c>
      <c r="F4329" s="1">
        <f>IFERROR(VLOOKUP(1112,'PEDIDO 54'!$C$2:$E$230,3,0),0)</f>
        <v>0</v>
      </c>
      <c r="G4329" s="18">
        <f t="shared" si="136"/>
        <v>0</v>
      </c>
    </row>
    <row r="4330" spans="1:7" ht="15.75" x14ac:dyDescent="0.25">
      <c r="A4330" s="15">
        <f>'PEDIDO 54'!$B$2</f>
        <v>0</v>
      </c>
      <c r="B4330" s="12" t="s">
        <v>434</v>
      </c>
      <c r="C4330" s="1">
        <f>IFERROR(VLOOKUP(1113,'PEDIDO 54'!$C$2:$E$230,3,0),0)</f>
        <v>0</v>
      </c>
      <c r="D4330" s="1">
        <f>IFERROR(VLOOKUP(1114,'PEDIDO 54'!$C$2:$E$230,3,0),0)</f>
        <v>0</v>
      </c>
      <c r="E4330" s="1">
        <f>IFERROR(VLOOKUP(1115,'PEDIDO 54'!$C$2:$E$230,3,0),0)</f>
        <v>0</v>
      </c>
      <c r="F4330" s="1">
        <f>IFERROR(VLOOKUP(1116,'PEDIDO 54'!$C$2:$E$230,3,0),0)</f>
        <v>0</v>
      </c>
      <c r="G4330" s="18">
        <f t="shared" si="136"/>
        <v>0</v>
      </c>
    </row>
    <row r="4331" spans="1:7" ht="15.75" x14ac:dyDescent="0.25">
      <c r="A4331" s="15">
        <f>'PEDIDO 54'!$B$2</f>
        <v>0</v>
      </c>
      <c r="B4331" s="12" t="s">
        <v>435</v>
      </c>
      <c r="C4331" s="1">
        <f>IFERROR(VLOOKUP(1117,'PEDIDO 54'!$C$2:$E$230,3,0),0)</f>
        <v>0</v>
      </c>
      <c r="D4331" s="1">
        <f>IFERROR(VLOOKUP(1118,'PEDIDO 54'!$C$2:$E$230,3,0),0)</f>
        <v>0</v>
      </c>
      <c r="E4331" s="1">
        <f>IFERROR(VLOOKUP(1119,'PEDIDO 54'!$C$2:$E$230,3,0),0)</f>
        <v>0</v>
      </c>
      <c r="F4331" s="1">
        <f>IFERROR(VLOOKUP(1120,'PEDIDO 54'!$C$2:$E$230,3,0),0)</f>
        <v>0</v>
      </c>
      <c r="G4331" s="18">
        <f t="shared" si="136"/>
        <v>0</v>
      </c>
    </row>
    <row r="4332" spans="1:7" ht="15.75" x14ac:dyDescent="0.25">
      <c r="A4332" s="15">
        <f>'PEDIDO 54'!$B$2</f>
        <v>0</v>
      </c>
      <c r="B4332" s="12" t="s">
        <v>436</v>
      </c>
      <c r="C4332" s="1">
        <f>IFERROR(VLOOKUP(1121,'PEDIDO 54'!$C$2:$E$230,3,0),0)</f>
        <v>0</v>
      </c>
      <c r="D4332" s="1">
        <f>IFERROR(VLOOKUP(1122,'PEDIDO 54'!$C$2:$E$230,3,0),0)</f>
        <v>0</v>
      </c>
      <c r="E4332" s="1">
        <f>IFERROR(VLOOKUP(1123,'PEDIDO 54'!$C$2:$E$230,3,0),0)</f>
        <v>0</v>
      </c>
      <c r="F4332" s="1">
        <f>IFERROR(VLOOKUP(1124,'PEDIDO 54'!$C$2:$E$230,3,0),0)</f>
        <v>0</v>
      </c>
      <c r="G4332" s="18">
        <f t="shared" si="136"/>
        <v>0</v>
      </c>
    </row>
    <row r="4333" spans="1:7" ht="15.75" x14ac:dyDescent="0.25">
      <c r="A4333" s="15">
        <f>'PEDIDO 54'!$B$2</f>
        <v>0</v>
      </c>
      <c r="B4333" s="12" t="s">
        <v>437</v>
      </c>
      <c r="C4333" s="1">
        <f>IFERROR(VLOOKUP(1129,'PEDIDO 54'!$C$2:$E$230,3,0),0)</f>
        <v>0</v>
      </c>
      <c r="D4333" s="1">
        <f>IFERROR(VLOOKUP(1130,'PEDIDO 54'!$C$2:$E$230,3,0),0)</f>
        <v>0</v>
      </c>
      <c r="E4333" s="1">
        <f>IFERROR(VLOOKUP(1131,'PEDIDO 54'!$C$2:$E$230,3,0),0)</f>
        <v>0</v>
      </c>
      <c r="F4333" s="1">
        <f>IFERROR(VLOOKUP(1132,'PEDIDO 54'!$C$2:$E$230,3,0),0)</f>
        <v>0</v>
      </c>
      <c r="G4333" s="18">
        <f t="shared" si="136"/>
        <v>0</v>
      </c>
    </row>
    <row r="4334" spans="1:7" ht="15.75" x14ac:dyDescent="0.25">
      <c r="A4334" s="15">
        <f>'PEDIDO 54'!$B$2</f>
        <v>0</v>
      </c>
      <c r="B4334" s="12" t="s">
        <v>438</v>
      </c>
      <c r="C4334" s="1">
        <f>IFERROR(VLOOKUP(1137,'PEDIDO 54'!$C$2:$E$230,3,0),0)</f>
        <v>0</v>
      </c>
      <c r="D4334" s="1">
        <f>IFERROR(VLOOKUP(1138,'PEDIDO 54'!$C$2:$E$230,3,0),0)</f>
        <v>0</v>
      </c>
      <c r="E4334" s="1">
        <f>IFERROR(VLOOKUP(1139,'PEDIDO 54'!$C$2:$E$230,3,0),0)</f>
        <v>0</v>
      </c>
      <c r="F4334" s="1">
        <f>IFERROR(VLOOKUP(1140,'PEDIDO 54'!$C$2:$E$230,3,0),0)</f>
        <v>0</v>
      </c>
      <c r="G4334" s="18">
        <f t="shared" si="136"/>
        <v>0</v>
      </c>
    </row>
    <row r="4335" spans="1:7" ht="15.75" x14ac:dyDescent="0.25">
      <c r="A4335" s="15">
        <f>'PEDIDO 54'!$B$2</f>
        <v>0</v>
      </c>
      <c r="B4335" s="12" t="s">
        <v>439</v>
      </c>
      <c r="C4335" s="1">
        <f>IFERROR(VLOOKUP(1141,'PEDIDO 54'!$C$2:$E$230,3,0),0)</f>
        <v>0</v>
      </c>
      <c r="D4335" s="1">
        <f>IFERROR(VLOOKUP(1142,'PEDIDO 54'!$C$2:$E$230,3,0),0)</f>
        <v>0</v>
      </c>
      <c r="E4335" s="1">
        <f>IFERROR(VLOOKUP(1143,'PEDIDO 54'!$C$2:$E$230,3,0),0)</f>
        <v>0</v>
      </c>
      <c r="F4335" s="1">
        <f>IFERROR(VLOOKUP(1144,'PEDIDO 54'!$C$2:$E$230,3,0),0)</f>
        <v>0</v>
      </c>
      <c r="G4335" s="18">
        <f t="shared" si="136"/>
        <v>0</v>
      </c>
    </row>
    <row r="4336" spans="1:7" ht="15.75" x14ac:dyDescent="0.25">
      <c r="A4336" s="15">
        <f>'PEDIDO 54'!$B$2</f>
        <v>0</v>
      </c>
      <c r="B4336" s="12" t="s">
        <v>440</v>
      </c>
      <c r="C4336" s="1">
        <f>IFERROR(VLOOKUP(1145,'PEDIDO 54'!$C$2:$E$230,3,0),0)</f>
        <v>0</v>
      </c>
      <c r="D4336" s="1">
        <f>IFERROR(VLOOKUP(1146,'PEDIDO 54'!$C$2:$E$230,3,0),0)</f>
        <v>0</v>
      </c>
      <c r="E4336" s="1">
        <f>IFERROR(VLOOKUP(1147,'PEDIDO 54'!$C$2:$E$230,3,0),0)</f>
        <v>0</v>
      </c>
      <c r="F4336" s="1">
        <f>IFERROR(VLOOKUP(1148,'PEDIDO 54'!$C$2:$E$230,3,0),0)</f>
        <v>0</v>
      </c>
      <c r="G4336" s="18">
        <f t="shared" si="136"/>
        <v>0</v>
      </c>
    </row>
    <row r="4337" spans="1:7" ht="15.75" x14ac:dyDescent="0.25">
      <c r="A4337" s="15">
        <f>'PEDIDO 54'!$B$2</f>
        <v>0</v>
      </c>
      <c r="B4337" s="12" t="s">
        <v>441</v>
      </c>
      <c r="C4337" s="1">
        <f>IFERROR(VLOOKUP(1149,'PEDIDO 54'!$C$2:$E$230,3,0),0)</f>
        <v>0</v>
      </c>
      <c r="D4337" s="1">
        <f>IFERROR(VLOOKUP(1150,'PEDIDO 54'!$C$2:$E$230,3,0),0)</f>
        <v>0</v>
      </c>
      <c r="E4337" s="1">
        <f>IFERROR(VLOOKUP(1151,'PEDIDO 54'!$C$2:$E$230,3,0),0)</f>
        <v>0</v>
      </c>
      <c r="F4337" s="1">
        <f>IFERROR(VLOOKUP(1152,'PEDIDO 54'!$C$2:$E$230,3,0),0)</f>
        <v>0</v>
      </c>
      <c r="G4337" s="18">
        <f t="shared" si="136"/>
        <v>0</v>
      </c>
    </row>
    <row r="4338" spans="1:7" ht="15.75" x14ac:dyDescent="0.25">
      <c r="A4338" s="15">
        <f>'PEDIDO 54'!$B$2</f>
        <v>0</v>
      </c>
      <c r="B4338" s="12" t="s">
        <v>442</v>
      </c>
      <c r="C4338" s="1">
        <f>IFERROR(VLOOKUP(1153,'PEDIDO 54'!$C$2:$E$230,3,0),0)</f>
        <v>0</v>
      </c>
      <c r="D4338" s="1">
        <f>IFERROR(VLOOKUP(1154,'PEDIDO 54'!$C$2:$E$230,3,0),0)</f>
        <v>0</v>
      </c>
      <c r="E4338" s="1">
        <f>IFERROR(VLOOKUP(1155,'PEDIDO 54'!$C$2:$E$230,3,0),0)</f>
        <v>0</v>
      </c>
      <c r="F4338" s="1">
        <f>IFERROR(VLOOKUP(1156,'PEDIDO 54'!$C$2:$E$230,3,0),0)</f>
        <v>0</v>
      </c>
      <c r="G4338" s="18">
        <f t="shared" si="136"/>
        <v>0</v>
      </c>
    </row>
    <row r="4339" spans="1:7" ht="15.75" x14ac:dyDescent="0.25">
      <c r="A4339" s="15">
        <f>'PEDIDO 54'!$B$2</f>
        <v>0</v>
      </c>
      <c r="B4339" s="12" t="s">
        <v>443</v>
      </c>
      <c r="C4339" s="1">
        <f>IFERROR(VLOOKUP(1157,'PEDIDO 54'!$C$2:$E$230,3,0),0)</f>
        <v>0</v>
      </c>
      <c r="D4339" s="1">
        <f>IFERROR(VLOOKUP(1158,'PEDIDO 54'!$C$2:$E$230,3,0),0)</f>
        <v>0</v>
      </c>
      <c r="E4339" s="1">
        <f>IFERROR(VLOOKUP(1159,'PEDIDO 54'!$C$2:$E$230,3,0),0)</f>
        <v>0</v>
      </c>
      <c r="F4339" s="1">
        <f>IFERROR(VLOOKUP(1160,'PEDIDO 54'!$C$2:$E$230,3,0),0)</f>
        <v>0</v>
      </c>
      <c r="G4339" s="18">
        <f t="shared" si="136"/>
        <v>0</v>
      </c>
    </row>
    <row r="4340" spans="1:7" ht="15.75" x14ac:dyDescent="0.25">
      <c r="A4340" s="15">
        <f>'PEDIDO 54'!$B$2</f>
        <v>0</v>
      </c>
      <c r="B4340" s="12" t="s">
        <v>444</v>
      </c>
      <c r="C4340" s="1">
        <f>IFERROR(VLOOKUP(1161,'PEDIDO 54'!$C$2:$E$230,3,0),0)</f>
        <v>0</v>
      </c>
      <c r="D4340" s="1">
        <f>IFERROR(VLOOKUP(1162,'PEDIDO 54'!$C$2:$E$230,3,0),0)</f>
        <v>0</v>
      </c>
      <c r="E4340" s="1">
        <f>IFERROR(VLOOKUP(1163,'PEDIDO 54'!$C$2:$E$230,3,0),0)</f>
        <v>0</v>
      </c>
      <c r="F4340" s="1">
        <f>IFERROR(VLOOKUP(1164,'PEDIDO 54'!$C$2:$E$230,3,0),0)</f>
        <v>0</v>
      </c>
      <c r="G4340" s="18">
        <f t="shared" si="136"/>
        <v>0</v>
      </c>
    </row>
    <row r="4341" spans="1:7" ht="15.75" x14ac:dyDescent="0.25">
      <c r="A4341" s="15">
        <f>'PEDIDO 54'!$B$2</f>
        <v>0</v>
      </c>
      <c r="B4341" s="12" t="s">
        <v>445</v>
      </c>
      <c r="C4341" s="1">
        <f>IFERROR(VLOOKUP(1165,'PEDIDO 54'!$C$2:$E$230,3,0),0)</f>
        <v>0</v>
      </c>
      <c r="D4341" s="1">
        <f>IFERROR(VLOOKUP(1166,'PEDIDO 54'!$C$2:$E$230,3,0),0)</f>
        <v>0</v>
      </c>
      <c r="E4341" s="1">
        <f>IFERROR(VLOOKUP(1167,'PEDIDO 54'!$C$2:$E$230,3,0),0)</f>
        <v>0</v>
      </c>
      <c r="F4341" s="1">
        <f>IFERROR(VLOOKUP(1168,'PEDIDO 54'!$C$2:$E$230,3,0),0)</f>
        <v>0</v>
      </c>
      <c r="G4341" s="18">
        <f t="shared" si="136"/>
        <v>0</v>
      </c>
    </row>
    <row r="4342" spans="1:7" ht="15.75" x14ac:dyDescent="0.25">
      <c r="A4342" s="15">
        <f>'PEDIDO 54'!$B$2</f>
        <v>0</v>
      </c>
      <c r="B4342" s="12" t="s">
        <v>446</v>
      </c>
      <c r="C4342" s="1">
        <f>IFERROR(VLOOKUP(1169,'PEDIDO 54'!$C$2:$E$230,3,0),0)</f>
        <v>0</v>
      </c>
      <c r="D4342" s="1">
        <f>IFERROR(VLOOKUP(1170,'PEDIDO 54'!$C$2:$E$230,3,0),0)</f>
        <v>0</v>
      </c>
      <c r="E4342" s="1">
        <f>IFERROR(VLOOKUP(1171,'PEDIDO 54'!$C$2:$E$230,3,0),0)</f>
        <v>0</v>
      </c>
      <c r="F4342" s="1">
        <f>IFERROR(VLOOKUP(1172,'PEDIDO 54'!$C$2:$E$230,3,0),0)</f>
        <v>0</v>
      </c>
      <c r="G4342" s="18">
        <f t="shared" si="136"/>
        <v>0</v>
      </c>
    </row>
    <row r="4343" spans="1:7" ht="15.75" x14ac:dyDescent="0.25">
      <c r="A4343" s="15">
        <f>'PEDIDO 54'!$B$2</f>
        <v>0</v>
      </c>
      <c r="B4343" s="12" t="s">
        <v>447</v>
      </c>
      <c r="C4343" s="1">
        <f>IFERROR(VLOOKUP(1173,'PEDIDO 54'!$C$2:$E$230,3,0),0)</f>
        <v>0</v>
      </c>
      <c r="D4343" s="1">
        <f>IFERROR(VLOOKUP(1174,'PEDIDO 54'!$C$2:$E$230,3,0),0)</f>
        <v>0</v>
      </c>
      <c r="E4343" s="1">
        <f>IFERROR(VLOOKUP(1175,'PEDIDO 54'!$C$2:$E$230,3,0),0)</f>
        <v>0</v>
      </c>
      <c r="F4343" s="1">
        <f>IFERROR(VLOOKUP(1176,'PEDIDO 54'!$C$2:$E$230,3,0),0)</f>
        <v>0</v>
      </c>
      <c r="G4343" s="18">
        <f t="shared" si="136"/>
        <v>0</v>
      </c>
    </row>
    <row r="4344" spans="1:7" ht="15.75" x14ac:dyDescent="0.25">
      <c r="A4344" s="15">
        <f>'PEDIDO 54'!$B$2</f>
        <v>0</v>
      </c>
      <c r="B4344" s="12" t="s">
        <v>448</v>
      </c>
      <c r="C4344" s="1">
        <f>IFERROR(VLOOKUP(1249,'PEDIDO 54'!$C$2:$E$230,3,0),0)</f>
        <v>0</v>
      </c>
      <c r="D4344" s="1">
        <f>IFERROR(VLOOKUP(1250,'PEDIDO 54'!$C$2:$E$230,3,0),0)</f>
        <v>0</v>
      </c>
      <c r="E4344" s="1">
        <f>IFERROR(VLOOKUP(1251,'PEDIDO 54'!$C$2:$E$230,3,0),0)</f>
        <v>0</v>
      </c>
      <c r="F4344" s="1">
        <f>IFERROR(VLOOKUP(1252,'PEDIDO 54'!$C$2:$E$230,3,0),0)</f>
        <v>0</v>
      </c>
      <c r="G4344" s="18">
        <f t="shared" si="136"/>
        <v>0</v>
      </c>
    </row>
    <row r="4345" spans="1:7" ht="15.75" x14ac:dyDescent="0.25">
      <c r="A4345" s="15">
        <f>'PEDIDO 54'!$B$2</f>
        <v>0</v>
      </c>
      <c r="B4345" s="12" t="s">
        <v>449</v>
      </c>
      <c r="C4345" s="1">
        <f>IFERROR(VLOOKUP(1177,'PEDIDO 54'!$C$2:$E$230,3,0),0)</f>
        <v>0</v>
      </c>
      <c r="D4345" s="1">
        <f>IFERROR(VLOOKUP(1178,'PEDIDO 54'!$C$2:$E$230,3,0),0)</f>
        <v>0</v>
      </c>
      <c r="E4345" s="1">
        <f>IFERROR(VLOOKUP(1179,'PEDIDO 54'!$C$2:$E$230,3,0),0)</f>
        <v>0</v>
      </c>
      <c r="F4345" s="1">
        <f>IFERROR(VLOOKUP(1180,'PEDIDO 54'!$C$2:$E$230,3,0),0)</f>
        <v>0</v>
      </c>
      <c r="G4345" s="18">
        <f t="shared" si="136"/>
        <v>0</v>
      </c>
    </row>
    <row r="4346" spans="1:7" ht="15.75" x14ac:dyDescent="0.25">
      <c r="A4346" s="15">
        <f>'PEDIDO 54'!$B$2</f>
        <v>0</v>
      </c>
      <c r="B4346" s="12" t="s">
        <v>450</v>
      </c>
      <c r="C4346" s="1">
        <f>IFERROR(VLOOKUP(1181,'PEDIDO 54'!$C$2:$E$230,3,0),0)</f>
        <v>0</v>
      </c>
      <c r="D4346" s="1">
        <f>IFERROR(VLOOKUP(1182,'PEDIDO 54'!$C$2:$E$230,3,0),0)</f>
        <v>0</v>
      </c>
      <c r="E4346" s="1">
        <f>IFERROR(VLOOKUP(1183,'PEDIDO 54'!$C$2:$E$230,3,0),0)</f>
        <v>0</v>
      </c>
      <c r="F4346" s="1">
        <f>IFERROR(VLOOKUP(1184,'PEDIDO 54'!$C$2:$E$230,3,0),0)</f>
        <v>0</v>
      </c>
      <c r="G4346" s="18">
        <f t="shared" si="136"/>
        <v>0</v>
      </c>
    </row>
    <row r="4347" spans="1:7" ht="15.75" x14ac:dyDescent="0.25">
      <c r="A4347" s="15">
        <f>'PEDIDO 54'!$B$2</f>
        <v>0</v>
      </c>
      <c r="B4347" s="12" t="s">
        <v>451</v>
      </c>
      <c r="C4347" s="1">
        <f>IFERROR(VLOOKUP(1185,'PEDIDO 54'!$C$2:$E$230,3,0),0)</f>
        <v>0</v>
      </c>
      <c r="D4347" s="1">
        <f>IFERROR(VLOOKUP(1186,'PEDIDO 54'!$C$2:$E$230,3,0),0)</f>
        <v>0</v>
      </c>
      <c r="E4347" s="1">
        <f>IFERROR(VLOOKUP(1187,'PEDIDO 54'!$C$2:$E$230,3,0),0)</f>
        <v>0</v>
      </c>
      <c r="F4347" s="1">
        <f>IFERROR(VLOOKUP(1188,'PEDIDO 54'!$C$2:$E$230,3,0),0)</f>
        <v>0</v>
      </c>
      <c r="G4347" s="18">
        <f t="shared" si="136"/>
        <v>0</v>
      </c>
    </row>
    <row r="4348" spans="1:7" ht="15.75" x14ac:dyDescent="0.25">
      <c r="A4348" s="15">
        <f>'PEDIDO 54'!$B$2</f>
        <v>0</v>
      </c>
      <c r="B4348" s="12" t="s">
        <v>452</v>
      </c>
      <c r="C4348" s="1">
        <f>IFERROR(VLOOKUP(1189,'PEDIDO 54'!$C$2:$E$230,3,0),0)</f>
        <v>0</v>
      </c>
      <c r="D4348" s="1">
        <f>IFERROR(VLOOKUP(1190,'PEDIDO 54'!$C$2:$E$230,3,0),0)</f>
        <v>0</v>
      </c>
      <c r="E4348" s="1">
        <f>IFERROR(VLOOKUP(1191,'PEDIDO 54'!$C$2:$E$230,3,0),0)</f>
        <v>0</v>
      </c>
      <c r="F4348" s="1">
        <f>IFERROR(VLOOKUP(1192,'PEDIDO 54'!$C$2:$E$230,3,0),0)</f>
        <v>0</v>
      </c>
      <c r="G4348" s="18">
        <f t="shared" si="136"/>
        <v>0</v>
      </c>
    </row>
    <row r="4349" spans="1:7" ht="15.75" x14ac:dyDescent="0.25">
      <c r="A4349" s="15">
        <f>'PEDIDO 54'!$B$2</f>
        <v>0</v>
      </c>
      <c r="B4349" s="12" t="s">
        <v>453</v>
      </c>
      <c r="C4349" s="1">
        <f>IFERROR(VLOOKUP(1193,'PEDIDO 54'!$C$2:$E$230,3,0),0)</f>
        <v>0</v>
      </c>
      <c r="D4349" s="1">
        <f>IFERROR(VLOOKUP(1194,'PEDIDO 54'!$C$2:$E$230,3,0),0)</f>
        <v>0</v>
      </c>
      <c r="E4349" s="1">
        <f>IFERROR(VLOOKUP(1195,'PEDIDO 54'!$C$2:$E$230,3,0),0)</f>
        <v>0</v>
      </c>
      <c r="F4349" s="1">
        <f>IFERROR(VLOOKUP(1196,'PEDIDO 54'!$C$2:$E$230,3,0),0)</f>
        <v>0</v>
      </c>
      <c r="G4349" s="18">
        <f t="shared" si="136"/>
        <v>0</v>
      </c>
    </row>
    <row r="4350" spans="1:7" ht="15.75" x14ac:dyDescent="0.25">
      <c r="A4350" s="15">
        <f>'PEDIDO 54'!$B$2</f>
        <v>0</v>
      </c>
      <c r="B4350" s="12" t="s">
        <v>454</v>
      </c>
      <c r="C4350" s="1">
        <f>IFERROR(VLOOKUP(1197,'PEDIDO 54'!$C$2:$E$230,3,0),0)</f>
        <v>0</v>
      </c>
      <c r="D4350" s="1">
        <f>IFERROR(VLOOKUP(1198,'PEDIDO 54'!$C$2:$E$230,3,0),0)</f>
        <v>0</v>
      </c>
      <c r="E4350" s="1">
        <f>IFERROR(VLOOKUP(1199,'PEDIDO 54'!$C$2:$E$230,3,0),0)</f>
        <v>0</v>
      </c>
      <c r="F4350" s="1">
        <f>IFERROR(VLOOKUP(1200,'PEDIDO 54'!$C$2:$E$230,3,0),0)</f>
        <v>0</v>
      </c>
      <c r="G4350" s="18">
        <f t="shared" si="136"/>
        <v>0</v>
      </c>
    </row>
    <row r="4351" spans="1:7" ht="15.75" x14ac:dyDescent="0.25">
      <c r="A4351" s="15">
        <f>'PEDIDO 54'!$B$2</f>
        <v>0</v>
      </c>
      <c r="B4351" s="12" t="s">
        <v>455</v>
      </c>
      <c r="C4351" s="1">
        <f>IFERROR(VLOOKUP(1201,'PEDIDO 54'!$C$2:$E$230,3,0),0)</f>
        <v>0</v>
      </c>
      <c r="D4351" s="1">
        <f>IFERROR(VLOOKUP(1202,'PEDIDO 54'!$C$2:$E$230,3,0),0)</f>
        <v>0</v>
      </c>
      <c r="E4351" s="1">
        <f>IFERROR(VLOOKUP(1203,'PEDIDO 54'!$C$2:$E$230,3,0),0)</f>
        <v>0</v>
      </c>
      <c r="F4351" s="1">
        <f>IFERROR(VLOOKUP(1204,'PEDIDO 54'!$C$2:$E$230,3,0),0)</f>
        <v>0</v>
      </c>
      <c r="G4351" s="18">
        <f t="shared" si="136"/>
        <v>0</v>
      </c>
    </row>
    <row r="4352" spans="1:7" ht="15.75" x14ac:dyDescent="0.25">
      <c r="A4352" s="15">
        <f>'PEDIDO 54'!$B$2</f>
        <v>0</v>
      </c>
      <c r="B4352" s="12" t="s">
        <v>456</v>
      </c>
      <c r="C4352" s="1">
        <f>IFERROR(VLOOKUP(1205,'PEDIDO 54'!$C$2:$E$230,3,0),0)</f>
        <v>0</v>
      </c>
      <c r="D4352" s="1">
        <f>IFERROR(VLOOKUP(1206,'PEDIDO 54'!$C$2:$E$230,3,0),0)</f>
        <v>0</v>
      </c>
      <c r="E4352" s="1">
        <f>IFERROR(VLOOKUP(1207,'PEDIDO 54'!$C$2:$E$230,3,0),0)</f>
        <v>0</v>
      </c>
      <c r="F4352" s="1">
        <f>IFERROR(VLOOKUP(1208,'PEDIDO 54'!$C$2:$E$230,3,0),0)</f>
        <v>0</v>
      </c>
      <c r="G4352" s="18">
        <f t="shared" si="136"/>
        <v>0</v>
      </c>
    </row>
    <row r="4353" spans="1:7" ht="15.75" x14ac:dyDescent="0.25">
      <c r="A4353" s="15">
        <f>'PEDIDO 54'!$B$2</f>
        <v>0</v>
      </c>
      <c r="B4353" s="12" t="s">
        <v>457</v>
      </c>
      <c r="C4353" s="1">
        <f>IFERROR(VLOOKUP(1213,'PEDIDO 54'!$C$2:$E$230,3,0),0)</f>
        <v>0</v>
      </c>
      <c r="D4353" s="1">
        <f>IFERROR(VLOOKUP(1214,'PEDIDO 54'!$C$2:$E$230,3,0),0)</f>
        <v>0</v>
      </c>
      <c r="E4353" s="1">
        <f>IFERROR(VLOOKUP(1215,'PEDIDO 54'!$C$2:$E$230,3,0),0)</f>
        <v>0</v>
      </c>
      <c r="F4353" s="10">
        <f>IFERROR(VLOOKUP(1216,'PEDIDO 54'!$C$2:$E$230,3,0),0)</f>
        <v>0</v>
      </c>
      <c r="G4353" s="18">
        <f t="shared" si="136"/>
        <v>0</v>
      </c>
    </row>
    <row r="4354" spans="1:7" ht="15.75" x14ac:dyDescent="0.25">
      <c r="A4354" s="15">
        <f>'PEDIDO 54'!$B$2</f>
        <v>0</v>
      </c>
      <c r="B4354" s="12" t="s">
        <v>458</v>
      </c>
      <c r="C4354" s="1">
        <f>IFERROR(VLOOKUP(1209,'PEDIDO 54'!$C$2:$E$230,3,0),0)</f>
        <v>0</v>
      </c>
      <c r="D4354" s="1">
        <f>IFERROR(VLOOKUP(1210,'PEDIDO 54'!$C$2:$E$230,3,0),0)</f>
        <v>0</v>
      </c>
      <c r="E4354" s="1">
        <f>IFERROR(VLOOKUP(1211,'PEDIDO 54'!$C$2:$E$230,3,0),0)</f>
        <v>0</v>
      </c>
      <c r="F4354" s="1">
        <f>IFERROR(VLOOKUP(1212,'PEDIDO 54'!$C$2:$E$230,3,0),0)</f>
        <v>0</v>
      </c>
      <c r="G4354" s="18">
        <f t="shared" si="136"/>
        <v>0</v>
      </c>
    </row>
    <row r="4355" spans="1:7" ht="15.75" x14ac:dyDescent="0.25">
      <c r="A4355" s="15">
        <f>'PEDIDO 54'!$B$2</f>
        <v>0</v>
      </c>
      <c r="B4355" s="12" t="s">
        <v>459</v>
      </c>
      <c r="C4355" s="1">
        <f>IFERROR(VLOOKUP(1217,'PEDIDO 54'!$C$2:$E$230,3,0),0)</f>
        <v>0</v>
      </c>
      <c r="D4355" s="1">
        <f>IFERROR(VLOOKUP(1218,'PEDIDO 54'!$C$2:$E$230,3,0),0)</f>
        <v>0</v>
      </c>
      <c r="E4355" s="1">
        <f>IFERROR(VLOOKUP(1219,'PEDIDO 54'!$C$2:$E$230,3,0),0)</f>
        <v>0</v>
      </c>
      <c r="F4355" s="1">
        <f>IFERROR(VLOOKUP(1220,'PEDIDO 54'!$C$2:$E$230,3,0),0)</f>
        <v>0</v>
      </c>
      <c r="G4355" s="18">
        <f t="shared" si="136"/>
        <v>0</v>
      </c>
    </row>
    <row r="4356" spans="1:7" ht="15.75" x14ac:dyDescent="0.25">
      <c r="A4356" s="15">
        <f>'PEDIDO 54'!$B$2</f>
        <v>0</v>
      </c>
      <c r="B4356" s="12" t="s">
        <v>461</v>
      </c>
      <c r="C4356" s="1">
        <f>IFERROR(VLOOKUP(1225,'PEDIDO 54'!$C$2:$E$230,3,0),0)</f>
        <v>0</v>
      </c>
      <c r="D4356" s="1">
        <f>IFERROR(VLOOKUP(1226,'PEDIDO 54'!$C$2:$E$230,3,0),0)</f>
        <v>0</v>
      </c>
      <c r="E4356" s="1">
        <f>IFERROR(VLOOKUP(1227,'PEDIDO 54'!$C$2:$E$230,3,0),0)</f>
        <v>0</v>
      </c>
      <c r="F4356" s="1">
        <f>IFERROR(VLOOKUP(1228,'PEDIDO 54'!$C$2:$E$230,3,0),0)</f>
        <v>0</v>
      </c>
      <c r="G4356" s="18">
        <f t="shared" si="136"/>
        <v>0</v>
      </c>
    </row>
    <row r="4357" spans="1:7" ht="15.75" x14ac:dyDescent="0.25">
      <c r="A4357" s="15">
        <f>'PEDIDO 54'!$B$2</f>
        <v>0</v>
      </c>
      <c r="B4357" s="12" t="s">
        <v>462</v>
      </c>
      <c r="C4357" s="1">
        <f>IFERROR(VLOOKUP(1221,'PEDIDO 54'!$C$2:$E$230,3,0),0)</f>
        <v>0</v>
      </c>
      <c r="D4357" s="1">
        <f>IFERROR(VLOOKUP(1222,'PEDIDO 54'!$C$2:$E$230,3,0),0)</f>
        <v>0</v>
      </c>
      <c r="E4357" s="1">
        <f>IFERROR(VLOOKUP(1223,'PEDIDO 54'!$C$2:$E$230,3,0),0)</f>
        <v>0</v>
      </c>
      <c r="F4357" s="1">
        <f>IFERROR(VLOOKUP(1224,'PEDIDO 54'!$C$2:$E$230,3,0),0)</f>
        <v>0</v>
      </c>
      <c r="G4357" s="18">
        <f t="shared" si="136"/>
        <v>0</v>
      </c>
    </row>
    <row r="4358" spans="1:7" ht="15.75" x14ac:dyDescent="0.25">
      <c r="A4358" s="15">
        <f>'PEDIDO 54'!$B$2</f>
        <v>0</v>
      </c>
      <c r="B4358" s="12" t="s">
        <v>460</v>
      </c>
      <c r="C4358" s="1">
        <f>IFERROR(VLOOKUP(1229,'PEDIDO 54'!$C$2:$E$230,3,0),0)</f>
        <v>0</v>
      </c>
      <c r="D4358" s="1">
        <f>IFERROR(VLOOKUP(1230,'PEDIDO 54'!$C$2:$E$230,3,0),0)</f>
        <v>0</v>
      </c>
      <c r="E4358" s="1">
        <f>IFERROR(VLOOKUP(1231,'PEDIDO 54'!$C$2:$E$230,3,0),0)</f>
        <v>0</v>
      </c>
      <c r="F4358" s="1">
        <f>IFERROR(VLOOKUP(1232,'PEDIDO 54'!$C$2:$E$230,3,0),0)</f>
        <v>0</v>
      </c>
      <c r="G4358" s="18">
        <f t="shared" si="136"/>
        <v>0</v>
      </c>
    </row>
    <row r="4359" spans="1:7" ht="15.75" x14ac:dyDescent="0.25">
      <c r="A4359" s="15">
        <f>'PEDIDO 54'!$B$2</f>
        <v>0</v>
      </c>
      <c r="B4359" s="12" t="s">
        <v>463</v>
      </c>
      <c r="C4359" s="1">
        <f>IFERROR(VLOOKUP(1233,'PEDIDO 54'!$C$2:$E$230,3,0),0)</f>
        <v>0</v>
      </c>
      <c r="D4359" s="1">
        <f>IFERROR(VLOOKUP(1234,'PEDIDO 54'!$C$2:$E$230,3,0),0)</f>
        <v>0</v>
      </c>
      <c r="E4359" s="1">
        <f>IFERROR(VLOOKUP(1235,'PEDIDO 54'!$C$2:$E$230,3,0),0)</f>
        <v>0</v>
      </c>
      <c r="F4359" s="1">
        <f>IFERROR(VLOOKUP(1236,'PEDIDO 54'!$C$2:$E$230,3,0),0)</f>
        <v>0</v>
      </c>
      <c r="G4359" s="18">
        <f t="shared" ref="G4359:G4372" si="137">SUM(C4359+D4359+E4359+F4359)</f>
        <v>0</v>
      </c>
    </row>
    <row r="4360" spans="1:7" ht="15.75" x14ac:dyDescent="0.25">
      <c r="A4360" s="15">
        <f>'PEDIDO 54'!$B$2</f>
        <v>0</v>
      </c>
      <c r="B4360" s="12" t="s">
        <v>464</v>
      </c>
      <c r="C4360" s="1">
        <f>IFERROR(VLOOKUP(1237,'PEDIDO 54'!$C$2:$E$230,3,0),0)</f>
        <v>0</v>
      </c>
      <c r="D4360" s="1">
        <f>IFERROR(VLOOKUP(1238,'PEDIDO 54'!$C$2:$E$230,3,0),0)</f>
        <v>0</v>
      </c>
      <c r="E4360" s="1">
        <f>IFERROR(VLOOKUP(1239,'PEDIDO 54'!$C$2:$E$230,3,0),0)</f>
        <v>0</v>
      </c>
      <c r="F4360" s="1">
        <f>IFERROR(VLOOKUP(1240,'PEDIDO 54'!$C$2:$E$230,3,0),0)</f>
        <v>0</v>
      </c>
      <c r="G4360" s="18">
        <f t="shared" si="137"/>
        <v>0</v>
      </c>
    </row>
    <row r="4361" spans="1:7" ht="15.75" x14ac:dyDescent="0.25">
      <c r="A4361" s="15">
        <f>'PEDIDO 54'!$B$2</f>
        <v>0</v>
      </c>
      <c r="B4361" s="12" t="s">
        <v>465</v>
      </c>
      <c r="C4361" s="1">
        <f>IFERROR(VLOOKUP(1241,'PEDIDO 54'!$C$2:$E$230,3,0),0)</f>
        <v>0</v>
      </c>
      <c r="D4361" s="1">
        <f>IFERROR(VLOOKUP(1242,'PEDIDO 54'!$C$2:$E$230,3,0),0)</f>
        <v>0</v>
      </c>
      <c r="E4361" s="1">
        <f>IFERROR(VLOOKUP(1243,'PEDIDO 54'!$C$2:$E$230,3,0),0)</f>
        <v>0</v>
      </c>
      <c r="F4361" s="1">
        <f>IFERROR(VLOOKUP(1244,'PEDIDO 54'!$C$2:$E$230,3,0),0)</f>
        <v>0</v>
      </c>
      <c r="G4361" s="18">
        <f t="shared" si="137"/>
        <v>0</v>
      </c>
    </row>
    <row r="4362" spans="1:7" ht="15.75" x14ac:dyDescent="0.25">
      <c r="A4362" s="15">
        <f>'PEDIDO 54'!$B$2</f>
        <v>0</v>
      </c>
      <c r="B4362" s="12" t="s">
        <v>466</v>
      </c>
      <c r="C4362" s="1">
        <f>IFERROR(VLOOKUP(1245,'PEDIDO 54'!$C$2:$E$230,3,0),0)</f>
        <v>0</v>
      </c>
      <c r="D4362" s="1">
        <f>IFERROR(VLOOKUP(1246,'PEDIDO 54'!$C$2:$E$230,3,0),0)</f>
        <v>0</v>
      </c>
      <c r="E4362" s="1">
        <f>IFERROR(VLOOKUP(1247,'PEDIDO 54'!$C$2:$E$230,3,0),0)</f>
        <v>0</v>
      </c>
      <c r="F4362" s="1">
        <f>IFERROR(VLOOKUP(1248,'PEDIDO 54'!$C$2:$E$230,3,0),0)</f>
        <v>0</v>
      </c>
      <c r="G4362" s="18">
        <f t="shared" si="137"/>
        <v>0</v>
      </c>
    </row>
    <row r="4363" spans="1:7" ht="15.75" x14ac:dyDescent="0.25">
      <c r="A4363" s="15">
        <f>'PEDIDO 54'!$B$2</f>
        <v>0</v>
      </c>
      <c r="B4363" s="12" t="s">
        <v>467</v>
      </c>
      <c r="C4363" s="1">
        <f>IFERROR(VLOOKUP(25714,'PEDIDO 54'!$C$2:$E$230,3,0),0)</f>
        <v>0</v>
      </c>
      <c r="D4363" s="1"/>
      <c r="E4363" s="1"/>
      <c r="F4363" s="1"/>
      <c r="G4363" s="18">
        <f t="shared" si="137"/>
        <v>0</v>
      </c>
    </row>
    <row r="4364" spans="1:7" ht="15.75" x14ac:dyDescent="0.25">
      <c r="A4364" s="15">
        <f>'PEDIDO 54'!$B$2</f>
        <v>0</v>
      </c>
      <c r="B4364" s="12" t="s">
        <v>468</v>
      </c>
      <c r="C4364" s="1">
        <f>IFERROR(VLOOKUP(25712,'PEDIDO 54'!$C$2:$E$230,3,0),0)</f>
        <v>0</v>
      </c>
      <c r="D4364" s="1"/>
      <c r="E4364" s="1"/>
      <c r="F4364" s="1"/>
      <c r="G4364" s="18">
        <f t="shared" si="137"/>
        <v>0</v>
      </c>
    </row>
    <row r="4365" spans="1:7" ht="15.75" x14ac:dyDescent="0.25">
      <c r="A4365" s="15">
        <f>'PEDIDO 54'!$B$2</f>
        <v>0</v>
      </c>
      <c r="B4365" s="12" t="s">
        <v>469</v>
      </c>
      <c r="C4365" s="1">
        <f>IFERROR(VLOOKUP(25713,'PEDIDO 54'!$C$2:$E$230,3,0),0)</f>
        <v>0</v>
      </c>
      <c r="D4365" s="1"/>
      <c r="E4365" s="1"/>
      <c r="F4365" s="1"/>
      <c r="G4365" s="18">
        <f t="shared" si="137"/>
        <v>0</v>
      </c>
    </row>
    <row r="4366" spans="1:7" ht="15.75" x14ac:dyDescent="0.25">
      <c r="A4366" s="15">
        <f>'PEDIDO 54'!$B$2</f>
        <v>0</v>
      </c>
      <c r="B4366" s="12" t="s">
        <v>470</v>
      </c>
      <c r="C4366" s="1">
        <f>IFERROR(VLOOKUP(1260,'PEDIDO 54'!$C$2:$E$230,3,0),0)</f>
        <v>0</v>
      </c>
      <c r="D4366" s="1"/>
      <c r="E4366" s="1"/>
      <c r="F4366" s="1"/>
      <c r="G4366" s="18">
        <f t="shared" si="137"/>
        <v>0</v>
      </c>
    </row>
    <row r="4367" spans="1:7" ht="15.75" x14ac:dyDescent="0.25">
      <c r="A4367" s="15">
        <f>'PEDIDO 54'!$B$2</f>
        <v>0</v>
      </c>
      <c r="B4367" s="12" t="s">
        <v>471</v>
      </c>
      <c r="C4367" s="1">
        <f>IFERROR(VLOOKUP(1261,'PEDIDO 54'!$C$2:$E$230,3,0),0)</f>
        <v>0</v>
      </c>
      <c r="D4367" s="1"/>
      <c r="E4367" s="1"/>
      <c r="F4367" s="1"/>
      <c r="G4367" s="18">
        <f t="shared" si="137"/>
        <v>0</v>
      </c>
    </row>
    <row r="4368" spans="1:7" ht="15.75" x14ac:dyDescent="0.25">
      <c r="A4368" s="15">
        <f>'PEDIDO 54'!$B$2</f>
        <v>0</v>
      </c>
      <c r="B4368" s="12" t="s">
        <v>472</v>
      </c>
      <c r="C4368" s="1">
        <f>IFERROR(VLOOKUP(1262,'PEDIDO 54'!$C$2:$E$230,3,0),0)</f>
        <v>0</v>
      </c>
      <c r="D4368" s="1"/>
      <c r="E4368" s="1"/>
      <c r="F4368" s="1"/>
      <c r="G4368" s="18">
        <f t="shared" si="137"/>
        <v>0</v>
      </c>
    </row>
    <row r="4369" spans="1:7" ht="15.75" x14ac:dyDescent="0.25">
      <c r="A4369" s="15">
        <f>'PEDIDO 54'!$B$2</f>
        <v>0</v>
      </c>
      <c r="B4369" s="12" t="s">
        <v>473</v>
      </c>
      <c r="C4369" s="1">
        <f>IFERROR(VLOOKUP(1263,'PEDIDO 54'!$C$2:$E$230,3,0),0)</f>
        <v>0</v>
      </c>
      <c r="D4369" s="1"/>
      <c r="E4369" s="1"/>
      <c r="F4369" s="1"/>
      <c r="G4369" s="18">
        <f t="shared" si="137"/>
        <v>0</v>
      </c>
    </row>
    <row r="4370" spans="1:7" ht="15.75" x14ac:dyDescent="0.25">
      <c r="A4370" s="15">
        <f>'PEDIDO 54'!$B$2</f>
        <v>0</v>
      </c>
      <c r="B4370" s="12" t="s">
        <v>474</v>
      </c>
      <c r="C4370" s="1">
        <f>IFERROR(VLOOKUP(1264,'PEDIDO 54'!$C$2:$E$230,3,0),0)</f>
        <v>0</v>
      </c>
      <c r="D4370" s="1"/>
      <c r="E4370" s="1"/>
      <c r="F4370" s="1"/>
      <c r="G4370" s="18">
        <f t="shared" si="137"/>
        <v>0</v>
      </c>
    </row>
    <row r="4371" spans="1:7" ht="15.75" x14ac:dyDescent="0.25">
      <c r="A4371" s="15">
        <f>'PEDIDO 54'!$B$2</f>
        <v>0</v>
      </c>
      <c r="B4371" s="12" t="s">
        <v>475</v>
      </c>
      <c r="C4371" s="1">
        <f>IFERROR(VLOOKUP(1265,'PEDIDO 54'!$C$2:$E$230,3,0),0)</f>
        <v>0</v>
      </c>
      <c r="D4371" s="1"/>
      <c r="E4371" s="1"/>
      <c r="F4371" s="1"/>
      <c r="G4371" s="18">
        <f t="shared" si="137"/>
        <v>0</v>
      </c>
    </row>
    <row r="4372" spans="1:7" ht="15.75" x14ac:dyDescent="0.25">
      <c r="A4372" s="15">
        <f>'PEDIDO 54'!$B$2</f>
        <v>0</v>
      </c>
      <c r="B4372" s="12" t="s">
        <v>476</v>
      </c>
      <c r="C4372" s="1">
        <f>IFERROR(VLOOKUP(1266,'PEDIDO 54'!$C$2:$E$230,3,0),0)</f>
        <v>0</v>
      </c>
      <c r="D4372" s="1"/>
      <c r="E4372" s="1"/>
      <c r="F4372" s="1"/>
      <c r="G4372" s="18">
        <f t="shared" si="137"/>
        <v>0</v>
      </c>
    </row>
    <row r="4373" spans="1:7" ht="15.75" x14ac:dyDescent="0.25">
      <c r="A4373" s="15">
        <f>'PEDIDO 54'!$B$2</f>
        <v>0</v>
      </c>
      <c r="B4373" s="12" t="s">
        <v>477</v>
      </c>
      <c r="C4373" s="1">
        <f>IFERROR(VLOOKUP(1268,'PEDIDO 54'!$C$2:$E$230,3,0),0)</f>
        <v>0</v>
      </c>
      <c r="D4373" s="1">
        <f>IFERROR(VLOOKUP(1269,'PEDIDO 54'!$C$2:$E$230,3,0),0)</f>
        <v>0</v>
      </c>
      <c r="E4373" s="1">
        <f>IFERROR(VLOOKUP(1270,'PEDIDO 54'!$C$2:$E$230,3,0),0)</f>
        <v>0</v>
      </c>
      <c r="F4373" s="1">
        <f>IFERROR(VLOOKUP(1271,'PEDIDO 54'!$C$2:$E$230,3,0),0)</f>
        <v>0</v>
      </c>
      <c r="G4373" s="18">
        <f t="shared" ref="G4373" si="138">SUM(C4373+D4373+E4373+F4373)</f>
        <v>0</v>
      </c>
    </row>
    <row r="4376" spans="1:7" ht="15.75" x14ac:dyDescent="0.25">
      <c r="A4376" s="15">
        <f>'PEDIDO 55'!$B$2</f>
        <v>0</v>
      </c>
      <c r="B4376" s="12" t="s">
        <v>399</v>
      </c>
      <c r="C4376" s="1">
        <f>IFERROR(VLOOKUP(1,'PEDIDO 55'!$C$2:$E$230,3,0),0)</f>
        <v>0</v>
      </c>
      <c r="D4376" s="1">
        <f>IFERROR(VLOOKUP(2,'PEDIDO 55'!$C$2:$E$230,3,0),0)</f>
        <v>0</v>
      </c>
      <c r="E4376" s="1">
        <f>IFERROR(VLOOKUP(3,'PEDIDO 55'!$C$2:$E$230,3,0),0)</f>
        <v>0</v>
      </c>
      <c r="F4376" s="1">
        <f>IFERROR(VLOOKUP(282,'PEDIDO 55'!$C$2:$E$230,3,0),0)</f>
        <v>0</v>
      </c>
      <c r="G4376" s="18">
        <f t="shared" ref="G4376:G4439" si="139">SUM(C4376+D4376+E4376+F4376)</f>
        <v>0</v>
      </c>
    </row>
    <row r="4377" spans="1:7" ht="15.75" x14ac:dyDescent="0.25">
      <c r="A4377" s="15">
        <f>'PEDIDO 55'!$B$2</f>
        <v>0</v>
      </c>
      <c r="B4377" s="12" t="s">
        <v>400</v>
      </c>
      <c r="C4377" s="1">
        <f>IFERROR(VLOOKUP(5,'PEDIDO 55'!$C$2:$E$230,3,0),0)</f>
        <v>0</v>
      </c>
      <c r="D4377" s="1">
        <f>IFERROR(VLOOKUP(6,'PEDIDO 55'!$C$2:$E$230,3,0),0)</f>
        <v>0</v>
      </c>
      <c r="E4377" s="1">
        <f>IFERROR(VLOOKUP(7,'PEDIDO 55'!$C$2:$E$230,3,0),0)</f>
        <v>0</v>
      </c>
      <c r="F4377" s="1">
        <f>IFERROR(VLOOKUP(258,'PEDIDO 55'!$C$2:$E$230,3,0),0)</f>
        <v>0</v>
      </c>
      <c r="G4377" s="18">
        <f t="shared" si="139"/>
        <v>0</v>
      </c>
    </row>
    <row r="4378" spans="1:7" ht="15.75" x14ac:dyDescent="0.25">
      <c r="A4378" s="15">
        <f>'PEDIDO 55'!$B$2</f>
        <v>0</v>
      </c>
      <c r="B4378" s="12" t="s">
        <v>401</v>
      </c>
      <c r="C4378" s="1">
        <f>IFERROR(VLOOKUP(13,'PEDIDO 55'!$C$2:$E$230,3,0),0)</f>
        <v>0</v>
      </c>
      <c r="D4378" s="1">
        <f>IFERROR(VLOOKUP(14,'PEDIDO 55'!$C$2:$E$230,3,0),0)</f>
        <v>0</v>
      </c>
      <c r="E4378" s="1">
        <f>IFERROR(VLOOKUP(15,'PEDIDO 55'!$C$2:$E$230,3,0),0)</f>
        <v>0</v>
      </c>
      <c r="F4378" s="1">
        <f>IFERROR(VLOOKUP(289,'PEDIDO 55'!$C$2:$E$230,3,0),0)</f>
        <v>0</v>
      </c>
      <c r="G4378" s="18">
        <f t="shared" si="139"/>
        <v>0</v>
      </c>
    </row>
    <row r="4379" spans="1:7" ht="15.75" x14ac:dyDescent="0.25">
      <c r="A4379" s="15">
        <f>'PEDIDO 55'!$B$2</f>
        <v>0</v>
      </c>
      <c r="B4379" s="12" t="s">
        <v>402</v>
      </c>
      <c r="C4379" s="1">
        <f>IFERROR(VLOOKUP(267,'PEDIDO 55'!$C$2:$E$230,3,0),0)</f>
        <v>0</v>
      </c>
      <c r="D4379" s="1">
        <f>IFERROR(VLOOKUP(268,'PEDIDO 55'!$C$2:$E$230,3,0),0)</f>
        <v>0</v>
      </c>
      <c r="E4379" s="1">
        <f>IFERROR(VLOOKUP(270,'PEDIDO 55'!$C$2:$E$230,3,0),0)</f>
        <v>0</v>
      </c>
      <c r="F4379" s="1">
        <f>IFERROR(VLOOKUP(269,'PEDIDO 55'!$C$2:$E$230,3,0),0)</f>
        <v>0</v>
      </c>
      <c r="G4379" s="18">
        <f t="shared" si="139"/>
        <v>0</v>
      </c>
    </row>
    <row r="4380" spans="1:7" ht="15.75" x14ac:dyDescent="0.25">
      <c r="A4380" s="15">
        <f>'PEDIDO 55'!$B$2</f>
        <v>0</v>
      </c>
      <c r="B4380" s="12" t="s">
        <v>403</v>
      </c>
      <c r="C4380" s="1">
        <f>IFERROR(VLOOKUP(17,'PEDIDO 55'!$C$2:$E$230,3,0),0)</f>
        <v>0</v>
      </c>
      <c r="D4380" s="1">
        <f>IFERROR(VLOOKUP(18,'PEDIDO 55'!$C$2:$E$230,3,0),0)</f>
        <v>0</v>
      </c>
      <c r="E4380" s="1">
        <f>IFERROR(VLOOKUP(19,'PEDIDO 55'!$C$2:$E$230,3,0),0)</f>
        <v>0</v>
      </c>
      <c r="F4380" s="1">
        <f>IFERROR(VLOOKUP(290,'PEDIDO 55'!$C$2:$E$230,3,0),0)</f>
        <v>0</v>
      </c>
      <c r="G4380" s="18">
        <f t="shared" si="139"/>
        <v>0</v>
      </c>
    </row>
    <row r="4381" spans="1:7" ht="15.75" x14ac:dyDescent="0.25">
      <c r="A4381" s="15">
        <f>'PEDIDO 55'!$B$2</f>
        <v>0</v>
      </c>
      <c r="B4381" s="12" t="s">
        <v>404</v>
      </c>
      <c r="C4381" s="1">
        <f>IFERROR(VLOOKUP(23,'PEDIDO 55'!$C$2:$E$230,3,0),0)</f>
        <v>0</v>
      </c>
      <c r="D4381" s="1">
        <f>IFERROR(VLOOKUP(24,'PEDIDO 55'!$C$2:$E$230,3,0),0)</f>
        <v>0</v>
      </c>
      <c r="E4381" s="1">
        <f>IFERROR(VLOOKUP(25,'PEDIDO 55'!$C$2:$E$230,3,0),0)</f>
        <v>0</v>
      </c>
      <c r="F4381" s="1">
        <f>IFERROR(VLOOKUP(291,'PEDIDO 55'!$C$2:$E$230,3,0),0)</f>
        <v>0</v>
      </c>
      <c r="G4381" s="18">
        <f t="shared" si="139"/>
        <v>0</v>
      </c>
    </row>
    <row r="4382" spans="1:7" ht="15.75" x14ac:dyDescent="0.25">
      <c r="A4382" s="15">
        <f>'PEDIDO 55'!$B$2</f>
        <v>0</v>
      </c>
      <c r="B4382" s="12" t="s">
        <v>405</v>
      </c>
      <c r="C4382" s="1">
        <f>IFERROR(VLOOKUP(27,'PEDIDO 55'!$C$2:$E$230,3,0),0)</f>
        <v>0</v>
      </c>
      <c r="D4382" s="1">
        <f>IFERROR(VLOOKUP(28,'PEDIDO 55'!$C$2:$E$230,3,0),0)</f>
        <v>0</v>
      </c>
      <c r="E4382" s="1">
        <f>IFERROR(VLOOKUP(29,'PEDIDO 55'!$C$2:$E$230,3,0),0)</f>
        <v>0</v>
      </c>
      <c r="F4382" s="1">
        <f>IFERROR(VLOOKUP(292,'PEDIDO 55'!$C$2:$E$230,3,0),0)</f>
        <v>0</v>
      </c>
      <c r="G4382" s="18">
        <f t="shared" si="139"/>
        <v>0</v>
      </c>
    </row>
    <row r="4383" spans="1:7" ht="15.75" x14ac:dyDescent="0.25">
      <c r="A4383" s="15">
        <f>'PEDIDO 55'!$B$2</f>
        <v>0</v>
      </c>
      <c r="B4383" s="12" t="s">
        <v>406</v>
      </c>
      <c r="C4383" s="1">
        <f>IFERROR(VLOOKUP(227,'PEDIDO 55'!$C$2:$E$230,3,0),0)</f>
        <v>0</v>
      </c>
      <c r="D4383" s="1">
        <f>IFERROR(VLOOKUP(228,'PEDIDO 55'!$C$2:$E$230,3,0),0)</f>
        <v>0</v>
      </c>
      <c r="E4383" s="1">
        <f>IFERROR(VLOOKUP(229,'PEDIDO 55'!$C$2:$E$230,3,0),0)</f>
        <v>0</v>
      </c>
      <c r="F4383" s="1">
        <f>IFERROR(VLOOKUP(230,'PEDIDO 55'!$C$2:$E$230,3,0),0)</f>
        <v>0</v>
      </c>
      <c r="G4383" s="18">
        <f t="shared" si="139"/>
        <v>0</v>
      </c>
    </row>
    <row r="4384" spans="1:7" ht="15.75" x14ac:dyDescent="0.25">
      <c r="A4384" s="15">
        <f>'PEDIDO 55'!$B$2</f>
        <v>0</v>
      </c>
      <c r="B4384" s="12" t="s">
        <v>407</v>
      </c>
      <c r="C4384" s="1">
        <f>IFERROR(VLOOKUP(231,'PEDIDO 55'!$C$2:$E$230,3,0),0)</f>
        <v>0</v>
      </c>
      <c r="D4384" s="1">
        <f>IFERROR(VLOOKUP(232,'PEDIDO 55'!$C$2:$E$230,3,0),0)</f>
        <v>0</v>
      </c>
      <c r="E4384" s="1">
        <f>IFERROR(VLOOKUP(234,'PEDIDO 55'!$C$2:$E$230,3,0),0)</f>
        <v>0</v>
      </c>
      <c r="F4384" s="1">
        <f>IFERROR(VLOOKUP(233,'PEDIDO 55'!$C$2:$E$230,3,0),0)</f>
        <v>0</v>
      </c>
      <c r="G4384" s="18">
        <f t="shared" si="139"/>
        <v>0</v>
      </c>
    </row>
    <row r="4385" spans="1:7" ht="15.75" x14ac:dyDescent="0.25">
      <c r="A4385" s="15">
        <f>'PEDIDO 55'!$B$2</f>
        <v>0</v>
      </c>
      <c r="B4385" s="12" t="s">
        <v>408</v>
      </c>
      <c r="C4385" s="1">
        <f>IFERROR(VLOOKUP(237,'PEDIDO 55'!$C$2:$E$230,3,0),0)</f>
        <v>0</v>
      </c>
      <c r="D4385" s="1">
        <f>IFERROR(VLOOKUP(238,'PEDIDO 55'!$C$2:$E$230,3,0),0)</f>
        <v>0</v>
      </c>
      <c r="E4385" s="1">
        <f>IFERROR(VLOOKUP(240,'PEDIDO 55'!$C$2:$E$230,3,0),0)</f>
        <v>0</v>
      </c>
      <c r="F4385" s="1">
        <f>IFERROR(VLOOKUP(239,'PEDIDO 55'!$C$2:$E$230,3,0),0)</f>
        <v>0</v>
      </c>
      <c r="G4385" s="18">
        <f t="shared" si="139"/>
        <v>0</v>
      </c>
    </row>
    <row r="4386" spans="1:7" ht="15.75" x14ac:dyDescent="0.25">
      <c r="A4386" s="15">
        <f>'PEDIDO 55'!$B$2</f>
        <v>0</v>
      </c>
      <c r="B4386" s="12" t="s">
        <v>409</v>
      </c>
      <c r="C4386" s="1">
        <f>IFERROR(VLOOKUP(25707,'PEDIDO 55'!$C$2:$E$230,3,0),0)</f>
        <v>0</v>
      </c>
      <c r="D4386" s="1">
        <f>IFERROR(VLOOKUP(25708,'PEDIDO 55'!$C$2:$E$230,3,0),0)</f>
        <v>0</v>
      </c>
      <c r="E4386" s="1">
        <f>IFERROR(VLOOKUP(25710,'PEDIDO 55'!$C$2:$E$230,3,0),0)</f>
        <v>0</v>
      </c>
      <c r="F4386" s="1">
        <f>IFERROR(VLOOKUP(25709,'PEDIDO 55'!$C$2:$E$230,3,0),0)</f>
        <v>0</v>
      </c>
      <c r="G4386" s="18">
        <f t="shared" si="139"/>
        <v>0</v>
      </c>
    </row>
    <row r="4387" spans="1:7" ht="15.75" x14ac:dyDescent="0.25">
      <c r="A4387" s="15">
        <f>'PEDIDO 55'!$B$2</f>
        <v>0</v>
      </c>
      <c r="B4387" s="12" t="s">
        <v>410</v>
      </c>
      <c r="C4387" s="1">
        <f>IFERROR(VLOOKUP(25711,'PEDIDO 55'!$C$2:$E$230,3,0),0)</f>
        <v>0</v>
      </c>
      <c r="D4387" s="1"/>
      <c r="E4387" s="1"/>
      <c r="F4387" s="1"/>
      <c r="G4387" s="18">
        <f t="shared" si="139"/>
        <v>0</v>
      </c>
    </row>
    <row r="4388" spans="1:7" ht="15.75" x14ac:dyDescent="0.25">
      <c r="A4388" s="15">
        <f>'PEDIDO 55'!$B$2</f>
        <v>0</v>
      </c>
      <c r="B4388" s="12" t="s">
        <v>411</v>
      </c>
      <c r="C4388" s="1">
        <f>IFERROR(VLOOKUP(35,'PEDIDO 55'!$C$2:$E$230,3,0),0)</f>
        <v>0</v>
      </c>
      <c r="D4388" s="1">
        <f>IFERROR(VLOOKUP(36,'PEDIDO 55'!$C$2:$E$230,3,0),0)</f>
        <v>0</v>
      </c>
      <c r="E4388" s="1">
        <f>IFERROR(VLOOKUP(37,'PEDIDO 55'!$C$2:$E$230,3,0),0)</f>
        <v>0</v>
      </c>
      <c r="F4388" s="1">
        <f>IFERROR(VLOOKUP(294,'PEDIDO 55'!$C$2:$E$230,3,0),0)</f>
        <v>0</v>
      </c>
      <c r="G4388" s="18">
        <f t="shared" si="139"/>
        <v>0</v>
      </c>
    </row>
    <row r="4389" spans="1:7" ht="15.75" x14ac:dyDescent="0.25">
      <c r="A4389" s="15">
        <f>'PEDIDO 55'!$B$2</f>
        <v>0</v>
      </c>
      <c r="B4389" s="12" t="s">
        <v>412</v>
      </c>
      <c r="C4389" s="1">
        <f>IFERROR(VLOOKUP(39,'PEDIDO 55'!$C$2:$E$230,3,0),0)</f>
        <v>0</v>
      </c>
      <c r="D4389" s="1">
        <f>IFERROR(VLOOKUP(40,'PEDIDO 55'!$C$2:$E$230,3,0),0)</f>
        <v>0</v>
      </c>
      <c r="E4389" s="1">
        <f>IFERROR(VLOOKUP(42,'PEDIDO 55'!$C$2:$E$230,3,0),0)</f>
        <v>0</v>
      </c>
      <c r="F4389" s="1">
        <f>IFERROR(VLOOKUP(295,'PEDIDO 55'!$C$2:$E$230,3,0),0)</f>
        <v>0</v>
      </c>
      <c r="G4389" s="18">
        <f t="shared" si="139"/>
        <v>0</v>
      </c>
    </row>
    <row r="4390" spans="1:7" ht="15.75" x14ac:dyDescent="0.25">
      <c r="A4390" s="15">
        <f>'PEDIDO 55'!$B$2</f>
        <v>0</v>
      </c>
      <c r="B4390" s="12" t="s">
        <v>413</v>
      </c>
      <c r="C4390" s="1">
        <f>IFERROR(VLOOKUP(44,'PEDIDO 55'!$C$2:$E$230,3,0),0)</f>
        <v>0</v>
      </c>
      <c r="D4390" s="1">
        <f>IFERROR(VLOOKUP(45,'PEDIDO 55'!$C$2:$E$230,3,0),0)</f>
        <v>0</v>
      </c>
      <c r="E4390" s="1">
        <f>IFERROR(VLOOKUP(46,'PEDIDO 55'!$C$2:$E$230,3,0),0)</f>
        <v>0</v>
      </c>
      <c r="F4390" s="1">
        <f>IFERROR(VLOOKUP(283,'PEDIDO 55'!$C$2:$E$230,3,0),0)</f>
        <v>0</v>
      </c>
      <c r="G4390" s="18">
        <f t="shared" si="139"/>
        <v>0</v>
      </c>
    </row>
    <row r="4391" spans="1:7" ht="15.75" x14ac:dyDescent="0.25">
      <c r="A4391" s="15">
        <f>'PEDIDO 55'!$B$2</f>
        <v>0</v>
      </c>
      <c r="B4391" s="12" t="s">
        <v>414</v>
      </c>
      <c r="C4391" s="1">
        <f>IFERROR(VLOOKUP(48,'PEDIDO 55'!$C$2:$E$230,3,0),0)</f>
        <v>0</v>
      </c>
      <c r="D4391" s="1">
        <f>IFERROR(VLOOKUP(49,'PEDIDO 55'!$C$2:$E$230,3,0),0)</f>
        <v>0</v>
      </c>
      <c r="E4391" s="1">
        <f>IFERROR(VLOOKUP(50,'PEDIDO 55'!$C$2:$E$230,3,0),0)</f>
        <v>0</v>
      </c>
      <c r="F4391" s="1">
        <f>IFERROR(VLOOKUP(298,'PEDIDO 55'!$C$2:$E$230,3,0),0)</f>
        <v>0</v>
      </c>
      <c r="G4391" s="18">
        <f t="shared" si="139"/>
        <v>0</v>
      </c>
    </row>
    <row r="4392" spans="1:7" ht="15.75" x14ac:dyDescent="0.25">
      <c r="A4392" s="15">
        <f>'PEDIDO 55'!$B$2</f>
        <v>0</v>
      </c>
      <c r="B4392" s="12" t="s">
        <v>415</v>
      </c>
      <c r="C4392" s="1">
        <f>IFERROR(VLOOKUP(52,'PEDIDO 55'!$C$2:$E$230,3,0),0)</f>
        <v>0</v>
      </c>
      <c r="D4392" s="1">
        <f>IFERROR(VLOOKUP(53,'PEDIDO 55'!$C$2:$E$230,3,0),0)</f>
        <v>0</v>
      </c>
      <c r="E4392" s="1">
        <f>IFERROR(VLOOKUP(54,'PEDIDO 55'!$C$2:$E$230,3,0),0)</f>
        <v>0</v>
      </c>
      <c r="F4392" s="1">
        <f>IFERROR(VLOOKUP(299,'PEDIDO 55'!$C$2:$E$230,3,0),0)</f>
        <v>0</v>
      </c>
      <c r="G4392" s="18">
        <f t="shared" si="139"/>
        <v>0</v>
      </c>
    </row>
    <row r="4393" spans="1:7" ht="15.75" x14ac:dyDescent="0.25">
      <c r="A4393" s="15">
        <f>'PEDIDO 55'!$B$2</f>
        <v>0</v>
      </c>
      <c r="B4393" s="12" t="s">
        <v>416</v>
      </c>
      <c r="C4393" s="1">
        <f>IFERROR(VLOOKUP(56,'PEDIDO 55'!$C$2:$E$230,3,0),0)</f>
        <v>0</v>
      </c>
      <c r="D4393" s="1">
        <f>IFERROR(VLOOKUP(61,'PEDIDO 55'!$C$2:$E$230,3,0),0)</f>
        <v>0</v>
      </c>
      <c r="E4393" s="1">
        <f>IFERROR(VLOOKUP(58,'PEDIDO 55'!$C$2:$E$230,3,0),0)</f>
        <v>0</v>
      </c>
      <c r="F4393" s="1">
        <f>IFERROR(VLOOKUP(300,'PEDIDO 55'!$C$2:$E$230,3,0),0)</f>
        <v>0</v>
      </c>
      <c r="G4393" s="18">
        <f t="shared" si="139"/>
        <v>0</v>
      </c>
    </row>
    <row r="4394" spans="1:7" ht="15.75" x14ac:dyDescent="0.25">
      <c r="A4394" s="15">
        <f>'PEDIDO 55'!$B$2</f>
        <v>0</v>
      </c>
      <c r="B4394" s="12" t="s">
        <v>417</v>
      </c>
      <c r="C4394" s="1">
        <f>IFERROR(VLOOKUP(60,'PEDIDO 55'!$C$2:$E$230,3,0),0)</f>
        <v>0</v>
      </c>
      <c r="D4394" s="1">
        <f>IFERROR(VLOOKUP(120,'PEDIDO 55'!$C$2:$E$230,3,0),0)</f>
        <v>0</v>
      </c>
      <c r="E4394" s="1">
        <f>IFERROR(VLOOKUP(62,'PEDIDO 55'!$C$2:$E$230,3,0),0)</f>
        <v>0</v>
      </c>
      <c r="F4394" s="1">
        <f>IFERROR(VLOOKUP(301,'PEDIDO 55'!$C$2:$E$230,3,0),0)</f>
        <v>0</v>
      </c>
      <c r="G4394" s="18">
        <f t="shared" si="139"/>
        <v>0</v>
      </c>
    </row>
    <row r="4395" spans="1:7" ht="15.75" x14ac:dyDescent="0.25">
      <c r="A4395" s="15">
        <f>'PEDIDO 55'!$B$2</f>
        <v>0</v>
      </c>
      <c r="B4395" s="12" t="s">
        <v>426</v>
      </c>
      <c r="C4395" s="1">
        <f>IFERROR(VLOOKUP(112,'PEDIDO 55'!$C$2:$E$230,3,0),0)</f>
        <v>0</v>
      </c>
      <c r="D4395" s="1">
        <f>IFERROR(VLOOKUP(113,'PEDIDO 55'!$C$2:$E$230,3,0),0)</f>
        <v>0</v>
      </c>
      <c r="E4395" s="1">
        <f>IFERROR(VLOOKUP(114,'PEDIDO 55'!$C$2:$E$230,3,0),0)</f>
        <v>0</v>
      </c>
      <c r="F4395" s="1">
        <f>IFERROR(VLOOKUP(296,'PEDIDO 55'!$C$2:$E$230,3,0),0)</f>
        <v>0</v>
      </c>
      <c r="G4395" s="18">
        <f t="shared" si="139"/>
        <v>0</v>
      </c>
    </row>
    <row r="4396" spans="1:7" ht="15.75" x14ac:dyDescent="0.25">
      <c r="A4396" s="15">
        <f>'PEDIDO 55'!$B$2</f>
        <v>0</v>
      </c>
      <c r="B4396" s="12" t="s">
        <v>427</v>
      </c>
      <c r="C4396" s="1">
        <f>IFERROR(VLOOKUP(116,'PEDIDO 55'!$C$2:$E$230,3,0),0)</f>
        <v>0</v>
      </c>
      <c r="D4396" s="1">
        <f>IFERROR(VLOOKUP(117,'PEDIDO 55'!$C$2:$E$230,3,0),0)</f>
        <v>0</v>
      </c>
      <c r="E4396" s="1">
        <f>IFERROR(VLOOKUP(118,'PEDIDO 55'!$C$2:$E$230,3,0),0)</f>
        <v>0</v>
      </c>
      <c r="F4396" s="1">
        <f>IFERROR(VLOOKUP(293,'PEDIDO 55'!$C$2:$E$230,3,0),0)</f>
        <v>0</v>
      </c>
      <c r="G4396" s="18">
        <f t="shared" si="139"/>
        <v>0</v>
      </c>
    </row>
    <row r="4397" spans="1:7" ht="15.75" x14ac:dyDescent="0.25">
      <c r="A4397" s="15">
        <f>'PEDIDO 55'!$B$2</f>
        <v>0</v>
      </c>
      <c r="B4397" s="12" t="s">
        <v>418</v>
      </c>
      <c r="C4397" s="1">
        <f>IFERROR(VLOOKUP(963,'PEDIDO 55'!$C$2:$E$230,3,0),0)</f>
        <v>0</v>
      </c>
      <c r="D4397" s="1">
        <f>IFERROR(VLOOKUP(965,'PEDIDO 55'!$C$2:$E$230,3,0),0)</f>
        <v>0</v>
      </c>
      <c r="E4397" s="1">
        <f>IFERROR(VLOOKUP(966,'PEDIDO 55'!$C$2:$E$230,3,0),0)</f>
        <v>0</v>
      </c>
      <c r="F4397" s="1">
        <f>IFERROR(VLOOKUP(964,'PEDIDO 55'!$C$2:$E$230,3,0),0)</f>
        <v>0</v>
      </c>
      <c r="G4397" s="18">
        <f t="shared" si="139"/>
        <v>0</v>
      </c>
    </row>
    <row r="4398" spans="1:7" ht="15.75" x14ac:dyDescent="0.25">
      <c r="A4398" s="15">
        <f>'PEDIDO 55'!$B$2</f>
        <v>0</v>
      </c>
      <c r="B4398" s="12" t="s">
        <v>419</v>
      </c>
      <c r="C4398" s="1">
        <f>IFERROR(VLOOKUP(2042,'PEDIDO 55'!$C$2:$E$230,3,0),0)</f>
        <v>0</v>
      </c>
      <c r="D4398" s="1">
        <f>IFERROR(VLOOKUP(2041,'PEDIDO 55'!$C$2:$E$230,3,0),0)</f>
        <v>0</v>
      </c>
      <c r="E4398" s="1">
        <f>IFERROR(VLOOKUP(2043,'PEDIDO 55'!$C$2:$E$230,3,0),0)</f>
        <v>0</v>
      </c>
      <c r="F4398" s="1">
        <f>IFERROR(VLOOKUP(2040,'PEDIDO 55'!$C$2:$E$230,3,0),0)</f>
        <v>0</v>
      </c>
      <c r="G4398" s="18">
        <f t="shared" si="139"/>
        <v>0</v>
      </c>
    </row>
    <row r="4399" spans="1:7" ht="15.75" x14ac:dyDescent="0.25">
      <c r="A4399" s="15">
        <f>'PEDIDO 55'!$B$2</f>
        <v>0</v>
      </c>
      <c r="B4399" s="12" t="s">
        <v>420</v>
      </c>
      <c r="C4399" s="1">
        <f>IFERROR(VLOOKUP(2045,'PEDIDO 55'!$C$2:$E$230,3,0),0)</f>
        <v>0</v>
      </c>
      <c r="D4399" s="1">
        <f>IFERROR(VLOOKUP(2046,'PEDIDO 55'!$C$2:$E$230,3,0),0)</f>
        <v>0</v>
      </c>
      <c r="E4399" s="1">
        <f>IFERROR(VLOOKUP(2047,'PEDIDO 55'!$C$2:$E$230,3,0),0)</f>
        <v>0</v>
      </c>
      <c r="F4399" s="1">
        <f>IFERROR(VLOOKUP(2048,'PEDIDO 55'!$C$2:$E$230,3,0),0)</f>
        <v>0</v>
      </c>
      <c r="G4399" s="18">
        <f t="shared" si="139"/>
        <v>0</v>
      </c>
    </row>
    <row r="4400" spans="1:7" ht="15.75" x14ac:dyDescent="0.25">
      <c r="A4400" s="15">
        <f>'PEDIDO 55'!$B$2</f>
        <v>0</v>
      </c>
      <c r="B4400" s="12" t="s">
        <v>421</v>
      </c>
      <c r="C4400" s="1">
        <f>IFERROR(VLOOKUP(2050,'PEDIDO 55'!$C$2:$E$230,3,0),0)</f>
        <v>0</v>
      </c>
      <c r="D4400" s="1">
        <f>IFERROR(VLOOKUP(2051,'PEDIDO 55'!$C$2:$E$230,3,0),0)</f>
        <v>0</v>
      </c>
      <c r="E4400" s="1">
        <f>IFERROR(VLOOKUP(2052,'PEDIDO 55'!$C$2:$E$230,3,0),0)</f>
        <v>0</v>
      </c>
      <c r="F4400" s="1">
        <f>IFERROR(VLOOKUP(2053,'PEDIDO 55'!$C$2:$E$230,3,0),0)</f>
        <v>0</v>
      </c>
      <c r="G4400" s="18">
        <f t="shared" si="139"/>
        <v>0</v>
      </c>
    </row>
    <row r="4401" spans="1:7" ht="15.75" x14ac:dyDescent="0.25">
      <c r="A4401" s="15">
        <f>'PEDIDO 55'!$B$2</f>
        <v>0</v>
      </c>
      <c r="B4401" s="12" t="s">
        <v>422</v>
      </c>
      <c r="C4401" s="1">
        <f>IFERROR(VLOOKUP(216,'PEDIDO 55'!$C$2:$E$230,3,0),0)</f>
        <v>0</v>
      </c>
      <c r="D4401" s="1">
        <f>IFERROR(VLOOKUP(217,'PEDIDO 55'!$C$2:$E$230,3,0),0)</f>
        <v>0</v>
      </c>
      <c r="E4401" s="1">
        <f>IFERROR(VLOOKUP(218,'PEDIDO 55'!$C$2:$E$230,3,0),0)</f>
        <v>0</v>
      </c>
      <c r="F4401" s="1">
        <f>IFERROR(VLOOKUP(305,'PEDIDO 55'!$C$2:$E$230,3,0),0)</f>
        <v>0</v>
      </c>
      <c r="G4401" s="18">
        <f t="shared" si="139"/>
        <v>0</v>
      </c>
    </row>
    <row r="4402" spans="1:7" ht="15.75" x14ac:dyDescent="0.25">
      <c r="A4402" s="15">
        <f>'PEDIDO 55'!$B$2</f>
        <v>0</v>
      </c>
      <c r="B4402" s="12" t="s">
        <v>423</v>
      </c>
      <c r="C4402" s="1">
        <f>IFERROR(VLOOKUP(100,'PEDIDO 55'!$C$2:$E$230,3,0),0)</f>
        <v>0</v>
      </c>
      <c r="D4402" s="1">
        <f>IFERROR(VLOOKUP(101,'PEDIDO 55'!$C$2:$E$230,3,0),0)</f>
        <v>0</v>
      </c>
      <c r="E4402" s="1">
        <f>IFERROR(VLOOKUP(102,'PEDIDO 55'!$C$2:$E$230,3,0),0)</f>
        <v>0</v>
      </c>
      <c r="F4402" s="1">
        <f>IFERROR(VLOOKUP(306,'PEDIDO 55'!$C$2:$E$230,3,0),0)</f>
        <v>0</v>
      </c>
      <c r="G4402" s="18">
        <f t="shared" si="139"/>
        <v>0</v>
      </c>
    </row>
    <row r="4403" spans="1:7" ht="15.75" x14ac:dyDescent="0.25">
      <c r="A4403" s="15">
        <f>'PEDIDO 55'!$B$2</f>
        <v>0</v>
      </c>
      <c r="B4403" s="12" t="s">
        <v>424</v>
      </c>
      <c r="C4403" s="1">
        <f>IFERROR(VLOOKUP(104,'PEDIDO 55'!$C$2:$E$230,3,0),0)</f>
        <v>0</v>
      </c>
      <c r="D4403" s="1">
        <f>IFERROR(VLOOKUP(105,'PEDIDO 55'!$C$2:$E$230,3,0),0)</f>
        <v>0</v>
      </c>
      <c r="E4403" s="1">
        <f>IFERROR(VLOOKUP(106,'PEDIDO 55'!$C$2:$E$230,3,0),0)</f>
        <v>0</v>
      </c>
      <c r="F4403" s="1">
        <f>IFERROR(VLOOKUP(307,'PEDIDO 55'!$C$2:$E$230,3,0),0)</f>
        <v>0</v>
      </c>
      <c r="G4403" s="18">
        <f t="shared" si="139"/>
        <v>0</v>
      </c>
    </row>
    <row r="4404" spans="1:7" ht="15.75" x14ac:dyDescent="0.25">
      <c r="A4404" s="15">
        <f>'PEDIDO 55'!$B$2</f>
        <v>0</v>
      </c>
      <c r="B4404" s="12" t="s">
        <v>425</v>
      </c>
      <c r="C4404" s="1">
        <f>IFERROR(VLOOKUP(400,'PEDIDO 55'!$C$2:$E$230,3,0),0)</f>
        <v>0</v>
      </c>
      <c r="D4404" s="1">
        <f>IFERROR(VLOOKUP(401,'PEDIDO 55'!$C$2:$E$230,3,0),0)</f>
        <v>0</v>
      </c>
      <c r="E4404" s="1">
        <f>IFERROR(VLOOKUP(402,'PEDIDO 55'!$C$2:$E$230,3,0),0)</f>
        <v>0</v>
      </c>
      <c r="F4404" s="1">
        <f>IFERROR(VLOOKUP(403,'PEDIDO 55'!$C$2:$E$230,3,0),0)</f>
        <v>0</v>
      </c>
      <c r="G4404" s="18">
        <f t="shared" si="139"/>
        <v>0</v>
      </c>
    </row>
    <row r="4405" spans="1:7" ht="15.75" x14ac:dyDescent="0.25">
      <c r="A4405" s="15">
        <f>'PEDIDO 55'!$B$2</f>
        <v>0</v>
      </c>
      <c r="B4405" s="12" t="s">
        <v>428</v>
      </c>
      <c r="C4405" s="1">
        <f>IFERROR(VLOOKUP(22,'PEDIDO 55'!$C$2:$E$230,3,0),0)</f>
        <v>0</v>
      </c>
      <c r="D4405" s="1"/>
      <c r="E4405" s="1"/>
      <c r="F4405" s="1"/>
      <c r="G4405" s="18">
        <f t="shared" si="139"/>
        <v>0</v>
      </c>
    </row>
    <row r="4406" spans="1:7" ht="15.75" x14ac:dyDescent="0.25">
      <c r="A4406" s="15">
        <f>'PEDIDO 55'!$B$2</f>
        <v>0</v>
      </c>
      <c r="B4406" s="12" t="s">
        <v>429</v>
      </c>
      <c r="C4406" s="1">
        <f>IFERROR(VLOOKUP(21,'PEDIDO 55'!$C$2:$E$230,3,0),0)</f>
        <v>0</v>
      </c>
      <c r="D4406" s="1"/>
      <c r="E4406" s="1"/>
      <c r="F4406" s="1"/>
      <c r="G4406" s="18">
        <f t="shared" si="139"/>
        <v>0</v>
      </c>
    </row>
    <row r="4407" spans="1:7" ht="15.75" x14ac:dyDescent="0.25">
      <c r="A4407" s="15">
        <f>'PEDIDO 55'!$B$2</f>
        <v>0</v>
      </c>
      <c r="B4407" s="12" t="s">
        <v>430</v>
      </c>
      <c r="C4407" s="1">
        <f>IFERROR(VLOOKUP(1125,'PEDIDO 55'!$C$2:$E$230,3,0),0)</f>
        <v>0</v>
      </c>
      <c r="D4407" s="1">
        <f>IFERROR(VLOOKUP(1126,'PEDIDO 55'!$C$2:$E$230,3,0),0)</f>
        <v>0</v>
      </c>
      <c r="E4407" s="1">
        <f>IFERROR(VLOOKUP(1127,'PEDIDO 55'!$C$2:$E$230,3,0),0)</f>
        <v>0</v>
      </c>
      <c r="F4407" s="1">
        <f>IFERROR(VLOOKUP(1128,'PEDIDO 55'!$C$2:$E$230,3,0),0)</f>
        <v>0</v>
      </c>
      <c r="G4407" s="18">
        <f t="shared" si="139"/>
        <v>0</v>
      </c>
    </row>
    <row r="4408" spans="1:7" ht="15.75" x14ac:dyDescent="0.25">
      <c r="A4408" s="15">
        <f>'PEDIDO 55'!$B$2</f>
        <v>0</v>
      </c>
      <c r="B4408" s="12" t="s">
        <v>431</v>
      </c>
      <c r="C4408" s="1">
        <f>IFERROR(VLOOKUP(1133,'PEDIDO 55'!$C$2:$E$230,3,0),0)</f>
        <v>0</v>
      </c>
      <c r="D4408" s="1">
        <f>IFERROR(VLOOKUP(1134,'PEDIDO 55'!$C$2:$E$230,3,0),0)</f>
        <v>0</v>
      </c>
      <c r="E4408" s="1">
        <f>IFERROR(VLOOKUP(1135,'PEDIDO 55'!$C$2:$E$230,3,0),0)</f>
        <v>0</v>
      </c>
      <c r="F4408" s="1">
        <f>IFERROR(VLOOKUP(1136,'PEDIDO 55'!$C$2:$E$230,3,0),0)</f>
        <v>0</v>
      </c>
      <c r="G4408" s="18">
        <f t="shared" si="139"/>
        <v>0</v>
      </c>
    </row>
    <row r="4409" spans="1:7" ht="15.75" x14ac:dyDescent="0.25">
      <c r="A4409" s="15">
        <f>'PEDIDO 55'!$B$2</f>
        <v>0</v>
      </c>
      <c r="B4409" s="12" t="s">
        <v>432</v>
      </c>
      <c r="C4409" s="1">
        <f>IFERROR(VLOOKUP(1105,'PEDIDO 55'!$C$2:$E$230,3,0),0)</f>
        <v>0</v>
      </c>
      <c r="D4409" s="1">
        <f>IFERROR(VLOOKUP(1106,'PEDIDO 55'!$C$2:$E$230,3,0),0)</f>
        <v>0</v>
      </c>
      <c r="E4409" s="1">
        <f>IFERROR(VLOOKUP(1107,'PEDIDO 55'!$C$2:$E$230,3,0),0)</f>
        <v>0</v>
      </c>
      <c r="F4409" s="1">
        <f>IFERROR(VLOOKUP(1108,'PEDIDO 55'!$C$2:$E$230,3,0),0)</f>
        <v>0</v>
      </c>
      <c r="G4409" s="18">
        <f t="shared" si="139"/>
        <v>0</v>
      </c>
    </row>
    <row r="4410" spans="1:7" ht="15.75" x14ac:dyDescent="0.25">
      <c r="A4410" s="15">
        <f>'PEDIDO 55'!$B$2</f>
        <v>0</v>
      </c>
      <c r="B4410" s="12" t="s">
        <v>433</v>
      </c>
      <c r="C4410" s="1">
        <f>IFERROR(VLOOKUP(1109,'PEDIDO 55'!$C$2:$E$230,3,0),0)</f>
        <v>0</v>
      </c>
      <c r="D4410" s="1">
        <f>IFERROR(VLOOKUP(1110,'PEDIDO 55'!$C$2:$E$230,3,0),0)</f>
        <v>0</v>
      </c>
      <c r="E4410" s="1">
        <f>IFERROR(VLOOKUP(1111,'PEDIDO 55'!$C$2:$E$230,3,0),0)</f>
        <v>0</v>
      </c>
      <c r="F4410" s="1">
        <f>IFERROR(VLOOKUP(1112,'PEDIDO 55'!$C$2:$E$230,3,0),0)</f>
        <v>0</v>
      </c>
      <c r="G4410" s="18">
        <f t="shared" si="139"/>
        <v>0</v>
      </c>
    </row>
    <row r="4411" spans="1:7" ht="15.75" x14ac:dyDescent="0.25">
      <c r="A4411" s="15">
        <f>'PEDIDO 55'!$B$2</f>
        <v>0</v>
      </c>
      <c r="B4411" s="12" t="s">
        <v>434</v>
      </c>
      <c r="C4411" s="1">
        <f>IFERROR(VLOOKUP(1113,'PEDIDO 55'!$C$2:$E$230,3,0),0)</f>
        <v>0</v>
      </c>
      <c r="D4411" s="1">
        <f>IFERROR(VLOOKUP(1114,'PEDIDO 55'!$C$2:$E$230,3,0),0)</f>
        <v>0</v>
      </c>
      <c r="E4411" s="1">
        <f>IFERROR(VLOOKUP(1115,'PEDIDO 55'!$C$2:$E$230,3,0),0)</f>
        <v>0</v>
      </c>
      <c r="F4411" s="1">
        <f>IFERROR(VLOOKUP(1116,'PEDIDO 55'!$C$2:$E$230,3,0),0)</f>
        <v>0</v>
      </c>
      <c r="G4411" s="18">
        <f t="shared" si="139"/>
        <v>0</v>
      </c>
    </row>
    <row r="4412" spans="1:7" ht="15.75" x14ac:dyDescent="0.25">
      <c r="A4412" s="15">
        <f>'PEDIDO 55'!$B$2</f>
        <v>0</v>
      </c>
      <c r="B4412" s="12" t="s">
        <v>435</v>
      </c>
      <c r="C4412" s="1">
        <f>IFERROR(VLOOKUP(1117,'PEDIDO 55'!$C$2:$E$230,3,0),0)</f>
        <v>0</v>
      </c>
      <c r="D4412" s="1">
        <f>IFERROR(VLOOKUP(1118,'PEDIDO 55'!$C$2:$E$230,3,0),0)</f>
        <v>0</v>
      </c>
      <c r="E4412" s="1">
        <f>IFERROR(VLOOKUP(1119,'PEDIDO 55'!$C$2:$E$230,3,0),0)</f>
        <v>0</v>
      </c>
      <c r="F4412" s="1">
        <f>IFERROR(VLOOKUP(1120,'PEDIDO 55'!$C$2:$E$230,3,0),0)</f>
        <v>0</v>
      </c>
      <c r="G4412" s="18">
        <f t="shared" si="139"/>
        <v>0</v>
      </c>
    </row>
    <row r="4413" spans="1:7" ht="15.75" x14ac:dyDescent="0.25">
      <c r="A4413" s="15">
        <f>'PEDIDO 55'!$B$2</f>
        <v>0</v>
      </c>
      <c r="B4413" s="12" t="s">
        <v>436</v>
      </c>
      <c r="C4413" s="1">
        <f>IFERROR(VLOOKUP(1121,'PEDIDO 55'!$C$2:$E$230,3,0),0)</f>
        <v>0</v>
      </c>
      <c r="D4413" s="1">
        <f>IFERROR(VLOOKUP(1122,'PEDIDO 55'!$C$2:$E$230,3,0),0)</f>
        <v>0</v>
      </c>
      <c r="E4413" s="1">
        <f>IFERROR(VLOOKUP(1123,'PEDIDO 55'!$C$2:$E$230,3,0),0)</f>
        <v>0</v>
      </c>
      <c r="F4413" s="1">
        <f>IFERROR(VLOOKUP(1124,'PEDIDO 55'!$C$2:$E$230,3,0),0)</f>
        <v>0</v>
      </c>
      <c r="G4413" s="18">
        <f t="shared" si="139"/>
        <v>0</v>
      </c>
    </row>
    <row r="4414" spans="1:7" ht="15.75" x14ac:dyDescent="0.25">
      <c r="A4414" s="15">
        <f>'PEDIDO 55'!$B$2</f>
        <v>0</v>
      </c>
      <c r="B4414" s="12" t="s">
        <v>437</v>
      </c>
      <c r="C4414" s="1">
        <f>IFERROR(VLOOKUP(1129,'PEDIDO 55'!$C$2:$E$230,3,0),0)</f>
        <v>0</v>
      </c>
      <c r="D4414" s="1">
        <f>IFERROR(VLOOKUP(1130,'PEDIDO 55'!$C$2:$E$230,3,0),0)</f>
        <v>0</v>
      </c>
      <c r="E4414" s="1">
        <f>IFERROR(VLOOKUP(1131,'PEDIDO 55'!$C$2:$E$230,3,0),0)</f>
        <v>0</v>
      </c>
      <c r="F4414" s="1">
        <f>IFERROR(VLOOKUP(1132,'PEDIDO 55'!$C$2:$E$230,3,0),0)</f>
        <v>0</v>
      </c>
      <c r="G4414" s="18">
        <f t="shared" si="139"/>
        <v>0</v>
      </c>
    </row>
    <row r="4415" spans="1:7" ht="15.75" x14ac:dyDescent="0.25">
      <c r="A4415" s="15">
        <f>'PEDIDO 55'!$B$2</f>
        <v>0</v>
      </c>
      <c r="B4415" s="12" t="s">
        <v>438</v>
      </c>
      <c r="C4415" s="1">
        <f>IFERROR(VLOOKUP(1137,'PEDIDO 55'!$C$2:$E$230,3,0),0)</f>
        <v>0</v>
      </c>
      <c r="D4415" s="1">
        <f>IFERROR(VLOOKUP(1138,'PEDIDO 55'!$C$2:$E$230,3,0),0)</f>
        <v>0</v>
      </c>
      <c r="E4415" s="1">
        <f>IFERROR(VLOOKUP(1139,'PEDIDO 55'!$C$2:$E$230,3,0),0)</f>
        <v>0</v>
      </c>
      <c r="F4415" s="1">
        <f>IFERROR(VLOOKUP(1140,'PEDIDO 55'!$C$2:$E$230,3,0),0)</f>
        <v>0</v>
      </c>
      <c r="G4415" s="18">
        <f t="shared" si="139"/>
        <v>0</v>
      </c>
    </row>
    <row r="4416" spans="1:7" ht="15.75" x14ac:dyDescent="0.25">
      <c r="A4416" s="15">
        <f>'PEDIDO 55'!$B$2</f>
        <v>0</v>
      </c>
      <c r="B4416" s="12" t="s">
        <v>439</v>
      </c>
      <c r="C4416" s="1">
        <f>IFERROR(VLOOKUP(1141,'PEDIDO 55'!$C$2:$E$230,3,0),0)</f>
        <v>0</v>
      </c>
      <c r="D4416" s="1">
        <f>IFERROR(VLOOKUP(1142,'PEDIDO 55'!$C$2:$E$230,3,0),0)</f>
        <v>0</v>
      </c>
      <c r="E4416" s="1">
        <f>IFERROR(VLOOKUP(1143,'PEDIDO 55'!$C$2:$E$230,3,0),0)</f>
        <v>0</v>
      </c>
      <c r="F4416" s="1">
        <f>IFERROR(VLOOKUP(1144,'PEDIDO 55'!$C$2:$E$230,3,0),0)</f>
        <v>0</v>
      </c>
      <c r="G4416" s="18">
        <f t="shared" si="139"/>
        <v>0</v>
      </c>
    </row>
    <row r="4417" spans="1:7" ht="15.75" x14ac:dyDescent="0.25">
      <c r="A4417" s="15">
        <f>'PEDIDO 55'!$B$2</f>
        <v>0</v>
      </c>
      <c r="B4417" s="12" t="s">
        <v>440</v>
      </c>
      <c r="C4417" s="1">
        <f>IFERROR(VLOOKUP(1145,'PEDIDO 55'!$C$2:$E$230,3,0),0)</f>
        <v>0</v>
      </c>
      <c r="D4417" s="1">
        <f>IFERROR(VLOOKUP(1146,'PEDIDO 55'!$C$2:$E$230,3,0),0)</f>
        <v>0</v>
      </c>
      <c r="E4417" s="1">
        <f>IFERROR(VLOOKUP(1147,'PEDIDO 55'!$C$2:$E$230,3,0),0)</f>
        <v>0</v>
      </c>
      <c r="F4417" s="1">
        <f>IFERROR(VLOOKUP(1148,'PEDIDO 55'!$C$2:$E$230,3,0),0)</f>
        <v>0</v>
      </c>
      <c r="G4417" s="18">
        <f t="shared" si="139"/>
        <v>0</v>
      </c>
    </row>
    <row r="4418" spans="1:7" ht="15.75" x14ac:dyDescent="0.25">
      <c r="A4418" s="15">
        <f>'PEDIDO 55'!$B$2</f>
        <v>0</v>
      </c>
      <c r="B4418" s="12" t="s">
        <v>441</v>
      </c>
      <c r="C4418" s="1">
        <f>IFERROR(VLOOKUP(1149,'PEDIDO 55'!$C$2:$E$230,3,0),0)</f>
        <v>0</v>
      </c>
      <c r="D4418" s="1">
        <f>IFERROR(VLOOKUP(1150,'PEDIDO 55'!$C$2:$E$230,3,0),0)</f>
        <v>0</v>
      </c>
      <c r="E4418" s="1">
        <f>IFERROR(VLOOKUP(1151,'PEDIDO 55'!$C$2:$E$230,3,0),0)</f>
        <v>0</v>
      </c>
      <c r="F4418" s="1">
        <f>IFERROR(VLOOKUP(1152,'PEDIDO 55'!$C$2:$E$230,3,0),0)</f>
        <v>0</v>
      </c>
      <c r="G4418" s="18">
        <f t="shared" si="139"/>
        <v>0</v>
      </c>
    </row>
    <row r="4419" spans="1:7" ht="15.75" x14ac:dyDescent="0.25">
      <c r="A4419" s="15">
        <f>'PEDIDO 55'!$B$2</f>
        <v>0</v>
      </c>
      <c r="B4419" s="12" t="s">
        <v>442</v>
      </c>
      <c r="C4419" s="1">
        <f>IFERROR(VLOOKUP(1153,'PEDIDO 55'!$C$2:$E$230,3,0),0)</f>
        <v>0</v>
      </c>
      <c r="D4419" s="1">
        <f>IFERROR(VLOOKUP(1154,'PEDIDO 55'!$C$2:$E$230,3,0),0)</f>
        <v>0</v>
      </c>
      <c r="E4419" s="1">
        <f>IFERROR(VLOOKUP(1155,'PEDIDO 55'!$C$2:$E$230,3,0),0)</f>
        <v>0</v>
      </c>
      <c r="F4419" s="1">
        <f>IFERROR(VLOOKUP(1156,'PEDIDO 55'!$C$2:$E$230,3,0),0)</f>
        <v>0</v>
      </c>
      <c r="G4419" s="18">
        <f t="shared" si="139"/>
        <v>0</v>
      </c>
    </row>
    <row r="4420" spans="1:7" ht="15.75" x14ac:dyDescent="0.25">
      <c r="A4420" s="15">
        <f>'PEDIDO 55'!$B$2</f>
        <v>0</v>
      </c>
      <c r="B4420" s="12" t="s">
        <v>443</v>
      </c>
      <c r="C4420" s="1">
        <f>IFERROR(VLOOKUP(1157,'PEDIDO 55'!$C$2:$E$230,3,0),0)</f>
        <v>0</v>
      </c>
      <c r="D4420" s="1">
        <f>IFERROR(VLOOKUP(1158,'PEDIDO 55'!$C$2:$E$230,3,0),0)</f>
        <v>0</v>
      </c>
      <c r="E4420" s="1">
        <f>IFERROR(VLOOKUP(1159,'PEDIDO 55'!$C$2:$E$230,3,0),0)</f>
        <v>0</v>
      </c>
      <c r="F4420" s="1">
        <f>IFERROR(VLOOKUP(1160,'PEDIDO 55'!$C$2:$E$230,3,0),0)</f>
        <v>0</v>
      </c>
      <c r="G4420" s="18">
        <f t="shared" si="139"/>
        <v>0</v>
      </c>
    </row>
    <row r="4421" spans="1:7" ht="15.75" x14ac:dyDescent="0.25">
      <c r="A4421" s="15">
        <f>'PEDIDO 55'!$B$2</f>
        <v>0</v>
      </c>
      <c r="B4421" s="12" t="s">
        <v>444</v>
      </c>
      <c r="C4421" s="1">
        <f>IFERROR(VLOOKUP(1161,'PEDIDO 55'!$C$2:$E$230,3,0),0)</f>
        <v>0</v>
      </c>
      <c r="D4421" s="1">
        <f>IFERROR(VLOOKUP(1162,'PEDIDO 55'!$C$2:$E$230,3,0),0)</f>
        <v>0</v>
      </c>
      <c r="E4421" s="1">
        <f>IFERROR(VLOOKUP(1163,'PEDIDO 55'!$C$2:$E$230,3,0),0)</f>
        <v>0</v>
      </c>
      <c r="F4421" s="1">
        <f>IFERROR(VLOOKUP(1164,'PEDIDO 55'!$C$2:$E$230,3,0),0)</f>
        <v>0</v>
      </c>
      <c r="G4421" s="18">
        <f t="shared" si="139"/>
        <v>0</v>
      </c>
    </row>
    <row r="4422" spans="1:7" ht="15.75" x14ac:dyDescent="0.25">
      <c r="A4422" s="15">
        <f>'PEDIDO 55'!$B$2</f>
        <v>0</v>
      </c>
      <c r="B4422" s="12" t="s">
        <v>445</v>
      </c>
      <c r="C4422" s="1">
        <f>IFERROR(VLOOKUP(1165,'PEDIDO 55'!$C$2:$E$230,3,0),0)</f>
        <v>0</v>
      </c>
      <c r="D4422" s="1">
        <f>IFERROR(VLOOKUP(1166,'PEDIDO 55'!$C$2:$E$230,3,0),0)</f>
        <v>0</v>
      </c>
      <c r="E4422" s="1">
        <f>IFERROR(VLOOKUP(1167,'PEDIDO 55'!$C$2:$E$230,3,0),0)</f>
        <v>0</v>
      </c>
      <c r="F4422" s="1">
        <f>IFERROR(VLOOKUP(1168,'PEDIDO 55'!$C$2:$E$230,3,0),0)</f>
        <v>0</v>
      </c>
      <c r="G4422" s="18">
        <f t="shared" si="139"/>
        <v>0</v>
      </c>
    </row>
    <row r="4423" spans="1:7" ht="15.75" x14ac:dyDescent="0.25">
      <c r="A4423" s="15">
        <f>'PEDIDO 55'!$B$2</f>
        <v>0</v>
      </c>
      <c r="B4423" s="12" t="s">
        <v>446</v>
      </c>
      <c r="C4423" s="1">
        <f>IFERROR(VLOOKUP(1169,'PEDIDO 55'!$C$2:$E$230,3,0),0)</f>
        <v>0</v>
      </c>
      <c r="D4423" s="1">
        <f>IFERROR(VLOOKUP(1170,'PEDIDO 55'!$C$2:$E$230,3,0),0)</f>
        <v>0</v>
      </c>
      <c r="E4423" s="1">
        <f>IFERROR(VLOOKUP(1171,'PEDIDO 55'!$C$2:$E$230,3,0),0)</f>
        <v>0</v>
      </c>
      <c r="F4423" s="1">
        <f>IFERROR(VLOOKUP(1172,'PEDIDO 55'!$C$2:$E$230,3,0),0)</f>
        <v>0</v>
      </c>
      <c r="G4423" s="18">
        <f t="shared" si="139"/>
        <v>0</v>
      </c>
    </row>
    <row r="4424" spans="1:7" ht="15.75" x14ac:dyDescent="0.25">
      <c r="A4424" s="15">
        <f>'PEDIDO 55'!$B$2</f>
        <v>0</v>
      </c>
      <c r="B4424" s="12" t="s">
        <v>447</v>
      </c>
      <c r="C4424" s="1">
        <f>IFERROR(VLOOKUP(1173,'PEDIDO 55'!$C$2:$E$230,3,0),0)</f>
        <v>0</v>
      </c>
      <c r="D4424" s="1">
        <f>IFERROR(VLOOKUP(1174,'PEDIDO 55'!$C$2:$E$230,3,0),0)</f>
        <v>0</v>
      </c>
      <c r="E4424" s="1">
        <f>IFERROR(VLOOKUP(1175,'PEDIDO 55'!$C$2:$E$230,3,0),0)</f>
        <v>0</v>
      </c>
      <c r="F4424" s="1">
        <f>IFERROR(VLOOKUP(1176,'PEDIDO 55'!$C$2:$E$230,3,0),0)</f>
        <v>0</v>
      </c>
      <c r="G4424" s="18">
        <f t="shared" si="139"/>
        <v>0</v>
      </c>
    </row>
    <row r="4425" spans="1:7" ht="15.75" x14ac:dyDescent="0.25">
      <c r="A4425" s="15">
        <f>'PEDIDO 55'!$B$2</f>
        <v>0</v>
      </c>
      <c r="B4425" s="12" t="s">
        <v>448</v>
      </c>
      <c r="C4425" s="1">
        <f>IFERROR(VLOOKUP(1249,'PEDIDO 55'!$C$2:$E$230,3,0),0)</f>
        <v>0</v>
      </c>
      <c r="D4425" s="1">
        <f>IFERROR(VLOOKUP(1250,'PEDIDO 55'!$C$2:$E$230,3,0),0)</f>
        <v>0</v>
      </c>
      <c r="E4425" s="1">
        <f>IFERROR(VLOOKUP(1251,'PEDIDO 55'!$C$2:$E$230,3,0),0)</f>
        <v>0</v>
      </c>
      <c r="F4425" s="1">
        <f>IFERROR(VLOOKUP(1252,'PEDIDO 55'!$C$2:$E$230,3,0),0)</f>
        <v>0</v>
      </c>
      <c r="G4425" s="18">
        <f t="shared" si="139"/>
        <v>0</v>
      </c>
    </row>
    <row r="4426" spans="1:7" ht="15.75" x14ac:dyDescent="0.25">
      <c r="A4426" s="15">
        <f>'PEDIDO 55'!$B$2</f>
        <v>0</v>
      </c>
      <c r="B4426" s="12" t="s">
        <v>449</v>
      </c>
      <c r="C4426" s="1">
        <f>IFERROR(VLOOKUP(1177,'PEDIDO 55'!$C$2:$E$230,3,0),0)</f>
        <v>0</v>
      </c>
      <c r="D4426" s="1">
        <f>IFERROR(VLOOKUP(1178,'PEDIDO 55'!$C$2:$E$230,3,0),0)</f>
        <v>0</v>
      </c>
      <c r="E4426" s="1">
        <f>IFERROR(VLOOKUP(1179,'PEDIDO 55'!$C$2:$E$230,3,0),0)</f>
        <v>0</v>
      </c>
      <c r="F4426" s="1">
        <f>IFERROR(VLOOKUP(1180,'PEDIDO 55'!$C$2:$E$230,3,0),0)</f>
        <v>0</v>
      </c>
      <c r="G4426" s="18">
        <f t="shared" si="139"/>
        <v>0</v>
      </c>
    </row>
    <row r="4427" spans="1:7" ht="15.75" x14ac:dyDescent="0.25">
      <c r="A4427" s="15">
        <f>'PEDIDO 55'!$B$2</f>
        <v>0</v>
      </c>
      <c r="B4427" s="12" t="s">
        <v>450</v>
      </c>
      <c r="C4427" s="1">
        <f>IFERROR(VLOOKUP(1181,'PEDIDO 55'!$C$2:$E$230,3,0),0)</f>
        <v>0</v>
      </c>
      <c r="D4427" s="1">
        <f>IFERROR(VLOOKUP(1182,'PEDIDO 55'!$C$2:$E$230,3,0),0)</f>
        <v>0</v>
      </c>
      <c r="E4427" s="1">
        <f>IFERROR(VLOOKUP(1183,'PEDIDO 55'!$C$2:$E$230,3,0),0)</f>
        <v>0</v>
      </c>
      <c r="F4427" s="1">
        <f>IFERROR(VLOOKUP(1184,'PEDIDO 55'!$C$2:$E$230,3,0),0)</f>
        <v>0</v>
      </c>
      <c r="G4427" s="18">
        <f t="shared" si="139"/>
        <v>0</v>
      </c>
    </row>
    <row r="4428" spans="1:7" ht="15.75" x14ac:dyDescent="0.25">
      <c r="A4428" s="15">
        <f>'PEDIDO 55'!$B$2</f>
        <v>0</v>
      </c>
      <c r="B4428" s="12" t="s">
        <v>451</v>
      </c>
      <c r="C4428" s="1">
        <f>IFERROR(VLOOKUP(1185,'PEDIDO 55'!$C$2:$E$230,3,0),0)</f>
        <v>0</v>
      </c>
      <c r="D4428" s="1">
        <f>IFERROR(VLOOKUP(1186,'PEDIDO 55'!$C$2:$E$230,3,0),0)</f>
        <v>0</v>
      </c>
      <c r="E4428" s="1">
        <f>IFERROR(VLOOKUP(1187,'PEDIDO 55'!$C$2:$E$230,3,0),0)</f>
        <v>0</v>
      </c>
      <c r="F4428" s="1">
        <f>IFERROR(VLOOKUP(1188,'PEDIDO 55'!$C$2:$E$230,3,0),0)</f>
        <v>0</v>
      </c>
      <c r="G4428" s="18">
        <f t="shared" si="139"/>
        <v>0</v>
      </c>
    </row>
    <row r="4429" spans="1:7" ht="15.75" x14ac:dyDescent="0.25">
      <c r="A4429" s="15">
        <f>'PEDIDO 55'!$B$2</f>
        <v>0</v>
      </c>
      <c r="B4429" s="12" t="s">
        <v>452</v>
      </c>
      <c r="C4429" s="1">
        <f>IFERROR(VLOOKUP(1189,'PEDIDO 55'!$C$2:$E$230,3,0),0)</f>
        <v>0</v>
      </c>
      <c r="D4429" s="1">
        <f>IFERROR(VLOOKUP(1190,'PEDIDO 55'!$C$2:$E$230,3,0),0)</f>
        <v>0</v>
      </c>
      <c r="E4429" s="1">
        <f>IFERROR(VLOOKUP(1191,'PEDIDO 55'!$C$2:$E$230,3,0),0)</f>
        <v>0</v>
      </c>
      <c r="F4429" s="1">
        <f>IFERROR(VLOOKUP(1192,'PEDIDO 55'!$C$2:$E$230,3,0),0)</f>
        <v>0</v>
      </c>
      <c r="G4429" s="18">
        <f t="shared" si="139"/>
        <v>0</v>
      </c>
    </row>
    <row r="4430" spans="1:7" ht="15.75" x14ac:dyDescent="0.25">
      <c r="A4430" s="15">
        <f>'PEDIDO 55'!$B$2</f>
        <v>0</v>
      </c>
      <c r="B4430" s="12" t="s">
        <v>453</v>
      </c>
      <c r="C4430" s="1">
        <f>IFERROR(VLOOKUP(1193,'PEDIDO 55'!$C$2:$E$230,3,0),0)</f>
        <v>0</v>
      </c>
      <c r="D4430" s="1">
        <f>IFERROR(VLOOKUP(1194,'PEDIDO 55'!$C$2:$E$230,3,0),0)</f>
        <v>0</v>
      </c>
      <c r="E4430" s="1">
        <f>IFERROR(VLOOKUP(1195,'PEDIDO 55'!$C$2:$E$230,3,0),0)</f>
        <v>0</v>
      </c>
      <c r="F4430" s="1">
        <f>IFERROR(VLOOKUP(1196,'PEDIDO 55'!$C$2:$E$230,3,0),0)</f>
        <v>0</v>
      </c>
      <c r="G4430" s="18">
        <f t="shared" si="139"/>
        <v>0</v>
      </c>
    </row>
    <row r="4431" spans="1:7" ht="15.75" x14ac:dyDescent="0.25">
      <c r="A4431" s="15">
        <f>'PEDIDO 55'!$B$2</f>
        <v>0</v>
      </c>
      <c r="B4431" s="12" t="s">
        <v>454</v>
      </c>
      <c r="C4431" s="1">
        <f>IFERROR(VLOOKUP(1197,'PEDIDO 55'!$C$2:$E$230,3,0),0)</f>
        <v>0</v>
      </c>
      <c r="D4431" s="1">
        <f>IFERROR(VLOOKUP(1198,'PEDIDO 55'!$C$2:$E$230,3,0),0)</f>
        <v>0</v>
      </c>
      <c r="E4431" s="1">
        <f>IFERROR(VLOOKUP(1199,'PEDIDO 55'!$C$2:$E$230,3,0),0)</f>
        <v>0</v>
      </c>
      <c r="F4431" s="1">
        <f>IFERROR(VLOOKUP(1200,'PEDIDO 55'!$C$2:$E$230,3,0),0)</f>
        <v>0</v>
      </c>
      <c r="G4431" s="18">
        <f t="shared" si="139"/>
        <v>0</v>
      </c>
    </row>
    <row r="4432" spans="1:7" ht="15.75" x14ac:dyDescent="0.25">
      <c r="A4432" s="15">
        <f>'PEDIDO 55'!$B$2</f>
        <v>0</v>
      </c>
      <c r="B4432" s="12" t="s">
        <v>455</v>
      </c>
      <c r="C4432" s="1">
        <f>IFERROR(VLOOKUP(1201,'PEDIDO 55'!$C$2:$E$230,3,0),0)</f>
        <v>0</v>
      </c>
      <c r="D4432" s="1">
        <f>IFERROR(VLOOKUP(1202,'PEDIDO 55'!$C$2:$E$230,3,0),0)</f>
        <v>0</v>
      </c>
      <c r="E4432" s="1">
        <f>IFERROR(VLOOKUP(1203,'PEDIDO 55'!$C$2:$E$230,3,0),0)</f>
        <v>0</v>
      </c>
      <c r="F4432" s="1">
        <f>IFERROR(VLOOKUP(1204,'PEDIDO 55'!$C$2:$E$230,3,0),0)</f>
        <v>0</v>
      </c>
      <c r="G4432" s="18">
        <f t="shared" si="139"/>
        <v>0</v>
      </c>
    </row>
    <row r="4433" spans="1:7" ht="15.75" x14ac:dyDescent="0.25">
      <c r="A4433" s="15">
        <f>'PEDIDO 55'!$B$2</f>
        <v>0</v>
      </c>
      <c r="B4433" s="12" t="s">
        <v>456</v>
      </c>
      <c r="C4433" s="1">
        <f>IFERROR(VLOOKUP(1205,'PEDIDO 55'!$C$2:$E$230,3,0),0)</f>
        <v>0</v>
      </c>
      <c r="D4433" s="1">
        <f>IFERROR(VLOOKUP(1206,'PEDIDO 55'!$C$2:$E$230,3,0),0)</f>
        <v>0</v>
      </c>
      <c r="E4433" s="1">
        <f>IFERROR(VLOOKUP(1207,'PEDIDO 55'!$C$2:$E$230,3,0),0)</f>
        <v>0</v>
      </c>
      <c r="F4433" s="1">
        <f>IFERROR(VLOOKUP(1208,'PEDIDO 55'!$C$2:$E$230,3,0),0)</f>
        <v>0</v>
      </c>
      <c r="G4433" s="18">
        <f t="shared" si="139"/>
        <v>0</v>
      </c>
    </row>
    <row r="4434" spans="1:7" ht="15.75" x14ac:dyDescent="0.25">
      <c r="A4434" s="15">
        <f>'PEDIDO 55'!$B$2</f>
        <v>0</v>
      </c>
      <c r="B4434" s="12" t="s">
        <v>457</v>
      </c>
      <c r="C4434" s="1">
        <f>IFERROR(VLOOKUP(1213,'PEDIDO 55'!$C$2:$E$230,3,0),0)</f>
        <v>0</v>
      </c>
      <c r="D4434" s="1">
        <f>IFERROR(VLOOKUP(1214,'PEDIDO 55'!$C$2:$E$230,3,0),0)</f>
        <v>0</v>
      </c>
      <c r="E4434" s="1">
        <f>IFERROR(VLOOKUP(1215,'PEDIDO 55'!$C$2:$E$230,3,0),0)</f>
        <v>0</v>
      </c>
      <c r="F4434" s="10">
        <f>IFERROR(VLOOKUP(1216,'PEDIDO 55'!$C$2:$E$230,3,0),0)</f>
        <v>0</v>
      </c>
      <c r="G4434" s="18">
        <f t="shared" si="139"/>
        <v>0</v>
      </c>
    </row>
    <row r="4435" spans="1:7" ht="15.75" x14ac:dyDescent="0.25">
      <c r="A4435" s="15">
        <f>'PEDIDO 55'!$B$2</f>
        <v>0</v>
      </c>
      <c r="B4435" s="12" t="s">
        <v>458</v>
      </c>
      <c r="C4435" s="1">
        <f>IFERROR(VLOOKUP(1209,'PEDIDO 55'!$C$2:$E$230,3,0),0)</f>
        <v>0</v>
      </c>
      <c r="D4435" s="1">
        <f>IFERROR(VLOOKUP(1210,'PEDIDO 55'!$C$2:$E$230,3,0),0)</f>
        <v>0</v>
      </c>
      <c r="E4435" s="1">
        <f>IFERROR(VLOOKUP(1211,'PEDIDO 55'!$C$2:$E$230,3,0),0)</f>
        <v>0</v>
      </c>
      <c r="F4435" s="1">
        <f>IFERROR(VLOOKUP(1212,'PEDIDO 55'!$C$2:$E$230,3,0),0)</f>
        <v>0</v>
      </c>
      <c r="G4435" s="18">
        <f t="shared" si="139"/>
        <v>0</v>
      </c>
    </row>
    <row r="4436" spans="1:7" ht="15.75" x14ac:dyDescent="0.25">
      <c r="A4436" s="15">
        <f>'PEDIDO 55'!$B$2</f>
        <v>0</v>
      </c>
      <c r="B4436" s="12" t="s">
        <v>459</v>
      </c>
      <c r="C4436" s="1">
        <f>IFERROR(VLOOKUP(1217,'PEDIDO 55'!$C$2:$E$230,3,0),0)</f>
        <v>0</v>
      </c>
      <c r="D4436" s="1">
        <f>IFERROR(VLOOKUP(1218,'PEDIDO 55'!$C$2:$E$230,3,0),0)</f>
        <v>0</v>
      </c>
      <c r="E4436" s="1">
        <f>IFERROR(VLOOKUP(1219,'PEDIDO 55'!$C$2:$E$230,3,0),0)</f>
        <v>0</v>
      </c>
      <c r="F4436" s="1">
        <f>IFERROR(VLOOKUP(1220,'PEDIDO 55'!$C$2:$E$230,3,0),0)</f>
        <v>0</v>
      </c>
      <c r="G4436" s="18">
        <f t="shared" si="139"/>
        <v>0</v>
      </c>
    </row>
    <row r="4437" spans="1:7" ht="15.75" x14ac:dyDescent="0.25">
      <c r="A4437" s="15">
        <f>'PEDIDO 55'!$B$2</f>
        <v>0</v>
      </c>
      <c r="B4437" s="12" t="s">
        <v>461</v>
      </c>
      <c r="C4437" s="1">
        <f>IFERROR(VLOOKUP(1225,'PEDIDO 55'!$C$2:$E$230,3,0),0)</f>
        <v>0</v>
      </c>
      <c r="D4437" s="1">
        <f>IFERROR(VLOOKUP(1226,'PEDIDO 55'!$C$2:$E$230,3,0),0)</f>
        <v>0</v>
      </c>
      <c r="E4437" s="1">
        <f>IFERROR(VLOOKUP(1227,'PEDIDO 55'!$C$2:$E$230,3,0),0)</f>
        <v>0</v>
      </c>
      <c r="F4437" s="1">
        <f>IFERROR(VLOOKUP(1228,'PEDIDO 55'!$C$2:$E$230,3,0),0)</f>
        <v>0</v>
      </c>
      <c r="G4437" s="18">
        <f t="shared" si="139"/>
        <v>0</v>
      </c>
    </row>
    <row r="4438" spans="1:7" ht="15.75" x14ac:dyDescent="0.25">
      <c r="A4438" s="15">
        <f>'PEDIDO 55'!$B$2</f>
        <v>0</v>
      </c>
      <c r="B4438" s="12" t="s">
        <v>462</v>
      </c>
      <c r="C4438" s="1">
        <f>IFERROR(VLOOKUP(1221,'PEDIDO 55'!$C$2:$E$230,3,0),0)</f>
        <v>0</v>
      </c>
      <c r="D4438" s="1">
        <f>IFERROR(VLOOKUP(1222,'PEDIDO 55'!$C$2:$E$230,3,0),0)</f>
        <v>0</v>
      </c>
      <c r="E4438" s="1">
        <f>IFERROR(VLOOKUP(1223,'PEDIDO 55'!$C$2:$E$230,3,0),0)</f>
        <v>0</v>
      </c>
      <c r="F4438" s="1">
        <f>IFERROR(VLOOKUP(1224,'PEDIDO 55'!$C$2:$E$230,3,0),0)</f>
        <v>0</v>
      </c>
      <c r="G4438" s="18">
        <f t="shared" si="139"/>
        <v>0</v>
      </c>
    </row>
    <row r="4439" spans="1:7" ht="15.75" x14ac:dyDescent="0.25">
      <c r="A4439" s="15">
        <f>'PEDIDO 55'!$B$2</f>
        <v>0</v>
      </c>
      <c r="B4439" s="12" t="s">
        <v>460</v>
      </c>
      <c r="C4439" s="1">
        <f>IFERROR(VLOOKUP(1229,'PEDIDO 55'!$C$2:$E$230,3,0),0)</f>
        <v>0</v>
      </c>
      <c r="D4439" s="1">
        <f>IFERROR(VLOOKUP(1230,'PEDIDO 55'!$C$2:$E$230,3,0),0)</f>
        <v>0</v>
      </c>
      <c r="E4439" s="1">
        <f>IFERROR(VLOOKUP(1231,'PEDIDO 55'!$C$2:$E$230,3,0),0)</f>
        <v>0</v>
      </c>
      <c r="F4439" s="1">
        <f>IFERROR(VLOOKUP(1232,'PEDIDO 55'!$C$2:$E$230,3,0),0)</f>
        <v>0</v>
      </c>
      <c r="G4439" s="18">
        <f t="shared" si="139"/>
        <v>0</v>
      </c>
    </row>
    <row r="4440" spans="1:7" ht="15.75" x14ac:dyDescent="0.25">
      <c r="A4440" s="15">
        <f>'PEDIDO 55'!$B$2</f>
        <v>0</v>
      </c>
      <c r="B4440" s="12" t="s">
        <v>463</v>
      </c>
      <c r="C4440" s="1">
        <f>IFERROR(VLOOKUP(1233,'PEDIDO 55'!$C$2:$E$230,3,0),0)</f>
        <v>0</v>
      </c>
      <c r="D4440" s="1">
        <f>IFERROR(VLOOKUP(1234,'PEDIDO 55'!$C$2:$E$230,3,0),0)</f>
        <v>0</v>
      </c>
      <c r="E4440" s="1">
        <f>IFERROR(VLOOKUP(1235,'PEDIDO 55'!$C$2:$E$230,3,0),0)</f>
        <v>0</v>
      </c>
      <c r="F4440" s="1">
        <f>IFERROR(VLOOKUP(1236,'PEDIDO 55'!$C$2:$E$230,3,0),0)</f>
        <v>0</v>
      </c>
      <c r="G4440" s="18">
        <f t="shared" ref="G4440:G4453" si="140">SUM(C4440+D4440+E4440+F4440)</f>
        <v>0</v>
      </c>
    </row>
    <row r="4441" spans="1:7" ht="15.75" x14ac:dyDescent="0.25">
      <c r="A4441" s="15">
        <f>'PEDIDO 55'!$B$2</f>
        <v>0</v>
      </c>
      <c r="B4441" s="12" t="s">
        <v>464</v>
      </c>
      <c r="C4441" s="1">
        <f>IFERROR(VLOOKUP(1237,'PEDIDO 55'!$C$2:$E$230,3,0),0)</f>
        <v>0</v>
      </c>
      <c r="D4441" s="1">
        <f>IFERROR(VLOOKUP(1238,'PEDIDO 55'!$C$2:$E$230,3,0),0)</f>
        <v>0</v>
      </c>
      <c r="E4441" s="1">
        <f>IFERROR(VLOOKUP(1239,'PEDIDO 55'!$C$2:$E$230,3,0),0)</f>
        <v>0</v>
      </c>
      <c r="F4441" s="1">
        <f>IFERROR(VLOOKUP(1240,'PEDIDO 55'!$C$2:$E$230,3,0),0)</f>
        <v>0</v>
      </c>
      <c r="G4441" s="18">
        <f t="shared" si="140"/>
        <v>0</v>
      </c>
    </row>
    <row r="4442" spans="1:7" ht="15.75" x14ac:dyDescent="0.25">
      <c r="A4442" s="15">
        <f>'PEDIDO 55'!$B$2</f>
        <v>0</v>
      </c>
      <c r="B4442" s="12" t="s">
        <v>465</v>
      </c>
      <c r="C4442" s="1">
        <f>IFERROR(VLOOKUP(1241,'PEDIDO 55'!$C$2:$E$230,3,0),0)</f>
        <v>0</v>
      </c>
      <c r="D4442" s="1">
        <f>IFERROR(VLOOKUP(1242,'PEDIDO 55'!$C$2:$E$230,3,0),0)</f>
        <v>0</v>
      </c>
      <c r="E4442" s="1">
        <f>IFERROR(VLOOKUP(1243,'PEDIDO 55'!$C$2:$E$230,3,0),0)</f>
        <v>0</v>
      </c>
      <c r="F4442" s="1">
        <f>IFERROR(VLOOKUP(1244,'PEDIDO 55'!$C$2:$E$230,3,0),0)</f>
        <v>0</v>
      </c>
      <c r="G4442" s="18">
        <f t="shared" si="140"/>
        <v>0</v>
      </c>
    </row>
    <row r="4443" spans="1:7" ht="15.75" x14ac:dyDescent="0.25">
      <c r="A4443" s="15">
        <f>'PEDIDO 55'!$B$2</f>
        <v>0</v>
      </c>
      <c r="B4443" s="12" t="s">
        <v>466</v>
      </c>
      <c r="C4443" s="1">
        <f>IFERROR(VLOOKUP(1245,'PEDIDO 55'!$C$2:$E$230,3,0),0)</f>
        <v>0</v>
      </c>
      <c r="D4443" s="1">
        <f>IFERROR(VLOOKUP(1246,'PEDIDO 55'!$C$2:$E$230,3,0),0)</f>
        <v>0</v>
      </c>
      <c r="E4443" s="1">
        <f>IFERROR(VLOOKUP(1247,'PEDIDO 55'!$C$2:$E$230,3,0),0)</f>
        <v>0</v>
      </c>
      <c r="F4443" s="1">
        <f>IFERROR(VLOOKUP(1248,'PEDIDO 55'!$C$2:$E$230,3,0),0)</f>
        <v>0</v>
      </c>
      <c r="G4443" s="18">
        <f t="shared" si="140"/>
        <v>0</v>
      </c>
    </row>
    <row r="4444" spans="1:7" ht="15.75" x14ac:dyDescent="0.25">
      <c r="A4444" s="15">
        <f>'PEDIDO 55'!$B$2</f>
        <v>0</v>
      </c>
      <c r="B4444" s="12" t="s">
        <v>467</v>
      </c>
      <c r="C4444" s="1">
        <f>IFERROR(VLOOKUP(25714,'PEDIDO 55'!$C$2:$E$230,3,0),0)</f>
        <v>0</v>
      </c>
      <c r="D4444" s="1"/>
      <c r="E4444" s="1"/>
      <c r="F4444" s="1"/>
      <c r="G4444" s="18">
        <f t="shared" si="140"/>
        <v>0</v>
      </c>
    </row>
    <row r="4445" spans="1:7" ht="15.75" x14ac:dyDescent="0.25">
      <c r="A4445" s="15">
        <f>'PEDIDO 55'!$B$2</f>
        <v>0</v>
      </c>
      <c r="B4445" s="12" t="s">
        <v>468</v>
      </c>
      <c r="C4445" s="1">
        <f>IFERROR(VLOOKUP(25712,'PEDIDO 55'!$C$2:$E$230,3,0),0)</f>
        <v>0</v>
      </c>
      <c r="D4445" s="1"/>
      <c r="E4445" s="1"/>
      <c r="F4445" s="1"/>
      <c r="G4445" s="18">
        <f t="shared" si="140"/>
        <v>0</v>
      </c>
    </row>
    <row r="4446" spans="1:7" ht="15.75" x14ac:dyDescent="0.25">
      <c r="A4446" s="15">
        <f>'PEDIDO 55'!$B$2</f>
        <v>0</v>
      </c>
      <c r="B4446" s="12" t="s">
        <v>469</v>
      </c>
      <c r="C4446" s="1">
        <f>IFERROR(VLOOKUP(25713,'PEDIDO 55'!$C$2:$E$230,3,0),0)</f>
        <v>0</v>
      </c>
      <c r="D4446" s="1"/>
      <c r="E4446" s="1"/>
      <c r="F4446" s="1"/>
      <c r="G4446" s="18">
        <f t="shared" si="140"/>
        <v>0</v>
      </c>
    </row>
    <row r="4447" spans="1:7" ht="15.75" x14ac:dyDescent="0.25">
      <c r="A4447" s="15">
        <f>'PEDIDO 55'!$B$2</f>
        <v>0</v>
      </c>
      <c r="B4447" s="12" t="s">
        <v>470</v>
      </c>
      <c r="C4447" s="1">
        <f>IFERROR(VLOOKUP(1260,'PEDIDO 55'!$C$2:$E$230,3,0),0)</f>
        <v>0</v>
      </c>
      <c r="D4447" s="1"/>
      <c r="E4447" s="1"/>
      <c r="F4447" s="1"/>
      <c r="G4447" s="18">
        <f t="shared" si="140"/>
        <v>0</v>
      </c>
    </row>
    <row r="4448" spans="1:7" ht="15.75" x14ac:dyDescent="0.25">
      <c r="A4448" s="15">
        <f>'PEDIDO 55'!$B$2</f>
        <v>0</v>
      </c>
      <c r="B4448" s="12" t="s">
        <v>471</v>
      </c>
      <c r="C4448" s="1">
        <f>IFERROR(VLOOKUP(1261,'PEDIDO 55'!$C$2:$E$230,3,0),0)</f>
        <v>0</v>
      </c>
      <c r="D4448" s="1"/>
      <c r="E4448" s="1"/>
      <c r="F4448" s="1"/>
      <c r="G4448" s="18">
        <f t="shared" si="140"/>
        <v>0</v>
      </c>
    </row>
    <row r="4449" spans="1:7" ht="15.75" x14ac:dyDescent="0.25">
      <c r="A4449" s="15">
        <f>'PEDIDO 55'!$B$2</f>
        <v>0</v>
      </c>
      <c r="B4449" s="12" t="s">
        <v>472</v>
      </c>
      <c r="C4449" s="1">
        <f>IFERROR(VLOOKUP(1262,'PEDIDO 55'!$C$2:$E$230,3,0),0)</f>
        <v>0</v>
      </c>
      <c r="D4449" s="1"/>
      <c r="E4449" s="1"/>
      <c r="F4449" s="1"/>
      <c r="G4449" s="18">
        <f t="shared" si="140"/>
        <v>0</v>
      </c>
    </row>
    <row r="4450" spans="1:7" ht="15.75" x14ac:dyDescent="0.25">
      <c r="A4450" s="15">
        <f>'PEDIDO 55'!$B$2</f>
        <v>0</v>
      </c>
      <c r="B4450" s="12" t="s">
        <v>473</v>
      </c>
      <c r="C4450" s="1">
        <f>IFERROR(VLOOKUP(1263,'PEDIDO 55'!$C$2:$E$230,3,0),0)</f>
        <v>0</v>
      </c>
      <c r="D4450" s="1"/>
      <c r="E4450" s="1"/>
      <c r="F4450" s="1"/>
      <c r="G4450" s="18">
        <f t="shared" si="140"/>
        <v>0</v>
      </c>
    </row>
    <row r="4451" spans="1:7" ht="15.75" x14ac:dyDescent="0.25">
      <c r="A4451" s="15">
        <f>'PEDIDO 55'!$B$2</f>
        <v>0</v>
      </c>
      <c r="B4451" s="12" t="s">
        <v>474</v>
      </c>
      <c r="C4451" s="1">
        <f>IFERROR(VLOOKUP(1264,'PEDIDO 55'!$C$2:$E$230,3,0),0)</f>
        <v>0</v>
      </c>
      <c r="D4451" s="1"/>
      <c r="E4451" s="1"/>
      <c r="F4451" s="1"/>
      <c r="G4451" s="18">
        <f t="shared" si="140"/>
        <v>0</v>
      </c>
    </row>
    <row r="4452" spans="1:7" ht="15.75" x14ac:dyDescent="0.25">
      <c r="A4452" s="15">
        <f>'PEDIDO 55'!$B$2</f>
        <v>0</v>
      </c>
      <c r="B4452" s="12" t="s">
        <v>475</v>
      </c>
      <c r="C4452" s="1">
        <f>IFERROR(VLOOKUP(1265,'PEDIDO 55'!$C$2:$E$230,3,0),0)</f>
        <v>0</v>
      </c>
      <c r="D4452" s="1"/>
      <c r="E4452" s="1"/>
      <c r="F4452" s="1"/>
      <c r="G4452" s="18">
        <f t="shared" si="140"/>
        <v>0</v>
      </c>
    </row>
    <row r="4453" spans="1:7" ht="15.75" x14ac:dyDescent="0.25">
      <c r="A4453" s="15">
        <f>'PEDIDO 55'!$B$2</f>
        <v>0</v>
      </c>
      <c r="B4453" s="12" t="s">
        <v>476</v>
      </c>
      <c r="C4453" s="1">
        <f>IFERROR(VLOOKUP(1266,'PEDIDO 55'!$C$2:$E$230,3,0),0)</f>
        <v>0</v>
      </c>
      <c r="D4453" s="1"/>
      <c r="E4453" s="1"/>
      <c r="F4453" s="1"/>
      <c r="G4453" s="18">
        <f t="shared" si="140"/>
        <v>0</v>
      </c>
    </row>
    <row r="4454" spans="1:7" ht="15.75" x14ac:dyDescent="0.25">
      <c r="A4454" s="15">
        <f>'PEDIDO 55'!$B$2</f>
        <v>0</v>
      </c>
      <c r="B4454" s="12" t="s">
        <v>477</v>
      </c>
      <c r="C4454" s="1">
        <f>IFERROR(VLOOKUP(1268,'PEDIDO 55'!$C$2:$E$230,3,0),0)</f>
        <v>0</v>
      </c>
      <c r="D4454" s="1">
        <f>IFERROR(VLOOKUP(1269,'PEDIDO 55'!$C$2:$E$230,3,0),0)</f>
        <v>0</v>
      </c>
      <c r="E4454" s="1">
        <f>IFERROR(VLOOKUP(1270,'PEDIDO 55'!$C$2:$E$230,3,0),0)</f>
        <v>0</v>
      </c>
      <c r="F4454" s="1">
        <f>IFERROR(VLOOKUP(1271,'PEDIDO 55'!$C$2:$E$230,3,0),0)</f>
        <v>0</v>
      </c>
      <c r="G4454" s="18">
        <f t="shared" ref="G4454" si="141">SUM(C4454+D4454+E4454+F4454)</f>
        <v>0</v>
      </c>
    </row>
    <row r="4457" spans="1:7" ht="15.75" x14ac:dyDescent="0.25">
      <c r="A4457" s="15">
        <f>'PEDIDO 56'!$B$2</f>
        <v>0</v>
      </c>
      <c r="B4457" s="12" t="s">
        <v>399</v>
      </c>
      <c r="C4457" s="1">
        <f>IFERROR(VLOOKUP(1,'PEDIDO 56'!$C$2:$E$230,3,0),0)</f>
        <v>0</v>
      </c>
      <c r="D4457" s="1">
        <f>IFERROR(VLOOKUP(2,'PEDIDO 56'!$C$2:$E$230,3,0),0)</f>
        <v>0</v>
      </c>
      <c r="E4457" s="1">
        <f>IFERROR(VLOOKUP(3,'PEDIDO 56'!$C$2:$E$230,3,0),0)</f>
        <v>0</v>
      </c>
      <c r="F4457" s="1">
        <f>IFERROR(VLOOKUP(282,'PEDIDO 56'!$C$2:$E$230,3,0),0)</f>
        <v>0</v>
      </c>
      <c r="G4457" s="18">
        <f t="shared" ref="G4457:G4520" si="142">SUM(C4457+D4457+E4457+F4457)</f>
        <v>0</v>
      </c>
    </row>
    <row r="4458" spans="1:7" ht="15.75" x14ac:dyDescent="0.25">
      <c r="A4458" s="15">
        <f>'PEDIDO 56'!$B$2</f>
        <v>0</v>
      </c>
      <c r="B4458" s="12" t="s">
        <v>400</v>
      </c>
      <c r="C4458" s="1">
        <f>IFERROR(VLOOKUP(5,'PEDIDO 56'!$C$2:$E$230,3,0),0)</f>
        <v>0</v>
      </c>
      <c r="D4458" s="1">
        <f>IFERROR(VLOOKUP(6,'PEDIDO 56'!$C$2:$E$230,3,0),0)</f>
        <v>0</v>
      </c>
      <c r="E4458" s="1">
        <f>IFERROR(VLOOKUP(7,'PEDIDO 56'!$C$2:$E$230,3,0),0)</f>
        <v>0</v>
      </c>
      <c r="F4458" s="1">
        <f>IFERROR(VLOOKUP(258,'PEDIDO 56'!$C$2:$E$230,3,0),0)</f>
        <v>0</v>
      </c>
      <c r="G4458" s="18">
        <f t="shared" si="142"/>
        <v>0</v>
      </c>
    </row>
    <row r="4459" spans="1:7" ht="15.75" x14ac:dyDescent="0.25">
      <c r="A4459" s="15">
        <f>'PEDIDO 56'!$B$2</f>
        <v>0</v>
      </c>
      <c r="B4459" s="12" t="s">
        <v>401</v>
      </c>
      <c r="C4459" s="1">
        <f>IFERROR(VLOOKUP(13,'PEDIDO 56'!$C$2:$E$230,3,0),0)</f>
        <v>0</v>
      </c>
      <c r="D4459" s="1">
        <f>IFERROR(VLOOKUP(14,'PEDIDO 56'!$C$2:$E$230,3,0),0)</f>
        <v>0</v>
      </c>
      <c r="E4459" s="1">
        <f>IFERROR(VLOOKUP(15,'PEDIDO 56'!$C$2:$E$230,3,0),0)</f>
        <v>0</v>
      </c>
      <c r="F4459" s="1">
        <f>IFERROR(VLOOKUP(289,'PEDIDO 56'!$C$2:$E$230,3,0),0)</f>
        <v>0</v>
      </c>
      <c r="G4459" s="18">
        <f t="shared" si="142"/>
        <v>0</v>
      </c>
    </row>
    <row r="4460" spans="1:7" ht="15.75" x14ac:dyDescent="0.25">
      <c r="A4460" s="15">
        <f>'PEDIDO 56'!$B$2</f>
        <v>0</v>
      </c>
      <c r="B4460" s="12" t="s">
        <v>402</v>
      </c>
      <c r="C4460" s="1">
        <f>IFERROR(VLOOKUP(267,'PEDIDO 56'!$C$2:$E$230,3,0),0)</f>
        <v>0</v>
      </c>
      <c r="D4460" s="1">
        <f>IFERROR(VLOOKUP(268,'PEDIDO 56'!$C$2:$E$230,3,0),0)</f>
        <v>0</v>
      </c>
      <c r="E4460" s="1">
        <f>IFERROR(VLOOKUP(270,'PEDIDO 56'!$C$2:$E$230,3,0),0)</f>
        <v>0</v>
      </c>
      <c r="F4460" s="1">
        <f>IFERROR(VLOOKUP(269,'PEDIDO 56'!$C$2:$E$230,3,0),0)</f>
        <v>0</v>
      </c>
      <c r="G4460" s="18">
        <f t="shared" si="142"/>
        <v>0</v>
      </c>
    </row>
    <row r="4461" spans="1:7" ht="15.75" x14ac:dyDescent="0.25">
      <c r="A4461" s="15">
        <f>'PEDIDO 56'!$B$2</f>
        <v>0</v>
      </c>
      <c r="B4461" s="12" t="s">
        <v>403</v>
      </c>
      <c r="C4461" s="1">
        <f>IFERROR(VLOOKUP(17,'PEDIDO 56'!$C$2:$E$230,3,0),0)</f>
        <v>0</v>
      </c>
      <c r="D4461" s="1">
        <f>IFERROR(VLOOKUP(18,'PEDIDO 56'!$C$2:$E$230,3,0),0)</f>
        <v>0</v>
      </c>
      <c r="E4461" s="1">
        <f>IFERROR(VLOOKUP(19,'PEDIDO 56'!$C$2:$E$230,3,0),0)</f>
        <v>0</v>
      </c>
      <c r="F4461" s="1">
        <f>IFERROR(VLOOKUP(290,'PEDIDO 56'!$C$2:$E$230,3,0),0)</f>
        <v>0</v>
      </c>
      <c r="G4461" s="18">
        <f t="shared" si="142"/>
        <v>0</v>
      </c>
    </row>
    <row r="4462" spans="1:7" ht="15.75" x14ac:dyDescent="0.25">
      <c r="A4462" s="15">
        <f>'PEDIDO 56'!$B$2</f>
        <v>0</v>
      </c>
      <c r="B4462" s="12" t="s">
        <v>404</v>
      </c>
      <c r="C4462" s="1">
        <f>IFERROR(VLOOKUP(23,'PEDIDO 56'!$C$2:$E$230,3,0),0)</f>
        <v>0</v>
      </c>
      <c r="D4462" s="1">
        <f>IFERROR(VLOOKUP(24,'PEDIDO 56'!$C$2:$E$230,3,0),0)</f>
        <v>0</v>
      </c>
      <c r="E4462" s="1">
        <f>IFERROR(VLOOKUP(25,'PEDIDO 56'!$C$2:$E$230,3,0),0)</f>
        <v>0</v>
      </c>
      <c r="F4462" s="1">
        <f>IFERROR(VLOOKUP(291,'PEDIDO 56'!$C$2:$E$230,3,0),0)</f>
        <v>0</v>
      </c>
      <c r="G4462" s="18">
        <f t="shared" si="142"/>
        <v>0</v>
      </c>
    </row>
    <row r="4463" spans="1:7" ht="15.75" x14ac:dyDescent="0.25">
      <c r="A4463" s="15">
        <f>'PEDIDO 56'!$B$2</f>
        <v>0</v>
      </c>
      <c r="B4463" s="12" t="s">
        <v>405</v>
      </c>
      <c r="C4463" s="1">
        <f>IFERROR(VLOOKUP(27,'PEDIDO 56'!$C$2:$E$230,3,0),0)</f>
        <v>0</v>
      </c>
      <c r="D4463" s="1">
        <f>IFERROR(VLOOKUP(28,'PEDIDO 56'!$C$2:$E$230,3,0),0)</f>
        <v>0</v>
      </c>
      <c r="E4463" s="1">
        <f>IFERROR(VLOOKUP(29,'PEDIDO 56'!$C$2:$E$230,3,0),0)</f>
        <v>0</v>
      </c>
      <c r="F4463" s="1">
        <f>IFERROR(VLOOKUP(292,'PEDIDO 56'!$C$2:$E$230,3,0),0)</f>
        <v>0</v>
      </c>
      <c r="G4463" s="18">
        <f t="shared" si="142"/>
        <v>0</v>
      </c>
    </row>
    <row r="4464" spans="1:7" ht="15.75" x14ac:dyDescent="0.25">
      <c r="A4464" s="15">
        <f>'PEDIDO 56'!$B$2</f>
        <v>0</v>
      </c>
      <c r="B4464" s="12" t="s">
        <v>406</v>
      </c>
      <c r="C4464" s="1">
        <f>IFERROR(VLOOKUP(227,'PEDIDO 56'!$C$2:$E$230,3,0),0)</f>
        <v>0</v>
      </c>
      <c r="D4464" s="1">
        <f>IFERROR(VLOOKUP(228,'PEDIDO 56'!$C$2:$E$230,3,0),0)</f>
        <v>0</v>
      </c>
      <c r="E4464" s="1">
        <f>IFERROR(VLOOKUP(229,'PEDIDO 56'!$C$2:$E$230,3,0),0)</f>
        <v>0</v>
      </c>
      <c r="F4464" s="1">
        <f>IFERROR(VLOOKUP(230,'PEDIDO 56'!$C$2:$E$230,3,0),0)</f>
        <v>0</v>
      </c>
      <c r="G4464" s="18">
        <f t="shared" si="142"/>
        <v>0</v>
      </c>
    </row>
    <row r="4465" spans="1:7" ht="15.75" x14ac:dyDescent="0.25">
      <c r="A4465" s="15">
        <f>'PEDIDO 56'!$B$2</f>
        <v>0</v>
      </c>
      <c r="B4465" s="12" t="s">
        <v>407</v>
      </c>
      <c r="C4465" s="1">
        <f>IFERROR(VLOOKUP(231,'PEDIDO 56'!$C$2:$E$230,3,0),0)</f>
        <v>0</v>
      </c>
      <c r="D4465" s="1">
        <f>IFERROR(VLOOKUP(232,'PEDIDO 56'!$C$2:$E$230,3,0),0)</f>
        <v>0</v>
      </c>
      <c r="E4465" s="1">
        <f>IFERROR(VLOOKUP(234,'PEDIDO 56'!$C$2:$E$230,3,0),0)</f>
        <v>0</v>
      </c>
      <c r="F4465" s="1">
        <f>IFERROR(VLOOKUP(233,'PEDIDO 56'!$C$2:$E$230,3,0),0)</f>
        <v>0</v>
      </c>
      <c r="G4465" s="18">
        <f t="shared" si="142"/>
        <v>0</v>
      </c>
    </row>
    <row r="4466" spans="1:7" ht="15.75" x14ac:dyDescent="0.25">
      <c r="A4466" s="15">
        <f>'PEDIDO 56'!$B$2</f>
        <v>0</v>
      </c>
      <c r="B4466" s="12" t="s">
        <v>408</v>
      </c>
      <c r="C4466" s="1">
        <f>IFERROR(VLOOKUP(237,'PEDIDO 56'!$C$2:$E$230,3,0),0)</f>
        <v>0</v>
      </c>
      <c r="D4466" s="1">
        <f>IFERROR(VLOOKUP(238,'PEDIDO 56'!$C$2:$E$230,3,0),0)</f>
        <v>0</v>
      </c>
      <c r="E4466" s="1">
        <f>IFERROR(VLOOKUP(240,'PEDIDO 56'!$C$2:$E$230,3,0),0)</f>
        <v>0</v>
      </c>
      <c r="F4466" s="1">
        <f>IFERROR(VLOOKUP(239,'PEDIDO 56'!$C$2:$E$230,3,0),0)</f>
        <v>0</v>
      </c>
      <c r="G4466" s="18">
        <f t="shared" si="142"/>
        <v>0</v>
      </c>
    </row>
    <row r="4467" spans="1:7" ht="15.75" x14ac:dyDescent="0.25">
      <c r="A4467" s="15">
        <f>'PEDIDO 56'!$B$2</f>
        <v>0</v>
      </c>
      <c r="B4467" s="12" t="s">
        <v>409</v>
      </c>
      <c r="C4467" s="1">
        <f>IFERROR(VLOOKUP(25707,'PEDIDO 56'!$C$2:$E$230,3,0),0)</f>
        <v>0</v>
      </c>
      <c r="D4467" s="1">
        <f>IFERROR(VLOOKUP(25708,'PEDIDO 56'!$C$2:$E$230,3,0),0)</f>
        <v>0</v>
      </c>
      <c r="E4467" s="1">
        <f>IFERROR(VLOOKUP(25710,'PEDIDO 56'!$C$2:$E$230,3,0),0)</f>
        <v>0</v>
      </c>
      <c r="F4467" s="1">
        <f>IFERROR(VLOOKUP(25709,'PEDIDO 56'!$C$2:$E$230,3,0),0)</f>
        <v>0</v>
      </c>
      <c r="G4467" s="18">
        <f t="shared" si="142"/>
        <v>0</v>
      </c>
    </row>
    <row r="4468" spans="1:7" ht="15.75" x14ac:dyDescent="0.25">
      <c r="A4468" s="15">
        <f>'PEDIDO 56'!$B$2</f>
        <v>0</v>
      </c>
      <c r="B4468" s="12" t="s">
        <v>410</v>
      </c>
      <c r="C4468" s="1">
        <f>IFERROR(VLOOKUP(25711,'PEDIDO 56'!$C$2:$E$230,3,0),0)</f>
        <v>0</v>
      </c>
      <c r="D4468" s="1"/>
      <c r="E4468" s="1"/>
      <c r="F4468" s="1"/>
      <c r="G4468" s="18">
        <f t="shared" si="142"/>
        <v>0</v>
      </c>
    </row>
    <row r="4469" spans="1:7" ht="15.75" x14ac:dyDescent="0.25">
      <c r="A4469" s="15">
        <f>'PEDIDO 56'!$B$2</f>
        <v>0</v>
      </c>
      <c r="B4469" s="12" t="s">
        <v>411</v>
      </c>
      <c r="C4469" s="1">
        <f>IFERROR(VLOOKUP(35,'PEDIDO 56'!$C$2:$E$230,3,0),0)</f>
        <v>0</v>
      </c>
      <c r="D4469" s="1">
        <f>IFERROR(VLOOKUP(36,'PEDIDO 56'!$C$2:$E$230,3,0),0)</f>
        <v>0</v>
      </c>
      <c r="E4469" s="1">
        <f>IFERROR(VLOOKUP(37,'PEDIDO 56'!$C$2:$E$230,3,0),0)</f>
        <v>0</v>
      </c>
      <c r="F4469" s="1">
        <f>IFERROR(VLOOKUP(294,'PEDIDO 56'!$C$2:$E$230,3,0),0)</f>
        <v>0</v>
      </c>
      <c r="G4469" s="18">
        <f t="shared" si="142"/>
        <v>0</v>
      </c>
    </row>
    <row r="4470" spans="1:7" ht="15.75" x14ac:dyDescent="0.25">
      <c r="A4470" s="15">
        <f>'PEDIDO 56'!$B$2</f>
        <v>0</v>
      </c>
      <c r="B4470" s="12" t="s">
        <v>412</v>
      </c>
      <c r="C4470" s="1">
        <f>IFERROR(VLOOKUP(39,'PEDIDO 56'!$C$2:$E$230,3,0),0)</f>
        <v>0</v>
      </c>
      <c r="D4470" s="1">
        <f>IFERROR(VLOOKUP(40,'PEDIDO 56'!$C$2:$E$230,3,0),0)</f>
        <v>0</v>
      </c>
      <c r="E4470" s="1">
        <f>IFERROR(VLOOKUP(42,'PEDIDO 56'!$C$2:$E$230,3,0),0)</f>
        <v>0</v>
      </c>
      <c r="F4470" s="1">
        <f>IFERROR(VLOOKUP(295,'PEDIDO 56'!$C$2:$E$230,3,0),0)</f>
        <v>0</v>
      </c>
      <c r="G4470" s="18">
        <f t="shared" si="142"/>
        <v>0</v>
      </c>
    </row>
    <row r="4471" spans="1:7" ht="15.75" x14ac:dyDescent="0.25">
      <c r="A4471" s="15">
        <f>'PEDIDO 56'!$B$2</f>
        <v>0</v>
      </c>
      <c r="B4471" s="12" t="s">
        <v>413</v>
      </c>
      <c r="C4471" s="1">
        <f>IFERROR(VLOOKUP(44,'PEDIDO 56'!$C$2:$E$230,3,0),0)</f>
        <v>0</v>
      </c>
      <c r="D4471" s="1">
        <f>IFERROR(VLOOKUP(45,'PEDIDO 56'!$C$2:$E$230,3,0),0)</f>
        <v>0</v>
      </c>
      <c r="E4471" s="1">
        <f>IFERROR(VLOOKUP(46,'PEDIDO 56'!$C$2:$E$230,3,0),0)</f>
        <v>0</v>
      </c>
      <c r="F4471" s="1">
        <f>IFERROR(VLOOKUP(283,'PEDIDO 56'!$C$2:$E$230,3,0),0)</f>
        <v>0</v>
      </c>
      <c r="G4471" s="18">
        <f t="shared" si="142"/>
        <v>0</v>
      </c>
    </row>
    <row r="4472" spans="1:7" ht="15.75" x14ac:dyDescent="0.25">
      <c r="A4472" s="15">
        <f>'PEDIDO 56'!$B$2</f>
        <v>0</v>
      </c>
      <c r="B4472" s="12" t="s">
        <v>414</v>
      </c>
      <c r="C4472" s="1">
        <f>IFERROR(VLOOKUP(48,'PEDIDO 56'!$C$2:$E$230,3,0),0)</f>
        <v>0</v>
      </c>
      <c r="D4472" s="1">
        <f>IFERROR(VLOOKUP(49,'PEDIDO 56'!$C$2:$E$230,3,0),0)</f>
        <v>0</v>
      </c>
      <c r="E4472" s="1">
        <f>IFERROR(VLOOKUP(50,'PEDIDO 56'!$C$2:$E$230,3,0),0)</f>
        <v>0</v>
      </c>
      <c r="F4472" s="1">
        <f>IFERROR(VLOOKUP(298,'PEDIDO 56'!$C$2:$E$230,3,0),0)</f>
        <v>0</v>
      </c>
      <c r="G4472" s="18">
        <f t="shared" si="142"/>
        <v>0</v>
      </c>
    </row>
    <row r="4473" spans="1:7" ht="15.75" x14ac:dyDescent="0.25">
      <c r="A4473" s="15">
        <f>'PEDIDO 56'!$B$2</f>
        <v>0</v>
      </c>
      <c r="B4473" s="12" t="s">
        <v>415</v>
      </c>
      <c r="C4473" s="1">
        <f>IFERROR(VLOOKUP(52,'PEDIDO 56'!$C$2:$E$230,3,0),0)</f>
        <v>0</v>
      </c>
      <c r="D4473" s="1">
        <f>IFERROR(VLOOKUP(53,'PEDIDO 56'!$C$2:$E$230,3,0),0)</f>
        <v>0</v>
      </c>
      <c r="E4473" s="1">
        <f>IFERROR(VLOOKUP(54,'PEDIDO 56'!$C$2:$E$230,3,0),0)</f>
        <v>0</v>
      </c>
      <c r="F4473" s="1">
        <f>IFERROR(VLOOKUP(299,'PEDIDO 56'!$C$2:$E$230,3,0),0)</f>
        <v>0</v>
      </c>
      <c r="G4473" s="18">
        <f t="shared" si="142"/>
        <v>0</v>
      </c>
    </row>
    <row r="4474" spans="1:7" ht="15.75" x14ac:dyDescent="0.25">
      <c r="A4474" s="15">
        <f>'PEDIDO 56'!$B$2</f>
        <v>0</v>
      </c>
      <c r="B4474" s="12" t="s">
        <v>416</v>
      </c>
      <c r="C4474" s="1">
        <f>IFERROR(VLOOKUP(56,'PEDIDO 56'!$C$2:$E$230,3,0),0)</f>
        <v>0</v>
      </c>
      <c r="D4474" s="1">
        <f>IFERROR(VLOOKUP(61,'PEDIDO 56'!$C$2:$E$230,3,0),0)</f>
        <v>0</v>
      </c>
      <c r="E4474" s="1">
        <f>IFERROR(VLOOKUP(58,'PEDIDO 56'!$C$2:$E$230,3,0),0)</f>
        <v>0</v>
      </c>
      <c r="F4474" s="1">
        <f>IFERROR(VLOOKUP(300,'PEDIDO 56'!$C$2:$E$230,3,0),0)</f>
        <v>0</v>
      </c>
      <c r="G4474" s="18">
        <f t="shared" si="142"/>
        <v>0</v>
      </c>
    </row>
    <row r="4475" spans="1:7" ht="15.75" x14ac:dyDescent="0.25">
      <c r="A4475" s="15">
        <f>'PEDIDO 56'!$B$2</f>
        <v>0</v>
      </c>
      <c r="B4475" s="12" t="s">
        <v>417</v>
      </c>
      <c r="C4475" s="1">
        <f>IFERROR(VLOOKUP(60,'PEDIDO 56'!$C$2:$E$230,3,0),0)</f>
        <v>0</v>
      </c>
      <c r="D4475" s="1">
        <f>IFERROR(VLOOKUP(120,'PEDIDO 56'!$C$2:$E$230,3,0),0)</f>
        <v>0</v>
      </c>
      <c r="E4475" s="1">
        <f>IFERROR(VLOOKUP(62,'PEDIDO 56'!$C$2:$E$230,3,0),0)</f>
        <v>0</v>
      </c>
      <c r="F4475" s="1">
        <f>IFERROR(VLOOKUP(301,'PEDIDO 56'!$C$2:$E$230,3,0),0)</f>
        <v>0</v>
      </c>
      <c r="G4475" s="18">
        <f t="shared" si="142"/>
        <v>0</v>
      </c>
    </row>
    <row r="4476" spans="1:7" ht="15.75" x14ac:dyDescent="0.25">
      <c r="A4476" s="15">
        <f>'PEDIDO 56'!$B$2</f>
        <v>0</v>
      </c>
      <c r="B4476" s="12" t="s">
        <v>426</v>
      </c>
      <c r="C4476" s="1">
        <f>IFERROR(VLOOKUP(112,'PEDIDO 56'!$C$2:$E$230,3,0),0)</f>
        <v>0</v>
      </c>
      <c r="D4476" s="1">
        <f>IFERROR(VLOOKUP(113,'PEDIDO 56'!$C$2:$E$230,3,0),0)</f>
        <v>0</v>
      </c>
      <c r="E4476" s="1">
        <f>IFERROR(VLOOKUP(114,'PEDIDO 56'!$C$2:$E$230,3,0),0)</f>
        <v>0</v>
      </c>
      <c r="F4476" s="1">
        <f>IFERROR(VLOOKUP(296,'PEDIDO 56'!$C$2:$E$230,3,0),0)</f>
        <v>0</v>
      </c>
      <c r="G4476" s="18">
        <f t="shared" si="142"/>
        <v>0</v>
      </c>
    </row>
    <row r="4477" spans="1:7" ht="15.75" x14ac:dyDescent="0.25">
      <c r="A4477" s="15">
        <f>'PEDIDO 56'!$B$2</f>
        <v>0</v>
      </c>
      <c r="B4477" s="12" t="s">
        <v>427</v>
      </c>
      <c r="C4477" s="1">
        <f>IFERROR(VLOOKUP(116,'PEDIDO 56'!$C$2:$E$230,3,0),0)</f>
        <v>0</v>
      </c>
      <c r="D4477" s="1">
        <f>IFERROR(VLOOKUP(117,'PEDIDO 56'!$C$2:$E$230,3,0),0)</f>
        <v>0</v>
      </c>
      <c r="E4477" s="1">
        <f>IFERROR(VLOOKUP(118,'PEDIDO 56'!$C$2:$E$230,3,0),0)</f>
        <v>0</v>
      </c>
      <c r="F4477" s="1">
        <f>IFERROR(VLOOKUP(293,'PEDIDO 56'!$C$2:$E$230,3,0),0)</f>
        <v>0</v>
      </c>
      <c r="G4477" s="18">
        <f t="shared" si="142"/>
        <v>0</v>
      </c>
    </row>
    <row r="4478" spans="1:7" ht="15.75" x14ac:dyDescent="0.25">
      <c r="A4478" s="15">
        <f>'PEDIDO 56'!$B$2</f>
        <v>0</v>
      </c>
      <c r="B4478" s="12" t="s">
        <v>418</v>
      </c>
      <c r="C4478" s="1">
        <f>IFERROR(VLOOKUP(963,'PEDIDO 56'!$C$2:$E$230,3,0),0)</f>
        <v>0</v>
      </c>
      <c r="D4478" s="1">
        <f>IFERROR(VLOOKUP(965,'PEDIDO 56'!$C$2:$E$230,3,0),0)</f>
        <v>0</v>
      </c>
      <c r="E4478" s="1">
        <f>IFERROR(VLOOKUP(966,'PEDIDO 56'!$C$2:$E$230,3,0),0)</f>
        <v>0</v>
      </c>
      <c r="F4478" s="1">
        <f>IFERROR(VLOOKUP(964,'PEDIDO 56'!$C$2:$E$230,3,0),0)</f>
        <v>0</v>
      </c>
      <c r="G4478" s="18">
        <f t="shared" si="142"/>
        <v>0</v>
      </c>
    </row>
    <row r="4479" spans="1:7" ht="15.75" x14ac:dyDescent="0.25">
      <c r="A4479" s="15">
        <f>'PEDIDO 56'!$B$2</f>
        <v>0</v>
      </c>
      <c r="B4479" s="12" t="s">
        <v>419</v>
      </c>
      <c r="C4479" s="1">
        <f>IFERROR(VLOOKUP(2042,'PEDIDO 56'!$C$2:$E$230,3,0),0)</f>
        <v>0</v>
      </c>
      <c r="D4479" s="1">
        <f>IFERROR(VLOOKUP(2041,'PEDIDO 56'!$C$2:$E$230,3,0),0)</f>
        <v>0</v>
      </c>
      <c r="E4479" s="1">
        <f>IFERROR(VLOOKUP(2043,'PEDIDO 56'!$C$2:$E$230,3,0),0)</f>
        <v>0</v>
      </c>
      <c r="F4479" s="1">
        <f>IFERROR(VLOOKUP(2040,'PEDIDO 56'!$C$2:$E$230,3,0),0)</f>
        <v>0</v>
      </c>
      <c r="G4479" s="18">
        <f t="shared" si="142"/>
        <v>0</v>
      </c>
    </row>
    <row r="4480" spans="1:7" ht="15.75" x14ac:dyDescent="0.25">
      <c r="A4480" s="15">
        <f>'PEDIDO 56'!$B$2</f>
        <v>0</v>
      </c>
      <c r="B4480" s="12" t="s">
        <v>420</v>
      </c>
      <c r="C4480" s="1">
        <f>IFERROR(VLOOKUP(2045,'PEDIDO 56'!$C$2:$E$230,3,0),0)</f>
        <v>0</v>
      </c>
      <c r="D4480" s="1">
        <f>IFERROR(VLOOKUP(2046,'PEDIDO 56'!$C$2:$E$230,3,0),0)</f>
        <v>0</v>
      </c>
      <c r="E4480" s="1">
        <f>IFERROR(VLOOKUP(2047,'PEDIDO 56'!$C$2:$E$230,3,0),0)</f>
        <v>0</v>
      </c>
      <c r="F4480" s="1">
        <f>IFERROR(VLOOKUP(2048,'PEDIDO 56'!$C$2:$E$230,3,0),0)</f>
        <v>0</v>
      </c>
      <c r="G4480" s="18">
        <f t="shared" si="142"/>
        <v>0</v>
      </c>
    </row>
    <row r="4481" spans="1:7" ht="15.75" x14ac:dyDescent="0.25">
      <c r="A4481" s="15">
        <f>'PEDIDO 56'!$B$2</f>
        <v>0</v>
      </c>
      <c r="B4481" s="12" t="s">
        <v>421</v>
      </c>
      <c r="C4481" s="1">
        <f>IFERROR(VLOOKUP(2050,'PEDIDO 56'!$C$2:$E$230,3,0),0)</f>
        <v>0</v>
      </c>
      <c r="D4481" s="1">
        <f>IFERROR(VLOOKUP(2051,'PEDIDO 56'!$C$2:$E$230,3,0),0)</f>
        <v>0</v>
      </c>
      <c r="E4481" s="1">
        <f>IFERROR(VLOOKUP(2052,'PEDIDO 56'!$C$2:$E$230,3,0),0)</f>
        <v>0</v>
      </c>
      <c r="F4481" s="1">
        <f>IFERROR(VLOOKUP(2053,'PEDIDO 56'!$C$2:$E$230,3,0),0)</f>
        <v>0</v>
      </c>
      <c r="G4481" s="18">
        <f t="shared" si="142"/>
        <v>0</v>
      </c>
    </row>
    <row r="4482" spans="1:7" ht="15.75" x14ac:dyDescent="0.25">
      <c r="A4482" s="15">
        <f>'PEDIDO 56'!$B$2</f>
        <v>0</v>
      </c>
      <c r="B4482" s="12" t="s">
        <v>422</v>
      </c>
      <c r="C4482" s="1">
        <f>IFERROR(VLOOKUP(216,'PEDIDO 56'!$C$2:$E$230,3,0),0)</f>
        <v>0</v>
      </c>
      <c r="D4482" s="1">
        <f>IFERROR(VLOOKUP(217,'PEDIDO 56'!$C$2:$E$230,3,0),0)</f>
        <v>0</v>
      </c>
      <c r="E4482" s="1">
        <f>IFERROR(VLOOKUP(218,'PEDIDO 56'!$C$2:$E$230,3,0),0)</f>
        <v>0</v>
      </c>
      <c r="F4482" s="1">
        <f>IFERROR(VLOOKUP(305,'PEDIDO 56'!$C$2:$E$230,3,0),0)</f>
        <v>0</v>
      </c>
      <c r="G4482" s="18">
        <f t="shared" si="142"/>
        <v>0</v>
      </c>
    </row>
    <row r="4483" spans="1:7" ht="15.75" x14ac:dyDescent="0.25">
      <c r="A4483" s="15">
        <f>'PEDIDO 56'!$B$2</f>
        <v>0</v>
      </c>
      <c r="B4483" s="12" t="s">
        <v>423</v>
      </c>
      <c r="C4483" s="1">
        <f>IFERROR(VLOOKUP(100,'PEDIDO 56'!$C$2:$E$230,3,0),0)</f>
        <v>0</v>
      </c>
      <c r="D4483" s="1">
        <f>IFERROR(VLOOKUP(101,'PEDIDO 56'!$C$2:$E$230,3,0),0)</f>
        <v>0</v>
      </c>
      <c r="E4483" s="1">
        <f>IFERROR(VLOOKUP(102,'PEDIDO 56'!$C$2:$E$230,3,0),0)</f>
        <v>0</v>
      </c>
      <c r="F4483" s="1">
        <f>IFERROR(VLOOKUP(306,'PEDIDO 56'!$C$2:$E$230,3,0),0)</f>
        <v>0</v>
      </c>
      <c r="G4483" s="18">
        <f t="shared" si="142"/>
        <v>0</v>
      </c>
    </row>
    <row r="4484" spans="1:7" ht="15.75" x14ac:dyDescent="0.25">
      <c r="A4484" s="15">
        <f>'PEDIDO 56'!$B$2</f>
        <v>0</v>
      </c>
      <c r="B4484" s="12" t="s">
        <v>424</v>
      </c>
      <c r="C4484" s="1">
        <f>IFERROR(VLOOKUP(104,'PEDIDO 56'!$C$2:$E$230,3,0),0)</f>
        <v>0</v>
      </c>
      <c r="D4484" s="1">
        <f>IFERROR(VLOOKUP(105,'PEDIDO 56'!$C$2:$E$230,3,0),0)</f>
        <v>0</v>
      </c>
      <c r="E4484" s="1">
        <f>IFERROR(VLOOKUP(106,'PEDIDO 56'!$C$2:$E$230,3,0),0)</f>
        <v>0</v>
      </c>
      <c r="F4484" s="1">
        <f>IFERROR(VLOOKUP(307,'PEDIDO 56'!$C$2:$E$230,3,0),0)</f>
        <v>0</v>
      </c>
      <c r="G4484" s="18">
        <f t="shared" si="142"/>
        <v>0</v>
      </c>
    </row>
    <row r="4485" spans="1:7" ht="15.75" x14ac:dyDescent="0.25">
      <c r="A4485" s="15">
        <f>'PEDIDO 56'!$B$2</f>
        <v>0</v>
      </c>
      <c r="B4485" s="12" t="s">
        <v>425</v>
      </c>
      <c r="C4485" s="1">
        <f>IFERROR(VLOOKUP(400,'PEDIDO 56'!$C$2:$E$230,3,0),0)</f>
        <v>0</v>
      </c>
      <c r="D4485" s="1">
        <f>IFERROR(VLOOKUP(401,'PEDIDO 56'!$C$2:$E$230,3,0),0)</f>
        <v>0</v>
      </c>
      <c r="E4485" s="1">
        <f>IFERROR(VLOOKUP(402,'PEDIDO 56'!$C$2:$E$230,3,0),0)</f>
        <v>0</v>
      </c>
      <c r="F4485" s="1">
        <f>IFERROR(VLOOKUP(403,'PEDIDO 56'!$C$2:$E$230,3,0),0)</f>
        <v>0</v>
      </c>
      <c r="G4485" s="18">
        <f t="shared" si="142"/>
        <v>0</v>
      </c>
    </row>
    <row r="4486" spans="1:7" ht="15.75" x14ac:dyDescent="0.25">
      <c r="A4486" s="15">
        <f>'PEDIDO 56'!$B$2</f>
        <v>0</v>
      </c>
      <c r="B4486" s="12" t="s">
        <v>428</v>
      </c>
      <c r="C4486" s="1">
        <f>IFERROR(VLOOKUP(22,'PEDIDO 56'!$C$2:$E$230,3,0),0)</f>
        <v>0</v>
      </c>
      <c r="D4486" s="1"/>
      <c r="E4486" s="1"/>
      <c r="F4486" s="1"/>
      <c r="G4486" s="18">
        <f t="shared" si="142"/>
        <v>0</v>
      </c>
    </row>
    <row r="4487" spans="1:7" ht="15.75" x14ac:dyDescent="0.25">
      <c r="A4487" s="15">
        <f>'PEDIDO 56'!$B$2</f>
        <v>0</v>
      </c>
      <c r="B4487" s="12" t="s">
        <v>429</v>
      </c>
      <c r="C4487" s="1">
        <f>IFERROR(VLOOKUP(21,'PEDIDO 56'!$C$2:$E$230,3,0),0)</f>
        <v>0</v>
      </c>
      <c r="D4487" s="1"/>
      <c r="E4487" s="1"/>
      <c r="F4487" s="1"/>
      <c r="G4487" s="18">
        <f t="shared" si="142"/>
        <v>0</v>
      </c>
    </row>
    <row r="4488" spans="1:7" ht="15.75" x14ac:dyDescent="0.25">
      <c r="A4488" s="15">
        <f>'PEDIDO 56'!$B$2</f>
        <v>0</v>
      </c>
      <c r="B4488" s="12" t="s">
        <v>430</v>
      </c>
      <c r="C4488" s="1">
        <f>IFERROR(VLOOKUP(1125,'PEDIDO 56'!$C$2:$E$230,3,0),0)</f>
        <v>0</v>
      </c>
      <c r="D4488" s="1">
        <f>IFERROR(VLOOKUP(1126,'PEDIDO 56'!$C$2:$E$230,3,0),0)</f>
        <v>0</v>
      </c>
      <c r="E4488" s="1">
        <f>IFERROR(VLOOKUP(1127,'PEDIDO 56'!$C$2:$E$230,3,0),0)</f>
        <v>0</v>
      </c>
      <c r="F4488" s="1">
        <f>IFERROR(VLOOKUP(1128,'PEDIDO 56'!$C$2:$E$230,3,0),0)</f>
        <v>0</v>
      </c>
      <c r="G4488" s="18">
        <f t="shared" si="142"/>
        <v>0</v>
      </c>
    </row>
    <row r="4489" spans="1:7" ht="15.75" x14ac:dyDescent="0.25">
      <c r="A4489" s="15">
        <f>'PEDIDO 56'!$B$2</f>
        <v>0</v>
      </c>
      <c r="B4489" s="12" t="s">
        <v>431</v>
      </c>
      <c r="C4489" s="1">
        <f>IFERROR(VLOOKUP(1133,'PEDIDO 56'!$C$2:$E$230,3,0),0)</f>
        <v>0</v>
      </c>
      <c r="D4489" s="1">
        <f>IFERROR(VLOOKUP(1134,'PEDIDO 56'!$C$2:$E$230,3,0),0)</f>
        <v>0</v>
      </c>
      <c r="E4489" s="1">
        <f>IFERROR(VLOOKUP(1135,'PEDIDO 56'!$C$2:$E$230,3,0),0)</f>
        <v>0</v>
      </c>
      <c r="F4489" s="1">
        <f>IFERROR(VLOOKUP(1136,'PEDIDO 56'!$C$2:$E$230,3,0),0)</f>
        <v>0</v>
      </c>
      <c r="G4489" s="18">
        <f t="shared" si="142"/>
        <v>0</v>
      </c>
    </row>
    <row r="4490" spans="1:7" ht="15.75" x14ac:dyDescent="0.25">
      <c r="A4490" s="15">
        <f>'PEDIDO 56'!$B$2</f>
        <v>0</v>
      </c>
      <c r="B4490" s="12" t="s">
        <v>432</v>
      </c>
      <c r="C4490" s="1">
        <f>IFERROR(VLOOKUP(1105,'PEDIDO 56'!$C$2:$E$230,3,0),0)</f>
        <v>0</v>
      </c>
      <c r="D4490" s="1">
        <f>IFERROR(VLOOKUP(1106,'PEDIDO 56'!$C$2:$E$230,3,0),0)</f>
        <v>0</v>
      </c>
      <c r="E4490" s="1">
        <f>IFERROR(VLOOKUP(1107,'PEDIDO 56'!$C$2:$E$230,3,0),0)</f>
        <v>0</v>
      </c>
      <c r="F4490" s="1">
        <f>IFERROR(VLOOKUP(1108,'PEDIDO 56'!$C$2:$E$230,3,0),0)</f>
        <v>0</v>
      </c>
      <c r="G4490" s="18">
        <f t="shared" si="142"/>
        <v>0</v>
      </c>
    </row>
    <row r="4491" spans="1:7" ht="15.75" x14ac:dyDescent="0.25">
      <c r="A4491" s="15">
        <f>'PEDIDO 56'!$B$2</f>
        <v>0</v>
      </c>
      <c r="B4491" s="12" t="s">
        <v>433</v>
      </c>
      <c r="C4491" s="1">
        <f>IFERROR(VLOOKUP(1109,'PEDIDO 56'!$C$2:$E$230,3,0),0)</f>
        <v>0</v>
      </c>
      <c r="D4491" s="1">
        <f>IFERROR(VLOOKUP(1110,'PEDIDO 56'!$C$2:$E$230,3,0),0)</f>
        <v>0</v>
      </c>
      <c r="E4491" s="1">
        <f>IFERROR(VLOOKUP(1111,'PEDIDO 56'!$C$2:$E$230,3,0),0)</f>
        <v>0</v>
      </c>
      <c r="F4491" s="1">
        <f>IFERROR(VLOOKUP(1112,'PEDIDO 56'!$C$2:$E$230,3,0),0)</f>
        <v>0</v>
      </c>
      <c r="G4491" s="18">
        <f t="shared" si="142"/>
        <v>0</v>
      </c>
    </row>
    <row r="4492" spans="1:7" ht="15.75" x14ac:dyDescent="0.25">
      <c r="A4492" s="15">
        <f>'PEDIDO 56'!$B$2</f>
        <v>0</v>
      </c>
      <c r="B4492" s="12" t="s">
        <v>434</v>
      </c>
      <c r="C4492" s="1">
        <f>IFERROR(VLOOKUP(1113,'PEDIDO 56'!$C$2:$E$230,3,0),0)</f>
        <v>0</v>
      </c>
      <c r="D4492" s="1">
        <f>IFERROR(VLOOKUP(1114,'PEDIDO 56'!$C$2:$E$230,3,0),0)</f>
        <v>0</v>
      </c>
      <c r="E4492" s="1">
        <f>IFERROR(VLOOKUP(1115,'PEDIDO 56'!$C$2:$E$230,3,0),0)</f>
        <v>0</v>
      </c>
      <c r="F4492" s="1">
        <f>IFERROR(VLOOKUP(1116,'PEDIDO 56'!$C$2:$E$230,3,0),0)</f>
        <v>0</v>
      </c>
      <c r="G4492" s="18">
        <f t="shared" si="142"/>
        <v>0</v>
      </c>
    </row>
    <row r="4493" spans="1:7" ht="15.75" x14ac:dyDescent="0.25">
      <c r="A4493" s="15">
        <f>'PEDIDO 56'!$B$2</f>
        <v>0</v>
      </c>
      <c r="B4493" s="12" t="s">
        <v>435</v>
      </c>
      <c r="C4493" s="1">
        <f>IFERROR(VLOOKUP(1117,'PEDIDO 56'!$C$2:$E$230,3,0),0)</f>
        <v>0</v>
      </c>
      <c r="D4493" s="1">
        <f>IFERROR(VLOOKUP(1118,'PEDIDO 56'!$C$2:$E$230,3,0),0)</f>
        <v>0</v>
      </c>
      <c r="E4493" s="1">
        <f>IFERROR(VLOOKUP(1119,'PEDIDO 56'!$C$2:$E$230,3,0),0)</f>
        <v>0</v>
      </c>
      <c r="F4493" s="1">
        <f>IFERROR(VLOOKUP(1120,'PEDIDO 56'!$C$2:$E$230,3,0),0)</f>
        <v>0</v>
      </c>
      <c r="G4493" s="18">
        <f t="shared" si="142"/>
        <v>0</v>
      </c>
    </row>
    <row r="4494" spans="1:7" ht="15.75" x14ac:dyDescent="0.25">
      <c r="A4494" s="15">
        <f>'PEDIDO 56'!$B$2</f>
        <v>0</v>
      </c>
      <c r="B4494" s="12" t="s">
        <v>436</v>
      </c>
      <c r="C4494" s="1">
        <f>IFERROR(VLOOKUP(1121,'PEDIDO 56'!$C$2:$E$230,3,0),0)</f>
        <v>0</v>
      </c>
      <c r="D4494" s="1">
        <f>IFERROR(VLOOKUP(1122,'PEDIDO 56'!$C$2:$E$230,3,0),0)</f>
        <v>0</v>
      </c>
      <c r="E4494" s="1">
        <f>IFERROR(VLOOKUP(1123,'PEDIDO 56'!$C$2:$E$230,3,0),0)</f>
        <v>0</v>
      </c>
      <c r="F4494" s="1">
        <f>IFERROR(VLOOKUP(1124,'PEDIDO 56'!$C$2:$E$230,3,0),0)</f>
        <v>0</v>
      </c>
      <c r="G4494" s="18">
        <f t="shared" si="142"/>
        <v>0</v>
      </c>
    </row>
    <row r="4495" spans="1:7" ht="15.75" x14ac:dyDescent="0.25">
      <c r="A4495" s="15">
        <f>'PEDIDO 56'!$B$2</f>
        <v>0</v>
      </c>
      <c r="B4495" s="12" t="s">
        <v>437</v>
      </c>
      <c r="C4495" s="1">
        <f>IFERROR(VLOOKUP(1129,'PEDIDO 56'!$C$2:$E$230,3,0),0)</f>
        <v>0</v>
      </c>
      <c r="D4495" s="1">
        <f>IFERROR(VLOOKUP(1130,'PEDIDO 56'!$C$2:$E$230,3,0),0)</f>
        <v>0</v>
      </c>
      <c r="E4495" s="1">
        <f>IFERROR(VLOOKUP(1131,'PEDIDO 56'!$C$2:$E$230,3,0),0)</f>
        <v>0</v>
      </c>
      <c r="F4495" s="1">
        <f>IFERROR(VLOOKUP(1132,'PEDIDO 56'!$C$2:$E$230,3,0),0)</f>
        <v>0</v>
      </c>
      <c r="G4495" s="18">
        <f t="shared" si="142"/>
        <v>0</v>
      </c>
    </row>
    <row r="4496" spans="1:7" ht="15.75" x14ac:dyDescent="0.25">
      <c r="A4496" s="15">
        <f>'PEDIDO 56'!$B$2</f>
        <v>0</v>
      </c>
      <c r="B4496" s="12" t="s">
        <v>438</v>
      </c>
      <c r="C4496" s="1">
        <f>IFERROR(VLOOKUP(1137,'PEDIDO 56'!$C$2:$E$230,3,0),0)</f>
        <v>0</v>
      </c>
      <c r="D4496" s="1">
        <f>IFERROR(VLOOKUP(1138,'PEDIDO 56'!$C$2:$E$230,3,0),0)</f>
        <v>0</v>
      </c>
      <c r="E4496" s="1">
        <f>IFERROR(VLOOKUP(1139,'PEDIDO 56'!$C$2:$E$230,3,0),0)</f>
        <v>0</v>
      </c>
      <c r="F4496" s="1">
        <f>IFERROR(VLOOKUP(1140,'PEDIDO 56'!$C$2:$E$230,3,0),0)</f>
        <v>0</v>
      </c>
      <c r="G4496" s="18">
        <f t="shared" si="142"/>
        <v>0</v>
      </c>
    </row>
    <row r="4497" spans="1:7" ht="15.75" x14ac:dyDescent="0.25">
      <c r="A4497" s="15">
        <f>'PEDIDO 56'!$B$2</f>
        <v>0</v>
      </c>
      <c r="B4497" s="12" t="s">
        <v>439</v>
      </c>
      <c r="C4497" s="1">
        <f>IFERROR(VLOOKUP(1141,'PEDIDO 56'!$C$2:$E$230,3,0),0)</f>
        <v>0</v>
      </c>
      <c r="D4497" s="1">
        <f>IFERROR(VLOOKUP(1142,'PEDIDO 56'!$C$2:$E$230,3,0),0)</f>
        <v>0</v>
      </c>
      <c r="E4497" s="1">
        <f>IFERROR(VLOOKUP(1143,'PEDIDO 56'!$C$2:$E$230,3,0),0)</f>
        <v>0</v>
      </c>
      <c r="F4497" s="1">
        <f>IFERROR(VLOOKUP(1144,'PEDIDO 56'!$C$2:$E$230,3,0),0)</f>
        <v>0</v>
      </c>
      <c r="G4497" s="18">
        <f t="shared" si="142"/>
        <v>0</v>
      </c>
    </row>
    <row r="4498" spans="1:7" ht="15.75" x14ac:dyDescent="0.25">
      <c r="A4498" s="15">
        <f>'PEDIDO 56'!$B$2</f>
        <v>0</v>
      </c>
      <c r="B4498" s="12" t="s">
        <v>440</v>
      </c>
      <c r="C4498" s="1">
        <f>IFERROR(VLOOKUP(1145,'PEDIDO 56'!$C$2:$E$230,3,0),0)</f>
        <v>0</v>
      </c>
      <c r="D4498" s="1">
        <f>IFERROR(VLOOKUP(1146,'PEDIDO 56'!$C$2:$E$230,3,0),0)</f>
        <v>0</v>
      </c>
      <c r="E4498" s="1">
        <f>IFERROR(VLOOKUP(1147,'PEDIDO 56'!$C$2:$E$230,3,0),0)</f>
        <v>0</v>
      </c>
      <c r="F4498" s="1">
        <f>IFERROR(VLOOKUP(1148,'PEDIDO 56'!$C$2:$E$230,3,0),0)</f>
        <v>0</v>
      </c>
      <c r="G4498" s="18">
        <f t="shared" si="142"/>
        <v>0</v>
      </c>
    </row>
    <row r="4499" spans="1:7" ht="15.75" x14ac:dyDescent="0.25">
      <c r="A4499" s="15">
        <f>'PEDIDO 56'!$B$2</f>
        <v>0</v>
      </c>
      <c r="B4499" s="12" t="s">
        <v>441</v>
      </c>
      <c r="C4499" s="1">
        <f>IFERROR(VLOOKUP(1149,'PEDIDO 56'!$C$2:$E$230,3,0),0)</f>
        <v>0</v>
      </c>
      <c r="D4499" s="1">
        <f>IFERROR(VLOOKUP(1150,'PEDIDO 56'!$C$2:$E$230,3,0),0)</f>
        <v>0</v>
      </c>
      <c r="E4499" s="1">
        <f>IFERROR(VLOOKUP(1151,'PEDIDO 56'!$C$2:$E$230,3,0),0)</f>
        <v>0</v>
      </c>
      <c r="F4499" s="1">
        <f>IFERROR(VLOOKUP(1152,'PEDIDO 56'!$C$2:$E$230,3,0),0)</f>
        <v>0</v>
      </c>
      <c r="G4499" s="18">
        <f t="shared" si="142"/>
        <v>0</v>
      </c>
    </row>
    <row r="4500" spans="1:7" ht="15.75" x14ac:dyDescent="0.25">
      <c r="A4500" s="15">
        <f>'PEDIDO 56'!$B$2</f>
        <v>0</v>
      </c>
      <c r="B4500" s="12" t="s">
        <v>442</v>
      </c>
      <c r="C4500" s="1">
        <f>IFERROR(VLOOKUP(1153,'PEDIDO 56'!$C$2:$E$230,3,0),0)</f>
        <v>0</v>
      </c>
      <c r="D4500" s="1">
        <f>IFERROR(VLOOKUP(1154,'PEDIDO 56'!$C$2:$E$230,3,0),0)</f>
        <v>0</v>
      </c>
      <c r="E4500" s="1">
        <f>IFERROR(VLOOKUP(1155,'PEDIDO 56'!$C$2:$E$230,3,0),0)</f>
        <v>0</v>
      </c>
      <c r="F4500" s="1">
        <f>IFERROR(VLOOKUP(1156,'PEDIDO 56'!$C$2:$E$230,3,0),0)</f>
        <v>0</v>
      </c>
      <c r="G4500" s="18">
        <f t="shared" si="142"/>
        <v>0</v>
      </c>
    </row>
    <row r="4501" spans="1:7" ht="15.75" x14ac:dyDescent="0.25">
      <c r="A4501" s="15">
        <f>'PEDIDO 56'!$B$2</f>
        <v>0</v>
      </c>
      <c r="B4501" s="12" t="s">
        <v>443</v>
      </c>
      <c r="C4501" s="1">
        <f>IFERROR(VLOOKUP(1157,'PEDIDO 56'!$C$2:$E$230,3,0),0)</f>
        <v>0</v>
      </c>
      <c r="D4501" s="1">
        <f>IFERROR(VLOOKUP(1158,'PEDIDO 56'!$C$2:$E$230,3,0),0)</f>
        <v>0</v>
      </c>
      <c r="E4501" s="1">
        <f>IFERROR(VLOOKUP(1159,'PEDIDO 56'!$C$2:$E$230,3,0),0)</f>
        <v>0</v>
      </c>
      <c r="F4501" s="1">
        <f>IFERROR(VLOOKUP(1160,'PEDIDO 56'!$C$2:$E$230,3,0),0)</f>
        <v>0</v>
      </c>
      <c r="G4501" s="18">
        <f t="shared" si="142"/>
        <v>0</v>
      </c>
    </row>
    <row r="4502" spans="1:7" ht="15.75" x14ac:dyDescent="0.25">
      <c r="A4502" s="15">
        <f>'PEDIDO 56'!$B$2</f>
        <v>0</v>
      </c>
      <c r="B4502" s="12" t="s">
        <v>444</v>
      </c>
      <c r="C4502" s="1">
        <f>IFERROR(VLOOKUP(1161,'PEDIDO 56'!$C$2:$E$230,3,0),0)</f>
        <v>0</v>
      </c>
      <c r="D4502" s="1">
        <f>IFERROR(VLOOKUP(1162,'PEDIDO 56'!$C$2:$E$230,3,0),0)</f>
        <v>0</v>
      </c>
      <c r="E4502" s="1">
        <f>IFERROR(VLOOKUP(1163,'PEDIDO 56'!$C$2:$E$230,3,0),0)</f>
        <v>0</v>
      </c>
      <c r="F4502" s="1">
        <f>IFERROR(VLOOKUP(1164,'PEDIDO 56'!$C$2:$E$230,3,0),0)</f>
        <v>0</v>
      </c>
      <c r="G4502" s="18">
        <f t="shared" si="142"/>
        <v>0</v>
      </c>
    </row>
    <row r="4503" spans="1:7" ht="15.75" x14ac:dyDescent="0.25">
      <c r="A4503" s="15">
        <f>'PEDIDO 56'!$B$2</f>
        <v>0</v>
      </c>
      <c r="B4503" s="12" t="s">
        <v>445</v>
      </c>
      <c r="C4503" s="1">
        <f>IFERROR(VLOOKUP(1165,'PEDIDO 56'!$C$2:$E$230,3,0),0)</f>
        <v>0</v>
      </c>
      <c r="D4503" s="1">
        <f>IFERROR(VLOOKUP(1166,'PEDIDO 56'!$C$2:$E$230,3,0),0)</f>
        <v>0</v>
      </c>
      <c r="E4503" s="1">
        <f>IFERROR(VLOOKUP(1167,'PEDIDO 56'!$C$2:$E$230,3,0),0)</f>
        <v>0</v>
      </c>
      <c r="F4503" s="1">
        <f>IFERROR(VLOOKUP(1168,'PEDIDO 56'!$C$2:$E$230,3,0),0)</f>
        <v>0</v>
      </c>
      <c r="G4503" s="18">
        <f t="shared" si="142"/>
        <v>0</v>
      </c>
    </row>
    <row r="4504" spans="1:7" ht="15.75" x14ac:dyDescent="0.25">
      <c r="A4504" s="15">
        <f>'PEDIDO 56'!$B$2</f>
        <v>0</v>
      </c>
      <c r="B4504" s="12" t="s">
        <v>446</v>
      </c>
      <c r="C4504" s="1">
        <f>IFERROR(VLOOKUP(1169,'PEDIDO 56'!$C$2:$E$230,3,0),0)</f>
        <v>0</v>
      </c>
      <c r="D4504" s="1">
        <f>IFERROR(VLOOKUP(1170,'PEDIDO 56'!$C$2:$E$230,3,0),0)</f>
        <v>0</v>
      </c>
      <c r="E4504" s="1">
        <f>IFERROR(VLOOKUP(1171,'PEDIDO 56'!$C$2:$E$230,3,0),0)</f>
        <v>0</v>
      </c>
      <c r="F4504" s="1">
        <f>IFERROR(VLOOKUP(1172,'PEDIDO 56'!$C$2:$E$230,3,0),0)</f>
        <v>0</v>
      </c>
      <c r="G4504" s="18">
        <f t="shared" si="142"/>
        <v>0</v>
      </c>
    </row>
    <row r="4505" spans="1:7" ht="15.75" x14ac:dyDescent="0.25">
      <c r="A4505" s="15">
        <f>'PEDIDO 56'!$B$2</f>
        <v>0</v>
      </c>
      <c r="B4505" s="12" t="s">
        <v>447</v>
      </c>
      <c r="C4505" s="1">
        <f>IFERROR(VLOOKUP(1173,'PEDIDO 56'!$C$2:$E$230,3,0),0)</f>
        <v>0</v>
      </c>
      <c r="D4505" s="1">
        <f>IFERROR(VLOOKUP(1174,'PEDIDO 56'!$C$2:$E$230,3,0),0)</f>
        <v>0</v>
      </c>
      <c r="E4505" s="1">
        <f>IFERROR(VLOOKUP(1175,'PEDIDO 56'!$C$2:$E$230,3,0),0)</f>
        <v>0</v>
      </c>
      <c r="F4505" s="1">
        <f>IFERROR(VLOOKUP(1176,'PEDIDO 56'!$C$2:$E$230,3,0),0)</f>
        <v>0</v>
      </c>
      <c r="G4505" s="18">
        <f t="shared" si="142"/>
        <v>0</v>
      </c>
    </row>
    <row r="4506" spans="1:7" ht="15.75" x14ac:dyDescent="0.25">
      <c r="A4506" s="15">
        <f>'PEDIDO 56'!$B$2</f>
        <v>0</v>
      </c>
      <c r="B4506" s="12" t="s">
        <v>448</v>
      </c>
      <c r="C4506" s="1">
        <f>IFERROR(VLOOKUP(1249,'PEDIDO 56'!$C$2:$E$230,3,0),0)</f>
        <v>0</v>
      </c>
      <c r="D4506" s="1">
        <f>IFERROR(VLOOKUP(1250,'PEDIDO 56'!$C$2:$E$230,3,0),0)</f>
        <v>0</v>
      </c>
      <c r="E4506" s="1">
        <f>IFERROR(VLOOKUP(1251,'PEDIDO 56'!$C$2:$E$230,3,0),0)</f>
        <v>0</v>
      </c>
      <c r="F4506" s="1">
        <f>IFERROR(VLOOKUP(1252,'PEDIDO 56'!$C$2:$E$230,3,0),0)</f>
        <v>0</v>
      </c>
      <c r="G4506" s="18">
        <f t="shared" si="142"/>
        <v>0</v>
      </c>
    </row>
    <row r="4507" spans="1:7" ht="15.75" x14ac:dyDescent="0.25">
      <c r="A4507" s="15">
        <f>'PEDIDO 56'!$B$2</f>
        <v>0</v>
      </c>
      <c r="B4507" s="12" t="s">
        <v>449</v>
      </c>
      <c r="C4507" s="1">
        <f>IFERROR(VLOOKUP(1177,'PEDIDO 56'!$C$2:$E$230,3,0),0)</f>
        <v>0</v>
      </c>
      <c r="D4507" s="1">
        <f>IFERROR(VLOOKUP(1178,'PEDIDO 56'!$C$2:$E$230,3,0),0)</f>
        <v>0</v>
      </c>
      <c r="E4507" s="1">
        <f>IFERROR(VLOOKUP(1179,'PEDIDO 56'!$C$2:$E$230,3,0),0)</f>
        <v>0</v>
      </c>
      <c r="F4507" s="1">
        <f>IFERROR(VLOOKUP(1180,'PEDIDO 56'!$C$2:$E$230,3,0),0)</f>
        <v>0</v>
      </c>
      <c r="G4507" s="18">
        <f t="shared" si="142"/>
        <v>0</v>
      </c>
    </row>
    <row r="4508" spans="1:7" ht="15.75" x14ac:dyDescent="0.25">
      <c r="A4508" s="15">
        <f>'PEDIDO 56'!$B$2</f>
        <v>0</v>
      </c>
      <c r="B4508" s="12" t="s">
        <v>450</v>
      </c>
      <c r="C4508" s="1">
        <f>IFERROR(VLOOKUP(1181,'PEDIDO 56'!$C$2:$E$230,3,0),0)</f>
        <v>0</v>
      </c>
      <c r="D4508" s="1">
        <f>IFERROR(VLOOKUP(1182,'PEDIDO 56'!$C$2:$E$230,3,0),0)</f>
        <v>0</v>
      </c>
      <c r="E4508" s="1">
        <f>IFERROR(VLOOKUP(1183,'PEDIDO 56'!$C$2:$E$230,3,0),0)</f>
        <v>0</v>
      </c>
      <c r="F4508" s="1">
        <f>IFERROR(VLOOKUP(1184,'PEDIDO 56'!$C$2:$E$230,3,0),0)</f>
        <v>0</v>
      </c>
      <c r="G4508" s="18">
        <f t="shared" si="142"/>
        <v>0</v>
      </c>
    </row>
    <row r="4509" spans="1:7" ht="15.75" x14ac:dyDescent="0.25">
      <c r="A4509" s="15">
        <f>'PEDIDO 56'!$B$2</f>
        <v>0</v>
      </c>
      <c r="B4509" s="12" t="s">
        <v>451</v>
      </c>
      <c r="C4509" s="1">
        <f>IFERROR(VLOOKUP(1185,'PEDIDO 56'!$C$2:$E$230,3,0),0)</f>
        <v>0</v>
      </c>
      <c r="D4509" s="1">
        <f>IFERROR(VLOOKUP(1186,'PEDIDO 56'!$C$2:$E$230,3,0),0)</f>
        <v>0</v>
      </c>
      <c r="E4509" s="1">
        <f>IFERROR(VLOOKUP(1187,'PEDIDO 56'!$C$2:$E$230,3,0),0)</f>
        <v>0</v>
      </c>
      <c r="F4509" s="1">
        <f>IFERROR(VLOOKUP(1188,'PEDIDO 56'!$C$2:$E$230,3,0),0)</f>
        <v>0</v>
      </c>
      <c r="G4509" s="18">
        <f t="shared" si="142"/>
        <v>0</v>
      </c>
    </row>
    <row r="4510" spans="1:7" ht="15.75" x14ac:dyDescent="0.25">
      <c r="A4510" s="15">
        <f>'PEDIDO 56'!$B$2</f>
        <v>0</v>
      </c>
      <c r="B4510" s="12" t="s">
        <v>452</v>
      </c>
      <c r="C4510" s="1">
        <f>IFERROR(VLOOKUP(1189,'PEDIDO 56'!$C$2:$E$230,3,0),0)</f>
        <v>0</v>
      </c>
      <c r="D4510" s="1">
        <f>IFERROR(VLOOKUP(1190,'PEDIDO 56'!$C$2:$E$230,3,0),0)</f>
        <v>0</v>
      </c>
      <c r="E4510" s="1">
        <f>IFERROR(VLOOKUP(1191,'PEDIDO 56'!$C$2:$E$230,3,0),0)</f>
        <v>0</v>
      </c>
      <c r="F4510" s="1">
        <f>IFERROR(VLOOKUP(1192,'PEDIDO 56'!$C$2:$E$230,3,0),0)</f>
        <v>0</v>
      </c>
      <c r="G4510" s="18">
        <f t="shared" si="142"/>
        <v>0</v>
      </c>
    </row>
    <row r="4511" spans="1:7" ht="15.75" x14ac:dyDescent="0.25">
      <c r="A4511" s="15">
        <f>'PEDIDO 56'!$B$2</f>
        <v>0</v>
      </c>
      <c r="B4511" s="12" t="s">
        <v>453</v>
      </c>
      <c r="C4511" s="1">
        <f>IFERROR(VLOOKUP(1193,'PEDIDO 56'!$C$2:$E$230,3,0),0)</f>
        <v>0</v>
      </c>
      <c r="D4511" s="1">
        <f>IFERROR(VLOOKUP(1194,'PEDIDO 56'!$C$2:$E$230,3,0),0)</f>
        <v>0</v>
      </c>
      <c r="E4511" s="1">
        <f>IFERROR(VLOOKUP(1195,'PEDIDO 56'!$C$2:$E$230,3,0),0)</f>
        <v>0</v>
      </c>
      <c r="F4511" s="1">
        <f>IFERROR(VLOOKUP(1196,'PEDIDO 56'!$C$2:$E$230,3,0),0)</f>
        <v>0</v>
      </c>
      <c r="G4511" s="18">
        <f t="shared" si="142"/>
        <v>0</v>
      </c>
    </row>
    <row r="4512" spans="1:7" ht="15.75" x14ac:dyDescent="0.25">
      <c r="A4512" s="15">
        <f>'PEDIDO 56'!$B$2</f>
        <v>0</v>
      </c>
      <c r="B4512" s="12" t="s">
        <v>454</v>
      </c>
      <c r="C4512" s="1">
        <f>IFERROR(VLOOKUP(1197,'PEDIDO 56'!$C$2:$E$230,3,0),0)</f>
        <v>0</v>
      </c>
      <c r="D4512" s="1">
        <f>IFERROR(VLOOKUP(1198,'PEDIDO 56'!$C$2:$E$230,3,0),0)</f>
        <v>0</v>
      </c>
      <c r="E4512" s="1">
        <f>IFERROR(VLOOKUP(1199,'PEDIDO 56'!$C$2:$E$230,3,0),0)</f>
        <v>0</v>
      </c>
      <c r="F4512" s="1">
        <f>IFERROR(VLOOKUP(1200,'PEDIDO 56'!$C$2:$E$230,3,0),0)</f>
        <v>0</v>
      </c>
      <c r="G4512" s="18">
        <f t="shared" si="142"/>
        <v>0</v>
      </c>
    </row>
    <row r="4513" spans="1:7" ht="15.75" x14ac:dyDescent="0.25">
      <c r="A4513" s="15">
        <f>'PEDIDO 56'!$B$2</f>
        <v>0</v>
      </c>
      <c r="B4513" s="12" t="s">
        <v>455</v>
      </c>
      <c r="C4513" s="1">
        <f>IFERROR(VLOOKUP(1201,'PEDIDO 56'!$C$2:$E$230,3,0),0)</f>
        <v>0</v>
      </c>
      <c r="D4513" s="1">
        <f>IFERROR(VLOOKUP(1202,'PEDIDO 56'!$C$2:$E$230,3,0),0)</f>
        <v>0</v>
      </c>
      <c r="E4513" s="1">
        <f>IFERROR(VLOOKUP(1203,'PEDIDO 56'!$C$2:$E$230,3,0),0)</f>
        <v>0</v>
      </c>
      <c r="F4513" s="1">
        <f>IFERROR(VLOOKUP(1204,'PEDIDO 56'!$C$2:$E$230,3,0),0)</f>
        <v>0</v>
      </c>
      <c r="G4513" s="18">
        <f t="shared" si="142"/>
        <v>0</v>
      </c>
    </row>
    <row r="4514" spans="1:7" ht="15.75" x14ac:dyDescent="0.25">
      <c r="A4514" s="15">
        <f>'PEDIDO 56'!$B$2</f>
        <v>0</v>
      </c>
      <c r="B4514" s="12" t="s">
        <v>456</v>
      </c>
      <c r="C4514" s="1">
        <f>IFERROR(VLOOKUP(1205,'PEDIDO 56'!$C$2:$E$230,3,0),0)</f>
        <v>0</v>
      </c>
      <c r="D4514" s="1">
        <f>IFERROR(VLOOKUP(1206,'PEDIDO 56'!$C$2:$E$230,3,0),0)</f>
        <v>0</v>
      </c>
      <c r="E4514" s="1">
        <f>IFERROR(VLOOKUP(1207,'PEDIDO 56'!$C$2:$E$230,3,0),0)</f>
        <v>0</v>
      </c>
      <c r="F4514" s="1">
        <f>IFERROR(VLOOKUP(1208,'PEDIDO 56'!$C$2:$E$230,3,0),0)</f>
        <v>0</v>
      </c>
      <c r="G4514" s="18">
        <f t="shared" si="142"/>
        <v>0</v>
      </c>
    </row>
    <row r="4515" spans="1:7" ht="15.75" x14ac:dyDescent="0.25">
      <c r="A4515" s="15">
        <f>'PEDIDO 56'!$B$2</f>
        <v>0</v>
      </c>
      <c r="B4515" s="12" t="s">
        <v>457</v>
      </c>
      <c r="C4515" s="1">
        <f>IFERROR(VLOOKUP(1213,'PEDIDO 56'!$C$2:$E$230,3,0),0)</f>
        <v>0</v>
      </c>
      <c r="D4515" s="1">
        <f>IFERROR(VLOOKUP(1214,'PEDIDO 56'!$C$2:$E$230,3,0),0)</f>
        <v>0</v>
      </c>
      <c r="E4515" s="1">
        <f>IFERROR(VLOOKUP(1215,'PEDIDO 56'!$C$2:$E$230,3,0),0)</f>
        <v>0</v>
      </c>
      <c r="F4515" s="10">
        <f>IFERROR(VLOOKUP(1216,'PEDIDO 56'!$C$2:$E$230,3,0),0)</f>
        <v>0</v>
      </c>
      <c r="G4515" s="18">
        <f t="shared" si="142"/>
        <v>0</v>
      </c>
    </row>
    <row r="4516" spans="1:7" ht="15.75" x14ac:dyDescent="0.25">
      <c r="A4516" s="15">
        <f>'PEDIDO 56'!$B$2</f>
        <v>0</v>
      </c>
      <c r="B4516" s="12" t="s">
        <v>458</v>
      </c>
      <c r="C4516" s="1">
        <f>IFERROR(VLOOKUP(1209,'PEDIDO 56'!$C$2:$E$230,3,0),0)</f>
        <v>0</v>
      </c>
      <c r="D4516" s="1">
        <f>IFERROR(VLOOKUP(1210,'PEDIDO 56'!$C$2:$E$230,3,0),0)</f>
        <v>0</v>
      </c>
      <c r="E4516" s="1">
        <f>IFERROR(VLOOKUP(1211,'PEDIDO 56'!$C$2:$E$230,3,0),0)</f>
        <v>0</v>
      </c>
      <c r="F4516" s="1">
        <f>IFERROR(VLOOKUP(1212,'PEDIDO 56'!$C$2:$E$230,3,0),0)</f>
        <v>0</v>
      </c>
      <c r="G4516" s="18">
        <f t="shared" si="142"/>
        <v>0</v>
      </c>
    </row>
    <row r="4517" spans="1:7" ht="15.75" x14ac:dyDescent="0.25">
      <c r="A4517" s="15">
        <f>'PEDIDO 56'!$B$2</f>
        <v>0</v>
      </c>
      <c r="B4517" s="12" t="s">
        <v>459</v>
      </c>
      <c r="C4517" s="1">
        <f>IFERROR(VLOOKUP(1217,'PEDIDO 56'!$C$2:$E$230,3,0),0)</f>
        <v>0</v>
      </c>
      <c r="D4517" s="1">
        <f>IFERROR(VLOOKUP(1218,'PEDIDO 56'!$C$2:$E$230,3,0),0)</f>
        <v>0</v>
      </c>
      <c r="E4517" s="1">
        <f>IFERROR(VLOOKUP(1219,'PEDIDO 56'!$C$2:$E$230,3,0),0)</f>
        <v>0</v>
      </c>
      <c r="F4517" s="1">
        <f>IFERROR(VLOOKUP(1220,'PEDIDO 56'!$C$2:$E$230,3,0),0)</f>
        <v>0</v>
      </c>
      <c r="G4517" s="18">
        <f t="shared" si="142"/>
        <v>0</v>
      </c>
    </row>
    <row r="4518" spans="1:7" ht="15.75" x14ac:dyDescent="0.25">
      <c r="A4518" s="15">
        <f>'PEDIDO 56'!$B$2</f>
        <v>0</v>
      </c>
      <c r="B4518" s="12" t="s">
        <v>461</v>
      </c>
      <c r="C4518" s="1">
        <f>IFERROR(VLOOKUP(1225,'PEDIDO 56'!$C$2:$E$230,3,0),0)</f>
        <v>0</v>
      </c>
      <c r="D4518" s="1">
        <f>IFERROR(VLOOKUP(1226,'PEDIDO 56'!$C$2:$E$230,3,0),0)</f>
        <v>0</v>
      </c>
      <c r="E4518" s="1">
        <f>IFERROR(VLOOKUP(1227,'PEDIDO 56'!$C$2:$E$230,3,0),0)</f>
        <v>0</v>
      </c>
      <c r="F4518" s="1">
        <f>IFERROR(VLOOKUP(1228,'PEDIDO 56'!$C$2:$E$230,3,0),0)</f>
        <v>0</v>
      </c>
      <c r="G4518" s="18">
        <f t="shared" si="142"/>
        <v>0</v>
      </c>
    </row>
    <row r="4519" spans="1:7" ht="15.75" x14ac:dyDescent="0.25">
      <c r="A4519" s="15">
        <f>'PEDIDO 56'!$B$2</f>
        <v>0</v>
      </c>
      <c r="B4519" s="12" t="s">
        <v>462</v>
      </c>
      <c r="C4519" s="1">
        <f>IFERROR(VLOOKUP(1221,'PEDIDO 56'!$C$2:$E$230,3,0),0)</f>
        <v>0</v>
      </c>
      <c r="D4519" s="1">
        <f>IFERROR(VLOOKUP(1222,'PEDIDO 56'!$C$2:$E$230,3,0),0)</f>
        <v>0</v>
      </c>
      <c r="E4519" s="1">
        <f>IFERROR(VLOOKUP(1223,'PEDIDO 56'!$C$2:$E$230,3,0),0)</f>
        <v>0</v>
      </c>
      <c r="F4519" s="1">
        <f>IFERROR(VLOOKUP(1224,'PEDIDO 56'!$C$2:$E$230,3,0),0)</f>
        <v>0</v>
      </c>
      <c r="G4519" s="18">
        <f t="shared" si="142"/>
        <v>0</v>
      </c>
    </row>
    <row r="4520" spans="1:7" ht="15.75" x14ac:dyDescent="0.25">
      <c r="A4520" s="15">
        <f>'PEDIDO 56'!$B$2</f>
        <v>0</v>
      </c>
      <c r="B4520" s="12" t="s">
        <v>460</v>
      </c>
      <c r="C4520" s="1">
        <f>IFERROR(VLOOKUP(1229,'PEDIDO 56'!$C$2:$E$230,3,0),0)</f>
        <v>0</v>
      </c>
      <c r="D4520" s="1">
        <f>IFERROR(VLOOKUP(1230,'PEDIDO 56'!$C$2:$E$230,3,0),0)</f>
        <v>0</v>
      </c>
      <c r="E4520" s="1">
        <f>IFERROR(VLOOKUP(1231,'PEDIDO 56'!$C$2:$E$230,3,0),0)</f>
        <v>0</v>
      </c>
      <c r="F4520" s="1">
        <f>IFERROR(VLOOKUP(1232,'PEDIDO 56'!$C$2:$E$230,3,0),0)</f>
        <v>0</v>
      </c>
      <c r="G4520" s="18">
        <f t="shared" si="142"/>
        <v>0</v>
      </c>
    </row>
    <row r="4521" spans="1:7" ht="15.75" x14ac:dyDescent="0.25">
      <c r="A4521" s="15">
        <f>'PEDIDO 56'!$B$2</f>
        <v>0</v>
      </c>
      <c r="B4521" s="12" t="s">
        <v>463</v>
      </c>
      <c r="C4521" s="1">
        <f>IFERROR(VLOOKUP(1233,'PEDIDO 56'!$C$2:$E$230,3,0),0)</f>
        <v>0</v>
      </c>
      <c r="D4521" s="1">
        <f>IFERROR(VLOOKUP(1234,'PEDIDO 56'!$C$2:$E$230,3,0),0)</f>
        <v>0</v>
      </c>
      <c r="E4521" s="1">
        <f>IFERROR(VLOOKUP(1235,'PEDIDO 56'!$C$2:$E$230,3,0),0)</f>
        <v>0</v>
      </c>
      <c r="F4521" s="1">
        <f>IFERROR(VLOOKUP(1236,'PEDIDO 56'!$C$2:$E$230,3,0),0)</f>
        <v>0</v>
      </c>
      <c r="G4521" s="18">
        <f t="shared" ref="G4521:G4534" si="143">SUM(C4521+D4521+E4521+F4521)</f>
        <v>0</v>
      </c>
    </row>
    <row r="4522" spans="1:7" ht="15.75" x14ac:dyDescent="0.25">
      <c r="A4522" s="15">
        <f>'PEDIDO 56'!$B$2</f>
        <v>0</v>
      </c>
      <c r="B4522" s="12" t="s">
        <v>464</v>
      </c>
      <c r="C4522" s="1">
        <f>IFERROR(VLOOKUP(1237,'PEDIDO 56'!$C$2:$E$230,3,0),0)</f>
        <v>0</v>
      </c>
      <c r="D4522" s="1">
        <f>IFERROR(VLOOKUP(1238,'PEDIDO 56'!$C$2:$E$230,3,0),0)</f>
        <v>0</v>
      </c>
      <c r="E4522" s="1">
        <f>IFERROR(VLOOKUP(1239,'PEDIDO 56'!$C$2:$E$230,3,0),0)</f>
        <v>0</v>
      </c>
      <c r="F4522" s="1">
        <f>IFERROR(VLOOKUP(1240,'PEDIDO 56'!$C$2:$E$230,3,0),0)</f>
        <v>0</v>
      </c>
      <c r="G4522" s="18">
        <f t="shared" si="143"/>
        <v>0</v>
      </c>
    </row>
    <row r="4523" spans="1:7" ht="15.75" x14ac:dyDescent="0.25">
      <c r="A4523" s="15">
        <f>'PEDIDO 56'!$B$2</f>
        <v>0</v>
      </c>
      <c r="B4523" s="12" t="s">
        <v>465</v>
      </c>
      <c r="C4523" s="1">
        <f>IFERROR(VLOOKUP(1241,'PEDIDO 56'!$C$2:$E$230,3,0),0)</f>
        <v>0</v>
      </c>
      <c r="D4523" s="1">
        <f>IFERROR(VLOOKUP(1242,'PEDIDO 56'!$C$2:$E$230,3,0),0)</f>
        <v>0</v>
      </c>
      <c r="E4523" s="1">
        <f>IFERROR(VLOOKUP(1243,'PEDIDO 56'!$C$2:$E$230,3,0),0)</f>
        <v>0</v>
      </c>
      <c r="F4523" s="1">
        <f>IFERROR(VLOOKUP(1244,'PEDIDO 56'!$C$2:$E$230,3,0),0)</f>
        <v>0</v>
      </c>
      <c r="G4523" s="18">
        <f t="shared" si="143"/>
        <v>0</v>
      </c>
    </row>
    <row r="4524" spans="1:7" ht="15.75" x14ac:dyDescent="0.25">
      <c r="A4524" s="15">
        <f>'PEDIDO 56'!$B$2</f>
        <v>0</v>
      </c>
      <c r="B4524" s="12" t="s">
        <v>466</v>
      </c>
      <c r="C4524" s="1">
        <f>IFERROR(VLOOKUP(1245,'PEDIDO 56'!$C$2:$E$230,3,0),0)</f>
        <v>0</v>
      </c>
      <c r="D4524" s="1">
        <f>IFERROR(VLOOKUP(1246,'PEDIDO 56'!$C$2:$E$230,3,0),0)</f>
        <v>0</v>
      </c>
      <c r="E4524" s="1">
        <f>IFERROR(VLOOKUP(1247,'PEDIDO 56'!$C$2:$E$230,3,0),0)</f>
        <v>0</v>
      </c>
      <c r="F4524" s="1">
        <f>IFERROR(VLOOKUP(1248,'PEDIDO 56'!$C$2:$E$230,3,0),0)</f>
        <v>0</v>
      </c>
      <c r="G4524" s="18">
        <f t="shared" si="143"/>
        <v>0</v>
      </c>
    </row>
    <row r="4525" spans="1:7" ht="15.75" x14ac:dyDescent="0.25">
      <c r="A4525" s="15">
        <f>'PEDIDO 56'!$B$2</f>
        <v>0</v>
      </c>
      <c r="B4525" s="12" t="s">
        <v>467</v>
      </c>
      <c r="C4525" s="1">
        <f>IFERROR(VLOOKUP(25714,'PEDIDO 56'!$C$2:$E$230,3,0),0)</f>
        <v>0</v>
      </c>
      <c r="D4525" s="1"/>
      <c r="E4525" s="1"/>
      <c r="F4525" s="1"/>
      <c r="G4525" s="18">
        <f t="shared" si="143"/>
        <v>0</v>
      </c>
    </row>
    <row r="4526" spans="1:7" ht="15.75" x14ac:dyDescent="0.25">
      <c r="A4526" s="15">
        <f>'PEDIDO 56'!$B$2</f>
        <v>0</v>
      </c>
      <c r="B4526" s="12" t="s">
        <v>468</v>
      </c>
      <c r="C4526" s="1">
        <f>IFERROR(VLOOKUP(25712,'PEDIDO 56'!$C$2:$E$230,3,0),0)</f>
        <v>0</v>
      </c>
      <c r="D4526" s="1"/>
      <c r="E4526" s="1"/>
      <c r="F4526" s="1"/>
      <c r="G4526" s="18">
        <f t="shared" si="143"/>
        <v>0</v>
      </c>
    </row>
    <row r="4527" spans="1:7" ht="15.75" x14ac:dyDescent="0.25">
      <c r="A4527" s="15">
        <f>'PEDIDO 56'!$B$2</f>
        <v>0</v>
      </c>
      <c r="B4527" s="12" t="s">
        <v>469</v>
      </c>
      <c r="C4527" s="1">
        <f>IFERROR(VLOOKUP(25713,'PEDIDO 56'!$C$2:$E$230,3,0),0)</f>
        <v>0</v>
      </c>
      <c r="D4527" s="1"/>
      <c r="E4527" s="1"/>
      <c r="F4527" s="1"/>
      <c r="G4527" s="18">
        <f t="shared" si="143"/>
        <v>0</v>
      </c>
    </row>
    <row r="4528" spans="1:7" ht="15.75" x14ac:dyDescent="0.25">
      <c r="A4528" s="15">
        <f>'PEDIDO 56'!$B$2</f>
        <v>0</v>
      </c>
      <c r="B4528" s="12" t="s">
        <v>470</v>
      </c>
      <c r="C4528" s="1">
        <f>IFERROR(VLOOKUP(1260,'PEDIDO 56'!$C$2:$E$230,3,0),0)</f>
        <v>0</v>
      </c>
      <c r="D4528" s="1"/>
      <c r="E4528" s="1"/>
      <c r="F4528" s="1"/>
      <c r="G4528" s="18">
        <f t="shared" si="143"/>
        <v>0</v>
      </c>
    </row>
    <row r="4529" spans="1:7" ht="15.75" x14ac:dyDescent="0.25">
      <c r="A4529" s="15">
        <f>'PEDIDO 56'!$B$2</f>
        <v>0</v>
      </c>
      <c r="B4529" s="12" t="s">
        <v>471</v>
      </c>
      <c r="C4529" s="1">
        <f>IFERROR(VLOOKUP(1261,'PEDIDO 56'!$C$2:$E$230,3,0),0)</f>
        <v>0</v>
      </c>
      <c r="D4529" s="1"/>
      <c r="E4529" s="1"/>
      <c r="F4529" s="1"/>
      <c r="G4529" s="18">
        <f t="shared" si="143"/>
        <v>0</v>
      </c>
    </row>
    <row r="4530" spans="1:7" ht="15.75" x14ac:dyDescent="0.25">
      <c r="A4530" s="15">
        <f>'PEDIDO 56'!$B$2</f>
        <v>0</v>
      </c>
      <c r="B4530" s="12" t="s">
        <v>472</v>
      </c>
      <c r="C4530" s="1">
        <f>IFERROR(VLOOKUP(1262,'PEDIDO 56'!$C$2:$E$230,3,0),0)</f>
        <v>0</v>
      </c>
      <c r="D4530" s="1"/>
      <c r="E4530" s="1"/>
      <c r="F4530" s="1"/>
      <c r="G4530" s="18">
        <f t="shared" si="143"/>
        <v>0</v>
      </c>
    </row>
    <row r="4531" spans="1:7" ht="15.75" x14ac:dyDescent="0.25">
      <c r="A4531" s="15">
        <f>'PEDIDO 56'!$B$2</f>
        <v>0</v>
      </c>
      <c r="B4531" s="12" t="s">
        <v>473</v>
      </c>
      <c r="C4531" s="1">
        <f>IFERROR(VLOOKUP(1263,'PEDIDO 56'!$C$2:$E$230,3,0),0)</f>
        <v>0</v>
      </c>
      <c r="D4531" s="1"/>
      <c r="E4531" s="1"/>
      <c r="F4531" s="1"/>
      <c r="G4531" s="18">
        <f t="shared" si="143"/>
        <v>0</v>
      </c>
    </row>
    <row r="4532" spans="1:7" ht="15.75" x14ac:dyDescent="0.25">
      <c r="A4532" s="15">
        <f>'PEDIDO 56'!$B$2</f>
        <v>0</v>
      </c>
      <c r="B4532" s="12" t="s">
        <v>474</v>
      </c>
      <c r="C4532" s="1">
        <f>IFERROR(VLOOKUP(1264,'PEDIDO 56'!$C$2:$E$230,3,0),0)</f>
        <v>0</v>
      </c>
      <c r="D4532" s="1"/>
      <c r="E4532" s="1"/>
      <c r="F4532" s="1"/>
      <c r="G4532" s="18">
        <f t="shared" si="143"/>
        <v>0</v>
      </c>
    </row>
    <row r="4533" spans="1:7" ht="15.75" x14ac:dyDescent="0.25">
      <c r="A4533" s="15">
        <f>'PEDIDO 56'!$B$2</f>
        <v>0</v>
      </c>
      <c r="B4533" s="12" t="s">
        <v>475</v>
      </c>
      <c r="C4533" s="1">
        <f>IFERROR(VLOOKUP(1265,'PEDIDO 56'!$C$2:$E$230,3,0),0)</f>
        <v>0</v>
      </c>
      <c r="D4533" s="1"/>
      <c r="E4533" s="1"/>
      <c r="F4533" s="1"/>
      <c r="G4533" s="18">
        <f t="shared" si="143"/>
        <v>0</v>
      </c>
    </row>
    <row r="4534" spans="1:7" ht="15.75" x14ac:dyDescent="0.25">
      <c r="A4534" s="15">
        <f>'PEDIDO 56'!$B$2</f>
        <v>0</v>
      </c>
      <c r="B4534" s="12" t="s">
        <v>476</v>
      </c>
      <c r="C4534" s="1">
        <f>IFERROR(VLOOKUP(1266,'PEDIDO 56'!$C$2:$E$230,3,0),0)</f>
        <v>0</v>
      </c>
      <c r="D4534" s="1"/>
      <c r="E4534" s="1"/>
      <c r="F4534" s="1"/>
      <c r="G4534" s="18">
        <f t="shared" si="143"/>
        <v>0</v>
      </c>
    </row>
    <row r="4535" spans="1:7" ht="15.75" x14ac:dyDescent="0.25">
      <c r="A4535" s="15">
        <f>'PEDIDO 56'!$B$2</f>
        <v>0</v>
      </c>
      <c r="B4535" s="12" t="s">
        <v>477</v>
      </c>
      <c r="C4535" s="1">
        <f>IFERROR(VLOOKUP(1268,'PEDIDO 56'!$C$2:$E$230,3,0),0)</f>
        <v>0</v>
      </c>
      <c r="D4535" s="1">
        <f>IFERROR(VLOOKUP(1269,'PEDIDO 56'!$C$2:$E$230,3,0),0)</f>
        <v>0</v>
      </c>
      <c r="E4535" s="1">
        <f>IFERROR(VLOOKUP(1270,'PEDIDO 56'!$C$2:$E$230,3,0),0)</f>
        <v>0</v>
      </c>
      <c r="F4535" s="1">
        <f>IFERROR(VLOOKUP(1271,'PEDIDO 56'!$C$2:$E$230,3,0),0)</f>
        <v>0</v>
      </c>
      <c r="G4535" s="18">
        <f t="shared" ref="G4535" si="144">SUM(C4535+D4535+E4535+F4535)</f>
        <v>0</v>
      </c>
    </row>
    <row r="4538" spans="1:7" ht="15.75" x14ac:dyDescent="0.25">
      <c r="A4538" s="15">
        <f>'PEDIDO 57'!$B$2</f>
        <v>0</v>
      </c>
      <c r="B4538" s="12" t="s">
        <v>399</v>
      </c>
      <c r="C4538" s="1">
        <f>IFERROR(VLOOKUP(1,'PEDIDO 57'!$C$2:$E$230,3,0),0)</f>
        <v>0</v>
      </c>
      <c r="D4538" s="1">
        <f>IFERROR(VLOOKUP(2,'PEDIDO 57'!$C$2:$E$230,3,0),0)</f>
        <v>0</v>
      </c>
      <c r="E4538" s="1">
        <f>IFERROR(VLOOKUP(3,'PEDIDO 57'!$C$2:$E$230,3,0),0)</f>
        <v>0</v>
      </c>
      <c r="F4538" s="1">
        <f>IFERROR(VLOOKUP(282,'PEDIDO 57'!$C$2:$E$230,3,0),0)</f>
        <v>0</v>
      </c>
      <c r="G4538" s="18">
        <f t="shared" ref="G4538:G4601" si="145">SUM(C4538+D4538+E4538+F4538)</f>
        <v>0</v>
      </c>
    </row>
    <row r="4539" spans="1:7" ht="15.75" x14ac:dyDescent="0.25">
      <c r="A4539" s="15">
        <f>'PEDIDO 57'!$B$2</f>
        <v>0</v>
      </c>
      <c r="B4539" s="12" t="s">
        <v>400</v>
      </c>
      <c r="C4539" s="1">
        <f>IFERROR(VLOOKUP(5,'PEDIDO 57'!$C$2:$E$230,3,0),0)</f>
        <v>0</v>
      </c>
      <c r="D4539" s="1">
        <f>IFERROR(VLOOKUP(6,'PEDIDO 57'!$C$2:$E$230,3,0),0)</f>
        <v>0</v>
      </c>
      <c r="E4539" s="1">
        <f>IFERROR(VLOOKUP(7,'PEDIDO 57'!$C$2:$E$230,3,0),0)</f>
        <v>0</v>
      </c>
      <c r="F4539" s="1">
        <f>IFERROR(VLOOKUP(258,'PEDIDO 57'!$C$2:$E$230,3,0),0)</f>
        <v>0</v>
      </c>
      <c r="G4539" s="18">
        <f t="shared" si="145"/>
        <v>0</v>
      </c>
    </row>
    <row r="4540" spans="1:7" ht="15.75" x14ac:dyDescent="0.25">
      <c r="A4540" s="15">
        <f>'PEDIDO 57'!$B$2</f>
        <v>0</v>
      </c>
      <c r="B4540" s="12" t="s">
        <v>401</v>
      </c>
      <c r="C4540" s="1">
        <f>IFERROR(VLOOKUP(13,'PEDIDO 57'!$C$2:$E$230,3,0),0)</f>
        <v>0</v>
      </c>
      <c r="D4540" s="1">
        <f>IFERROR(VLOOKUP(14,'PEDIDO 57'!$C$2:$E$230,3,0),0)</f>
        <v>0</v>
      </c>
      <c r="E4540" s="1">
        <f>IFERROR(VLOOKUP(15,'PEDIDO 57'!$C$2:$E$230,3,0),0)</f>
        <v>0</v>
      </c>
      <c r="F4540" s="1">
        <f>IFERROR(VLOOKUP(289,'PEDIDO 57'!$C$2:$E$230,3,0),0)</f>
        <v>0</v>
      </c>
      <c r="G4540" s="18">
        <f t="shared" si="145"/>
        <v>0</v>
      </c>
    </row>
    <row r="4541" spans="1:7" ht="15.75" x14ac:dyDescent="0.25">
      <c r="A4541" s="15">
        <f>'PEDIDO 57'!$B$2</f>
        <v>0</v>
      </c>
      <c r="B4541" s="12" t="s">
        <v>402</v>
      </c>
      <c r="C4541" s="1">
        <f>IFERROR(VLOOKUP(267,'PEDIDO 57'!$C$2:$E$230,3,0),0)</f>
        <v>0</v>
      </c>
      <c r="D4541" s="1">
        <f>IFERROR(VLOOKUP(268,'PEDIDO 57'!$C$2:$E$230,3,0),0)</f>
        <v>0</v>
      </c>
      <c r="E4541" s="1">
        <f>IFERROR(VLOOKUP(270,'PEDIDO 57'!$C$2:$E$230,3,0),0)</f>
        <v>0</v>
      </c>
      <c r="F4541" s="1">
        <f>IFERROR(VLOOKUP(269,'PEDIDO 57'!$C$2:$E$230,3,0),0)</f>
        <v>0</v>
      </c>
      <c r="G4541" s="18">
        <f t="shared" si="145"/>
        <v>0</v>
      </c>
    </row>
    <row r="4542" spans="1:7" ht="15.75" x14ac:dyDescent="0.25">
      <c r="A4542" s="15">
        <f>'PEDIDO 57'!$B$2</f>
        <v>0</v>
      </c>
      <c r="B4542" s="12" t="s">
        <v>403</v>
      </c>
      <c r="C4542" s="1">
        <f>IFERROR(VLOOKUP(17,'PEDIDO 57'!$C$2:$E$230,3,0),0)</f>
        <v>0</v>
      </c>
      <c r="D4542" s="1">
        <f>IFERROR(VLOOKUP(18,'PEDIDO 57'!$C$2:$E$230,3,0),0)</f>
        <v>0</v>
      </c>
      <c r="E4542" s="1">
        <f>IFERROR(VLOOKUP(19,'PEDIDO 57'!$C$2:$E$230,3,0),0)</f>
        <v>0</v>
      </c>
      <c r="F4542" s="1">
        <f>IFERROR(VLOOKUP(290,'PEDIDO 57'!$C$2:$E$230,3,0),0)</f>
        <v>0</v>
      </c>
      <c r="G4542" s="18">
        <f t="shared" si="145"/>
        <v>0</v>
      </c>
    </row>
    <row r="4543" spans="1:7" ht="15.75" x14ac:dyDescent="0.25">
      <c r="A4543" s="15">
        <f>'PEDIDO 57'!$B$2</f>
        <v>0</v>
      </c>
      <c r="B4543" s="12" t="s">
        <v>404</v>
      </c>
      <c r="C4543" s="1">
        <f>IFERROR(VLOOKUP(23,'PEDIDO 57'!$C$2:$E$230,3,0),0)</f>
        <v>0</v>
      </c>
      <c r="D4543" s="1">
        <f>IFERROR(VLOOKUP(24,'PEDIDO 57'!$C$2:$E$230,3,0),0)</f>
        <v>0</v>
      </c>
      <c r="E4543" s="1">
        <f>IFERROR(VLOOKUP(25,'PEDIDO 57'!$C$2:$E$230,3,0),0)</f>
        <v>0</v>
      </c>
      <c r="F4543" s="1">
        <f>IFERROR(VLOOKUP(291,'PEDIDO 57'!$C$2:$E$230,3,0),0)</f>
        <v>0</v>
      </c>
      <c r="G4543" s="18">
        <f t="shared" si="145"/>
        <v>0</v>
      </c>
    </row>
    <row r="4544" spans="1:7" ht="15.75" x14ac:dyDescent="0.25">
      <c r="A4544" s="15">
        <f>'PEDIDO 57'!$B$2</f>
        <v>0</v>
      </c>
      <c r="B4544" s="12" t="s">
        <v>405</v>
      </c>
      <c r="C4544" s="1">
        <f>IFERROR(VLOOKUP(27,'PEDIDO 57'!$C$2:$E$230,3,0),0)</f>
        <v>0</v>
      </c>
      <c r="D4544" s="1">
        <f>IFERROR(VLOOKUP(28,'PEDIDO 57'!$C$2:$E$230,3,0),0)</f>
        <v>0</v>
      </c>
      <c r="E4544" s="1">
        <f>IFERROR(VLOOKUP(29,'PEDIDO 57'!$C$2:$E$230,3,0),0)</f>
        <v>0</v>
      </c>
      <c r="F4544" s="1">
        <f>IFERROR(VLOOKUP(292,'PEDIDO 57'!$C$2:$E$230,3,0),0)</f>
        <v>0</v>
      </c>
      <c r="G4544" s="18">
        <f t="shared" si="145"/>
        <v>0</v>
      </c>
    </row>
    <row r="4545" spans="1:7" ht="15.75" x14ac:dyDescent="0.25">
      <c r="A4545" s="15">
        <f>'PEDIDO 57'!$B$2</f>
        <v>0</v>
      </c>
      <c r="B4545" s="12" t="s">
        <v>406</v>
      </c>
      <c r="C4545" s="1">
        <f>IFERROR(VLOOKUP(227,'PEDIDO 57'!$C$2:$E$230,3,0),0)</f>
        <v>0</v>
      </c>
      <c r="D4545" s="1">
        <f>IFERROR(VLOOKUP(228,'PEDIDO 57'!$C$2:$E$230,3,0),0)</f>
        <v>0</v>
      </c>
      <c r="E4545" s="1">
        <f>IFERROR(VLOOKUP(229,'PEDIDO 57'!$C$2:$E$230,3,0),0)</f>
        <v>0</v>
      </c>
      <c r="F4545" s="1">
        <f>IFERROR(VLOOKUP(230,'PEDIDO 57'!$C$2:$E$230,3,0),0)</f>
        <v>0</v>
      </c>
      <c r="G4545" s="18">
        <f t="shared" si="145"/>
        <v>0</v>
      </c>
    </row>
    <row r="4546" spans="1:7" ht="15.75" x14ac:dyDescent="0.25">
      <c r="A4546" s="15">
        <f>'PEDIDO 57'!$B$2</f>
        <v>0</v>
      </c>
      <c r="B4546" s="12" t="s">
        <v>407</v>
      </c>
      <c r="C4546" s="1">
        <f>IFERROR(VLOOKUP(231,'PEDIDO 57'!$C$2:$E$230,3,0),0)</f>
        <v>0</v>
      </c>
      <c r="D4546" s="1">
        <f>IFERROR(VLOOKUP(232,'PEDIDO 57'!$C$2:$E$230,3,0),0)</f>
        <v>0</v>
      </c>
      <c r="E4546" s="1">
        <f>IFERROR(VLOOKUP(234,'PEDIDO 57'!$C$2:$E$230,3,0),0)</f>
        <v>0</v>
      </c>
      <c r="F4546" s="1">
        <f>IFERROR(VLOOKUP(233,'PEDIDO 57'!$C$2:$E$230,3,0),0)</f>
        <v>0</v>
      </c>
      <c r="G4546" s="18">
        <f t="shared" si="145"/>
        <v>0</v>
      </c>
    </row>
    <row r="4547" spans="1:7" ht="15.75" x14ac:dyDescent="0.25">
      <c r="A4547" s="15">
        <f>'PEDIDO 57'!$B$2</f>
        <v>0</v>
      </c>
      <c r="B4547" s="12" t="s">
        <v>408</v>
      </c>
      <c r="C4547" s="1">
        <f>IFERROR(VLOOKUP(237,'PEDIDO 57'!$C$2:$E$230,3,0),0)</f>
        <v>0</v>
      </c>
      <c r="D4547" s="1">
        <f>IFERROR(VLOOKUP(238,'PEDIDO 57'!$C$2:$E$230,3,0),0)</f>
        <v>0</v>
      </c>
      <c r="E4547" s="1">
        <f>IFERROR(VLOOKUP(240,'PEDIDO 57'!$C$2:$E$230,3,0),0)</f>
        <v>0</v>
      </c>
      <c r="F4547" s="1">
        <f>IFERROR(VLOOKUP(239,'PEDIDO 57'!$C$2:$E$230,3,0),0)</f>
        <v>0</v>
      </c>
      <c r="G4547" s="18">
        <f t="shared" si="145"/>
        <v>0</v>
      </c>
    </row>
    <row r="4548" spans="1:7" ht="15.75" x14ac:dyDescent="0.25">
      <c r="A4548" s="15">
        <f>'PEDIDO 57'!$B$2</f>
        <v>0</v>
      </c>
      <c r="B4548" s="12" t="s">
        <v>409</v>
      </c>
      <c r="C4548" s="1">
        <f>IFERROR(VLOOKUP(25707,'PEDIDO 57'!$C$2:$E$230,3,0),0)</f>
        <v>0</v>
      </c>
      <c r="D4548" s="1">
        <f>IFERROR(VLOOKUP(25708,'PEDIDO 57'!$C$2:$E$230,3,0),0)</f>
        <v>0</v>
      </c>
      <c r="E4548" s="1">
        <f>IFERROR(VLOOKUP(25710,'PEDIDO 57'!$C$2:$E$230,3,0),0)</f>
        <v>0</v>
      </c>
      <c r="F4548" s="1">
        <f>IFERROR(VLOOKUP(25709,'PEDIDO 57'!$C$2:$E$230,3,0),0)</f>
        <v>0</v>
      </c>
      <c r="G4548" s="18">
        <f t="shared" si="145"/>
        <v>0</v>
      </c>
    </row>
    <row r="4549" spans="1:7" ht="15.75" x14ac:dyDescent="0.25">
      <c r="A4549" s="15">
        <f>'PEDIDO 57'!$B$2</f>
        <v>0</v>
      </c>
      <c r="B4549" s="12" t="s">
        <v>410</v>
      </c>
      <c r="C4549" s="1">
        <f>IFERROR(VLOOKUP(25711,'PEDIDO 57'!$C$2:$E$230,3,0),0)</f>
        <v>0</v>
      </c>
      <c r="D4549" s="1"/>
      <c r="E4549" s="1"/>
      <c r="F4549" s="1"/>
      <c r="G4549" s="18">
        <f t="shared" si="145"/>
        <v>0</v>
      </c>
    </row>
    <row r="4550" spans="1:7" ht="15.75" x14ac:dyDescent="0.25">
      <c r="A4550" s="15">
        <f>'PEDIDO 57'!$B$2</f>
        <v>0</v>
      </c>
      <c r="B4550" s="12" t="s">
        <v>411</v>
      </c>
      <c r="C4550" s="1">
        <f>IFERROR(VLOOKUP(35,'PEDIDO 57'!$C$2:$E$230,3,0),0)</f>
        <v>0</v>
      </c>
      <c r="D4550" s="1">
        <f>IFERROR(VLOOKUP(36,'PEDIDO 57'!$C$2:$E$230,3,0),0)</f>
        <v>0</v>
      </c>
      <c r="E4550" s="1">
        <f>IFERROR(VLOOKUP(37,'PEDIDO 57'!$C$2:$E$230,3,0),0)</f>
        <v>0</v>
      </c>
      <c r="F4550" s="1">
        <f>IFERROR(VLOOKUP(294,'PEDIDO 57'!$C$2:$E$230,3,0),0)</f>
        <v>0</v>
      </c>
      <c r="G4550" s="18">
        <f t="shared" si="145"/>
        <v>0</v>
      </c>
    </row>
    <row r="4551" spans="1:7" ht="15.75" x14ac:dyDescent="0.25">
      <c r="A4551" s="15">
        <f>'PEDIDO 57'!$B$2</f>
        <v>0</v>
      </c>
      <c r="B4551" s="12" t="s">
        <v>412</v>
      </c>
      <c r="C4551" s="1">
        <f>IFERROR(VLOOKUP(39,'PEDIDO 57'!$C$2:$E$230,3,0),0)</f>
        <v>0</v>
      </c>
      <c r="D4551" s="1">
        <f>IFERROR(VLOOKUP(40,'PEDIDO 57'!$C$2:$E$230,3,0),0)</f>
        <v>0</v>
      </c>
      <c r="E4551" s="1">
        <f>IFERROR(VLOOKUP(42,'PEDIDO 57'!$C$2:$E$230,3,0),0)</f>
        <v>0</v>
      </c>
      <c r="F4551" s="1">
        <f>IFERROR(VLOOKUP(295,'PEDIDO 57'!$C$2:$E$230,3,0),0)</f>
        <v>0</v>
      </c>
      <c r="G4551" s="18">
        <f t="shared" si="145"/>
        <v>0</v>
      </c>
    </row>
    <row r="4552" spans="1:7" ht="15.75" x14ac:dyDescent="0.25">
      <c r="A4552" s="15">
        <f>'PEDIDO 57'!$B$2</f>
        <v>0</v>
      </c>
      <c r="B4552" s="12" t="s">
        <v>413</v>
      </c>
      <c r="C4552" s="1">
        <f>IFERROR(VLOOKUP(44,'PEDIDO 57'!$C$2:$E$230,3,0),0)</f>
        <v>0</v>
      </c>
      <c r="D4552" s="1">
        <f>IFERROR(VLOOKUP(45,'PEDIDO 57'!$C$2:$E$230,3,0),0)</f>
        <v>0</v>
      </c>
      <c r="E4552" s="1">
        <f>IFERROR(VLOOKUP(46,'PEDIDO 57'!$C$2:$E$230,3,0),0)</f>
        <v>0</v>
      </c>
      <c r="F4552" s="1">
        <f>IFERROR(VLOOKUP(283,'PEDIDO 57'!$C$2:$E$230,3,0),0)</f>
        <v>0</v>
      </c>
      <c r="G4552" s="18">
        <f t="shared" si="145"/>
        <v>0</v>
      </c>
    </row>
    <row r="4553" spans="1:7" ht="15.75" x14ac:dyDescent="0.25">
      <c r="A4553" s="15">
        <f>'PEDIDO 57'!$B$2</f>
        <v>0</v>
      </c>
      <c r="B4553" s="12" t="s">
        <v>414</v>
      </c>
      <c r="C4553" s="1">
        <f>IFERROR(VLOOKUP(48,'PEDIDO 57'!$C$2:$E$230,3,0),0)</f>
        <v>0</v>
      </c>
      <c r="D4553" s="1">
        <f>IFERROR(VLOOKUP(49,'PEDIDO 57'!$C$2:$E$230,3,0),0)</f>
        <v>0</v>
      </c>
      <c r="E4553" s="1">
        <f>IFERROR(VLOOKUP(50,'PEDIDO 57'!$C$2:$E$230,3,0),0)</f>
        <v>0</v>
      </c>
      <c r="F4553" s="1">
        <f>IFERROR(VLOOKUP(298,'PEDIDO 57'!$C$2:$E$230,3,0),0)</f>
        <v>0</v>
      </c>
      <c r="G4553" s="18">
        <f t="shared" si="145"/>
        <v>0</v>
      </c>
    </row>
    <row r="4554" spans="1:7" ht="15.75" x14ac:dyDescent="0.25">
      <c r="A4554" s="15">
        <f>'PEDIDO 57'!$B$2</f>
        <v>0</v>
      </c>
      <c r="B4554" s="12" t="s">
        <v>415</v>
      </c>
      <c r="C4554" s="1">
        <f>IFERROR(VLOOKUP(52,'PEDIDO 57'!$C$2:$E$230,3,0),0)</f>
        <v>0</v>
      </c>
      <c r="D4554" s="1">
        <f>IFERROR(VLOOKUP(53,'PEDIDO 57'!$C$2:$E$230,3,0),0)</f>
        <v>0</v>
      </c>
      <c r="E4554" s="1">
        <f>IFERROR(VLOOKUP(54,'PEDIDO 57'!$C$2:$E$230,3,0),0)</f>
        <v>0</v>
      </c>
      <c r="F4554" s="1">
        <f>IFERROR(VLOOKUP(299,'PEDIDO 57'!$C$2:$E$230,3,0),0)</f>
        <v>0</v>
      </c>
      <c r="G4554" s="18">
        <f t="shared" si="145"/>
        <v>0</v>
      </c>
    </row>
    <row r="4555" spans="1:7" ht="15.75" x14ac:dyDescent="0.25">
      <c r="A4555" s="15">
        <f>'PEDIDO 57'!$B$2</f>
        <v>0</v>
      </c>
      <c r="B4555" s="12" t="s">
        <v>416</v>
      </c>
      <c r="C4555" s="1">
        <f>IFERROR(VLOOKUP(56,'PEDIDO 57'!$C$2:$E$230,3,0),0)</f>
        <v>0</v>
      </c>
      <c r="D4555" s="1">
        <f>IFERROR(VLOOKUP(61,'PEDIDO 57'!$C$2:$E$230,3,0),0)</f>
        <v>0</v>
      </c>
      <c r="E4555" s="1">
        <f>IFERROR(VLOOKUP(58,'PEDIDO 57'!$C$2:$E$230,3,0),0)</f>
        <v>0</v>
      </c>
      <c r="F4555" s="1">
        <f>IFERROR(VLOOKUP(300,'PEDIDO 57'!$C$2:$E$230,3,0),0)</f>
        <v>0</v>
      </c>
      <c r="G4555" s="18">
        <f t="shared" si="145"/>
        <v>0</v>
      </c>
    </row>
    <row r="4556" spans="1:7" ht="15.75" x14ac:dyDescent="0.25">
      <c r="A4556" s="15">
        <f>'PEDIDO 57'!$B$2</f>
        <v>0</v>
      </c>
      <c r="B4556" s="12" t="s">
        <v>417</v>
      </c>
      <c r="C4556" s="1">
        <f>IFERROR(VLOOKUP(60,'PEDIDO 57'!$C$2:$E$230,3,0),0)</f>
        <v>0</v>
      </c>
      <c r="D4556" s="1">
        <f>IFERROR(VLOOKUP(120,'PEDIDO 57'!$C$2:$E$230,3,0),0)</f>
        <v>0</v>
      </c>
      <c r="E4556" s="1">
        <f>IFERROR(VLOOKUP(62,'PEDIDO 57'!$C$2:$E$230,3,0),0)</f>
        <v>0</v>
      </c>
      <c r="F4556" s="1">
        <f>IFERROR(VLOOKUP(301,'PEDIDO 57'!$C$2:$E$230,3,0),0)</f>
        <v>0</v>
      </c>
      <c r="G4556" s="18">
        <f t="shared" si="145"/>
        <v>0</v>
      </c>
    </row>
    <row r="4557" spans="1:7" ht="15.75" x14ac:dyDescent="0.25">
      <c r="A4557" s="15">
        <f>'PEDIDO 57'!$B$2</f>
        <v>0</v>
      </c>
      <c r="B4557" s="12" t="s">
        <v>426</v>
      </c>
      <c r="C4557" s="1">
        <f>IFERROR(VLOOKUP(112,'PEDIDO 57'!$C$2:$E$230,3,0),0)</f>
        <v>0</v>
      </c>
      <c r="D4557" s="1">
        <f>IFERROR(VLOOKUP(113,'PEDIDO 57'!$C$2:$E$230,3,0),0)</f>
        <v>0</v>
      </c>
      <c r="E4557" s="1">
        <f>IFERROR(VLOOKUP(114,'PEDIDO 57'!$C$2:$E$230,3,0),0)</f>
        <v>0</v>
      </c>
      <c r="F4557" s="1">
        <f>IFERROR(VLOOKUP(296,'PEDIDO 57'!$C$2:$E$230,3,0),0)</f>
        <v>0</v>
      </c>
      <c r="G4557" s="18">
        <f t="shared" si="145"/>
        <v>0</v>
      </c>
    </row>
    <row r="4558" spans="1:7" ht="15.75" x14ac:dyDescent="0.25">
      <c r="A4558" s="15">
        <f>'PEDIDO 57'!$B$2</f>
        <v>0</v>
      </c>
      <c r="B4558" s="12" t="s">
        <v>427</v>
      </c>
      <c r="C4558" s="1">
        <f>IFERROR(VLOOKUP(116,'PEDIDO 57'!$C$2:$E$230,3,0),0)</f>
        <v>0</v>
      </c>
      <c r="D4558" s="1">
        <f>IFERROR(VLOOKUP(117,'PEDIDO 57'!$C$2:$E$230,3,0),0)</f>
        <v>0</v>
      </c>
      <c r="E4558" s="1">
        <f>IFERROR(VLOOKUP(118,'PEDIDO 57'!$C$2:$E$230,3,0),0)</f>
        <v>0</v>
      </c>
      <c r="F4558" s="1">
        <f>IFERROR(VLOOKUP(293,'PEDIDO 57'!$C$2:$E$230,3,0),0)</f>
        <v>0</v>
      </c>
      <c r="G4558" s="18">
        <f t="shared" si="145"/>
        <v>0</v>
      </c>
    </row>
    <row r="4559" spans="1:7" ht="15.75" x14ac:dyDescent="0.25">
      <c r="A4559" s="15">
        <f>'PEDIDO 57'!$B$2</f>
        <v>0</v>
      </c>
      <c r="B4559" s="12" t="s">
        <v>418</v>
      </c>
      <c r="C4559" s="1">
        <f>IFERROR(VLOOKUP(963,'PEDIDO 57'!$C$2:$E$230,3,0),0)</f>
        <v>0</v>
      </c>
      <c r="D4559" s="1">
        <f>IFERROR(VLOOKUP(965,'PEDIDO 57'!$C$2:$E$230,3,0),0)</f>
        <v>0</v>
      </c>
      <c r="E4559" s="1">
        <f>IFERROR(VLOOKUP(966,'PEDIDO 57'!$C$2:$E$230,3,0),0)</f>
        <v>0</v>
      </c>
      <c r="F4559" s="1">
        <f>IFERROR(VLOOKUP(964,'PEDIDO 57'!$C$2:$E$230,3,0),0)</f>
        <v>0</v>
      </c>
      <c r="G4559" s="18">
        <f t="shared" si="145"/>
        <v>0</v>
      </c>
    </row>
    <row r="4560" spans="1:7" ht="15.75" x14ac:dyDescent="0.25">
      <c r="A4560" s="15">
        <f>'PEDIDO 57'!$B$2</f>
        <v>0</v>
      </c>
      <c r="B4560" s="12" t="s">
        <v>419</v>
      </c>
      <c r="C4560" s="1">
        <f>IFERROR(VLOOKUP(2042,'PEDIDO 57'!$C$2:$E$230,3,0),0)</f>
        <v>0</v>
      </c>
      <c r="D4560" s="1">
        <f>IFERROR(VLOOKUP(2041,'PEDIDO 57'!$C$2:$E$230,3,0),0)</f>
        <v>0</v>
      </c>
      <c r="E4560" s="1">
        <f>IFERROR(VLOOKUP(2043,'PEDIDO 57'!$C$2:$E$230,3,0),0)</f>
        <v>0</v>
      </c>
      <c r="F4560" s="1">
        <f>IFERROR(VLOOKUP(2040,'PEDIDO 57'!$C$2:$E$230,3,0),0)</f>
        <v>0</v>
      </c>
      <c r="G4560" s="18">
        <f t="shared" si="145"/>
        <v>0</v>
      </c>
    </row>
    <row r="4561" spans="1:7" ht="15.75" x14ac:dyDescent="0.25">
      <c r="A4561" s="15">
        <f>'PEDIDO 57'!$B$2</f>
        <v>0</v>
      </c>
      <c r="B4561" s="12" t="s">
        <v>420</v>
      </c>
      <c r="C4561" s="1">
        <f>IFERROR(VLOOKUP(2045,'PEDIDO 57'!$C$2:$E$230,3,0),0)</f>
        <v>0</v>
      </c>
      <c r="D4561" s="1">
        <f>IFERROR(VLOOKUP(2046,'PEDIDO 57'!$C$2:$E$230,3,0),0)</f>
        <v>0</v>
      </c>
      <c r="E4561" s="1">
        <f>IFERROR(VLOOKUP(2047,'PEDIDO 57'!$C$2:$E$230,3,0),0)</f>
        <v>0</v>
      </c>
      <c r="F4561" s="1">
        <f>IFERROR(VLOOKUP(2048,'PEDIDO 57'!$C$2:$E$230,3,0),0)</f>
        <v>0</v>
      </c>
      <c r="G4561" s="18">
        <f t="shared" si="145"/>
        <v>0</v>
      </c>
    </row>
    <row r="4562" spans="1:7" ht="15.75" x14ac:dyDescent="0.25">
      <c r="A4562" s="15">
        <f>'PEDIDO 57'!$B$2</f>
        <v>0</v>
      </c>
      <c r="B4562" s="12" t="s">
        <v>421</v>
      </c>
      <c r="C4562" s="1">
        <f>IFERROR(VLOOKUP(2050,'PEDIDO 57'!$C$2:$E$230,3,0),0)</f>
        <v>0</v>
      </c>
      <c r="D4562" s="1">
        <f>IFERROR(VLOOKUP(2051,'PEDIDO 57'!$C$2:$E$230,3,0),0)</f>
        <v>0</v>
      </c>
      <c r="E4562" s="1">
        <f>IFERROR(VLOOKUP(2052,'PEDIDO 57'!$C$2:$E$230,3,0),0)</f>
        <v>0</v>
      </c>
      <c r="F4562" s="1">
        <f>IFERROR(VLOOKUP(2053,'PEDIDO 57'!$C$2:$E$230,3,0),0)</f>
        <v>0</v>
      </c>
      <c r="G4562" s="18">
        <f t="shared" si="145"/>
        <v>0</v>
      </c>
    </row>
    <row r="4563" spans="1:7" ht="15.75" x14ac:dyDescent="0.25">
      <c r="A4563" s="15">
        <f>'PEDIDO 57'!$B$2</f>
        <v>0</v>
      </c>
      <c r="B4563" s="12" t="s">
        <v>422</v>
      </c>
      <c r="C4563" s="1">
        <f>IFERROR(VLOOKUP(216,'PEDIDO 57'!$C$2:$E$230,3,0),0)</f>
        <v>0</v>
      </c>
      <c r="D4563" s="1">
        <f>IFERROR(VLOOKUP(217,'PEDIDO 57'!$C$2:$E$230,3,0),0)</f>
        <v>0</v>
      </c>
      <c r="E4563" s="1">
        <f>IFERROR(VLOOKUP(218,'PEDIDO 57'!$C$2:$E$230,3,0),0)</f>
        <v>0</v>
      </c>
      <c r="F4563" s="1">
        <f>IFERROR(VLOOKUP(305,'PEDIDO 57'!$C$2:$E$230,3,0),0)</f>
        <v>0</v>
      </c>
      <c r="G4563" s="18">
        <f t="shared" si="145"/>
        <v>0</v>
      </c>
    </row>
    <row r="4564" spans="1:7" ht="15.75" x14ac:dyDescent="0.25">
      <c r="A4564" s="15">
        <f>'PEDIDO 57'!$B$2</f>
        <v>0</v>
      </c>
      <c r="B4564" s="12" t="s">
        <v>423</v>
      </c>
      <c r="C4564" s="1">
        <f>IFERROR(VLOOKUP(100,'PEDIDO 57'!$C$2:$E$230,3,0),0)</f>
        <v>0</v>
      </c>
      <c r="D4564" s="1">
        <f>IFERROR(VLOOKUP(101,'PEDIDO 57'!$C$2:$E$230,3,0),0)</f>
        <v>0</v>
      </c>
      <c r="E4564" s="1">
        <f>IFERROR(VLOOKUP(102,'PEDIDO 57'!$C$2:$E$230,3,0),0)</f>
        <v>0</v>
      </c>
      <c r="F4564" s="1">
        <f>IFERROR(VLOOKUP(306,'PEDIDO 57'!$C$2:$E$230,3,0),0)</f>
        <v>0</v>
      </c>
      <c r="G4564" s="18">
        <f t="shared" si="145"/>
        <v>0</v>
      </c>
    </row>
    <row r="4565" spans="1:7" ht="15.75" x14ac:dyDescent="0.25">
      <c r="A4565" s="15">
        <f>'PEDIDO 57'!$B$2</f>
        <v>0</v>
      </c>
      <c r="B4565" s="12" t="s">
        <v>424</v>
      </c>
      <c r="C4565" s="1">
        <f>IFERROR(VLOOKUP(104,'PEDIDO 57'!$C$2:$E$230,3,0),0)</f>
        <v>0</v>
      </c>
      <c r="D4565" s="1">
        <f>IFERROR(VLOOKUP(105,'PEDIDO 57'!$C$2:$E$230,3,0),0)</f>
        <v>0</v>
      </c>
      <c r="E4565" s="1">
        <f>IFERROR(VLOOKUP(106,'PEDIDO 57'!$C$2:$E$230,3,0),0)</f>
        <v>0</v>
      </c>
      <c r="F4565" s="1">
        <f>IFERROR(VLOOKUP(307,'PEDIDO 57'!$C$2:$E$230,3,0),0)</f>
        <v>0</v>
      </c>
      <c r="G4565" s="18">
        <f t="shared" si="145"/>
        <v>0</v>
      </c>
    </row>
    <row r="4566" spans="1:7" ht="15.75" x14ac:dyDescent="0.25">
      <c r="A4566" s="15">
        <f>'PEDIDO 57'!$B$2</f>
        <v>0</v>
      </c>
      <c r="B4566" s="12" t="s">
        <v>425</v>
      </c>
      <c r="C4566" s="1">
        <f>IFERROR(VLOOKUP(400,'PEDIDO 57'!$C$2:$E$230,3,0),0)</f>
        <v>0</v>
      </c>
      <c r="D4566" s="1">
        <f>IFERROR(VLOOKUP(401,'PEDIDO 57'!$C$2:$E$230,3,0),0)</f>
        <v>0</v>
      </c>
      <c r="E4566" s="1">
        <f>IFERROR(VLOOKUP(402,'PEDIDO 57'!$C$2:$E$230,3,0),0)</f>
        <v>0</v>
      </c>
      <c r="F4566" s="1">
        <f>IFERROR(VLOOKUP(403,'PEDIDO 57'!$C$2:$E$230,3,0),0)</f>
        <v>0</v>
      </c>
      <c r="G4566" s="18">
        <f t="shared" si="145"/>
        <v>0</v>
      </c>
    </row>
    <row r="4567" spans="1:7" ht="15.75" x14ac:dyDescent="0.25">
      <c r="A4567" s="15">
        <f>'PEDIDO 57'!$B$2</f>
        <v>0</v>
      </c>
      <c r="B4567" s="12" t="s">
        <v>428</v>
      </c>
      <c r="C4567" s="1">
        <f>IFERROR(VLOOKUP(22,'PEDIDO 57'!$C$2:$E$230,3,0),0)</f>
        <v>0</v>
      </c>
      <c r="D4567" s="1"/>
      <c r="E4567" s="1"/>
      <c r="F4567" s="1"/>
      <c r="G4567" s="18">
        <f t="shared" si="145"/>
        <v>0</v>
      </c>
    </row>
    <row r="4568" spans="1:7" ht="15.75" x14ac:dyDescent="0.25">
      <c r="A4568" s="15">
        <f>'PEDIDO 57'!$B$2</f>
        <v>0</v>
      </c>
      <c r="B4568" s="12" t="s">
        <v>429</v>
      </c>
      <c r="C4568" s="1">
        <f>IFERROR(VLOOKUP(21,'PEDIDO 57'!$C$2:$E$230,3,0),0)</f>
        <v>0</v>
      </c>
      <c r="D4568" s="1"/>
      <c r="E4568" s="1"/>
      <c r="F4568" s="1"/>
      <c r="G4568" s="18">
        <f t="shared" si="145"/>
        <v>0</v>
      </c>
    </row>
    <row r="4569" spans="1:7" ht="15.75" x14ac:dyDescent="0.25">
      <c r="A4569" s="15">
        <f>'PEDIDO 57'!$B$2</f>
        <v>0</v>
      </c>
      <c r="B4569" s="12" t="s">
        <v>430</v>
      </c>
      <c r="C4569" s="1">
        <f>IFERROR(VLOOKUP(1125,'PEDIDO 57'!$C$2:$E$230,3,0),0)</f>
        <v>0</v>
      </c>
      <c r="D4569" s="1">
        <f>IFERROR(VLOOKUP(1126,'PEDIDO 57'!$C$2:$E$230,3,0),0)</f>
        <v>0</v>
      </c>
      <c r="E4569" s="1">
        <f>IFERROR(VLOOKUP(1127,'PEDIDO 57'!$C$2:$E$230,3,0),0)</f>
        <v>0</v>
      </c>
      <c r="F4569" s="1">
        <f>IFERROR(VLOOKUP(1128,'PEDIDO 57'!$C$2:$E$230,3,0),0)</f>
        <v>0</v>
      </c>
      <c r="G4569" s="18">
        <f t="shared" si="145"/>
        <v>0</v>
      </c>
    </row>
    <row r="4570" spans="1:7" ht="15.75" x14ac:dyDescent="0.25">
      <c r="A4570" s="15">
        <f>'PEDIDO 57'!$B$2</f>
        <v>0</v>
      </c>
      <c r="B4570" s="12" t="s">
        <v>431</v>
      </c>
      <c r="C4570" s="1">
        <f>IFERROR(VLOOKUP(1133,'PEDIDO 57'!$C$2:$E$230,3,0),0)</f>
        <v>0</v>
      </c>
      <c r="D4570" s="1">
        <f>IFERROR(VLOOKUP(1134,'PEDIDO 57'!$C$2:$E$230,3,0),0)</f>
        <v>0</v>
      </c>
      <c r="E4570" s="1">
        <f>IFERROR(VLOOKUP(1135,'PEDIDO 57'!$C$2:$E$230,3,0),0)</f>
        <v>0</v>
      </c>
      <c r="F4570" s="1">
        <f>IFERROR(VLOOKUP(1136,'PEDIDO 57'!$C$2:$E$230,3,0),0)</f>
        <v>0</v>
      </c>
      <c r="G4570" s="18">
        <f t="shared" si="145"/>
        <v>0</v>
      </c>
    </row>
    <row r="4571" spans="1:7" ht="15.75" x14ac:dyDescent="0.25">
      <c r="A4571" s="15">
        <f>'PEDIDO 57'!$B$2</f>
        <v>0</v>
      </c>
      <c r="B4571" s="12" t="s">
        <v>432</v>
      </c>
      <c r="C4571" s="1">
        <f>IFERROR(VLOOKUP(1105,'PEDIDO 57'!$C$2:$E$230,3,0),0)</f>
        <v>0</v>
      </c>
      <c r="D4571" s="1">
        <f>IFERROR(VLOOKUP(1106,'PEDIDO 57'!$C$2:$E$230,3,0),0)</f>
        <v>0</v>
      </c>
      <c r="E4571" s="1">
        <f>IFERROR(VLOOKUP(1107,'PEDIDO 57'!$C$2:$E$230,3,0),0)</f>
        <v>0</v>
      </c>
      <c r="F4571" s="1">
        <f>IFERROR(VLOOKUP(1108,'PEDIDO 57'!$C$2:$E$230,3,0),0)</f>
        <v>0</v>
      </c>
      <c r="G4571" s="18">
        <f t="shared" si="145"/>
        <v>0</v>
      </c>
    </row>
    <row r="4572" spans="1:7" ht="15.75" x14ac:dyDescent="0.25">
      <c r="A4572" s="15">
        <f>'PEDIDO 57'!$B$2</f>
        <v>0</v>
      </c>
      <c r="B4572" s="12" t="s">
        <v>433</v>
      </c>
      <c r="C4572" s="1">
        <f>IFERROR(VLOOKUP(1109,'PEDIDO 57'!$C$2:$E$230,3,0),0)</f>
        <v>0</v>
      </c>
      <c r="D4572" s="1">
        <f>IFERROR(VLOOKUP(1110,'PEDIDO 57'!$C$2:$E$230,3,0),0)</f>
        <v>0</v>
      </c>
      <c r="E4572" s="1">
        <f>IFERROR(VLOOKUP(1111,'PEDIDO 57'!$C$2:$E$230,3,0),0)</f>
        <v>0</v>
      </c>
      <c r="F4572" s="1">
        <f>IFERROR(VLOOKUP(1112,'PEDIDO 57'!$C$2:$E$230,3,0),0)</f>
        <v>0</v>
      </c>
      <c r="G4572" s="18">
        <f t="shared" si="145"/>
        <v>0</v>
      </c>
    </row>
    <row r="4573" spans="1:7" ht="15.75" x14ac:dyDescent="0.25">
      <c r="A4573" s="15">
        <f>'PEDIDO 57'!$B$2</f>
        <v>0</v>
      </c>
      <c r="B4573" s="12" t="s">
        <v>434</v>
      </c>
      <c r="C4573" s="1">
        <f>IFERROR(VLOOKUP(1113,'PEDIDO 57'!$C$2:$E$230,3,0),0)</f>
        <v>0</v>
      </c>
      <c r="D4573" s="1">
        <f>IFERROR(VLOOKUP(1114,'PEDIDO 57'!$C$2:$E$230,3,0),0)</f>
        <v>0</v>
      </c>
      <c r="E4573" s="1">
        <f>IFERROR(VLOOKUP(1115,'PEDIDO 57'!$C$2:$E$230,3,0),0)</f>
        <v>0</v>
      </c>
      <c r="F4573" s="1">
        <f>IFERROR(VLOOKUP(1116,'PEDIDO 57'!$C$2:$E$230,3,0),0)</f>
        <v>0</v>
      </c>
      <c r="G4573" s="18">
        <f t="shared" si="145"/>
        <v>0</v>
      </c>
    </row>
    <row r="4574" spans="1:7" ht="15.75" x14ac:dyDescent="0.25">
      <c r="A4574" s="15">
        <f>'PEDIDO 57'!$B$2</f>
        <v>0</v>
      </c>
      <c r="B4574" s="12" t="s">
        <v>435</v>
      </c>
      <c r="C4574" s="1">
        <f>IFERROR(VLOOKUP(1117,'PEDIDO 57'!$C$2:$E$230,3,0),0)</f>
        <v>0</v>
      </c>
      <c r="D4574" s="1">
        <f>IFERROR(VLOOKUP(1118,'PEDIDO 57'!$C$2:$E$230,3,0),0)</f>
        <v>0</v>
      </c>
      <c r="E4574" s="1">
        <f>IFERROR(VLOOKUP(1119,'PEDIDO 57'!$C$2:$E$230,3,0),0)</f>
        <v>0</v>
      </c>
      <c r="F4574" s="1">
        <f>IFERROR(VLOOKUP(1120,'PEDIDO 57'!$C$2:$E$230,3,0),0)</f>
        <v>0</v>
      </c>
      <c r="G4574" s="18">
        <f t="shared" si="145"/>
        <v>0</v>
      </c>
    </row>
    <row r="4575" spans="1:7" ht="15.75" x14ac:dyDescent="0.25">
      <c r="A4575" s="15">
        <f>'PEDIDO 57'!$B$2</f>
        <v>0</v>
      </c>
      <c r="B4575" s="12" t="s">
        <v>436</v>
      </c>
      <c r="C4575" s="1">
        <f>IFERROR(VLOOKUP(1121,'PEDIDO 57'!$C$2:$E$230,3,0),0)</f>
        <v>0</v>
      </c>
      <c r="D4575" s="1">
        <f>IFERROR(VLOOKUP(1122,'PEDIDO 57'!$C$2:$E$230,3,0),0)</f>
        <v>0</v>
      </c>
      <c r="E4575" s="1">
        <f>IFERROR(VLOOKUP(1123,'PEDIDO 57'!$C$2:$E$230,3,0),0)</f>
        <v>0</v>
      </c>
      <c r="F4575" s="1">
        <f>IFERROR(VLOOKUP(1124,'PEDIDO 57'!$C$2:$E$230,3,0),0)</f>
        <v>0</v>
      </c>
      <c r="G4575" s="18">
        <f t="shared" si="145"/>
        <v>0</v>
      </c>
    </row>
    <row r="4576" spans="1:7" ht="15.75" x14ac:dyDescent="0.25">
      <c r="A4576" s="15">
        <f>'PEDIDO 57'!$B$2</f>
        <v>0</v>
      </c>
      <c r="B4576" s="12" t="s">
        <v>437</v>
      </c>
      <c r="C4576" s="1">
        <f>IFERROR(VLOOKUP(1129,'PEDIDO 57'!$C$2:$E$230,3,0),0)</f>
        <v>0</v>
      </c>
      <c r="D4576" s="1">
        <f>IFERROR(VLOOKUP(1130,'PEDIDO 57'!$C$2:$E$230,3,0),0)</f>
        <v>0</v>
      </c>
      <c r="E4576" s="1">
        <f>IFERROR(VLOOKUP(1131,'PEDIDO 57'!$C$2:$E$230,3,0),0)</f>
        <v>0</v>
      </c>
      <c r="F4576" s="1">
        <f>IFERROR(VLOOKUP(1132,'PEDIDO 57'!$C$2:$E$230,3,0),0)</f>
        <v>0</v>
      </c>
      <c r="G4576" s="18">
        <f t="shared" si="145"/>
        <v>0</v>
      </c>
    </row>
    <row r="4577" spans="1:7" ht="15.75" x14ac:dyDescent="0.25">
      <c r="A4577" s="15">
        <f>'PEDIDO 57'!$B$2</f>
        <v>0</v>
      </c>
      <c r="B4577" s="12" t="s">
        <v>438</v>
      </c>
      <c r="C4577" s="1">
        <f>IFERROR(VLOOKUP(1137,'PEDIDO 57'!$C$2:$E$230,3,0),0)</f>
        <v>0</v>
      </c>
      <c r="D4577" s="1">
        <f>IFERROR(VLOOKUP(1138,'PEDIDO 57'!$C$2:$E$230,3,0),0)</f>
        <v>0</v>
      </c>
      <c r="E4577" s="1">
        <f>IFERROR(VLOOKUP(1139,'PEDIDO 57'!$C$2:$E$230,3,0),0)</f>
        <v>0</v>
      </c>
      <c r="F4577" s="1">
        <f>IFERROR(VLOOKUP(1140,'PEDIDO 57'!$C$2:$E$230,3,0),0)</f>
        <v>0</v>
      </c>
      <c r="G4577" s="18">
        <f t="shared" si="145"/>
        <v>0</v>
      </c>
    </row>
    <row r="4578" spans="1:7" ht="15.75" x14ac:dyDescent="0.25">
      <c r="A4578" s="15">
        <f>'PEDIDO 57'!$B$2</f>
        <v>0</v>
      </c>
      <c r="B4578" s="12" t="s">
        <v>439</v>
      </c>
      <c r="C4578" s="1">
        <f>IFERROR(VLOOKUP(1141,'PEDIDO 57'!$C$2:$E$230,3,0),0)</f>
        <v>0</v>
      </c>
      <c r="D4578" s="1">
        <f>IFERROR(VLOOKUP(1142,'PEDIDO 57'!$C$2:$E$230,3,0),0)</f>
        <v>0</v>
      </c>
      <c r="E4578" s="1">
        <f>IFERROR(VLOOKUP(1143,'PEDIDO 57'!$C$2:$E$230,3,0),0)</f>
        <v>0</v>
      </c>
      <c r="F4578" s="1">
        <f>IFERROR(VLOOKUP(1144,'PEDIDO 57'!$C$2:$E$230,3,0),0)</f>
        <v>0</v>
      </c>
      <c r="G4578" s="18">
        <f t="shared" si="145"/>
        <v>0</v>
      </c>
    </row>
    <row r="4579" spans="1:7" ht="15.75" x14ac:dyDescent="0.25">
      <c r="A4579" s="15">
        <f>'PEDIDO 57'!$B$2</f>
        <v>0</v>
      </c>
      <c r="B4579" s="12" t="s">
        <v>440</v>
      </c>
      <c r="C4579" s="1">
        <f>IFERROR(VLOOKUP(1145,'PEDIDO 57'!$C$2:$E$230,3,0),0)</f>
        <v>0</v>
      </c>
      <c r="D4579" s="1">
        <f>IFERROR(VLOOKUP(1146,'PEDIDO 57'!$C$2:$E$230,3,0),0)</f>
        <v>0</v>
      </c>
      <c r="E4579" s="1">
        <f>IFERROR(VLOOKUP(1147,'PEDIDO 57'!$C$2:$E$230,3,0),0)</f>
        <v>0</v>
      </c>
      <c r="F4579" s="1">
        <f>IFERROR(VLOOKUP(1148,'PEDIDO 57'!$C$2:$E$230,3,0),0)</f>
        <v>0</v>
      </c>
      <c r="G4579" s="18">
        <f t="shared" si="145"/>
        <v>0</v>
      </c>
    </row>
    <row r="4580" spans="1:7" ht="15.75" x14ac:dyDescent="0.25">
      <c r="A4580" s="15">
        <f>'PEDIDO 57'!$B$2</f>
        <v>0</v>
      </c>
      <c r="B4580" s="12" t="s">
        <v>441</v>
      </c>
      <c r="C4580" s="1">
        <f>IFERROR(VLOOKUP(1149,'PEDIDO 57'!$C$2:$E$230,3,0),0)</f>
        <v>0</v>
      </c>
      <c r="D4580" s="1">
        <f>IFERROR(VLOOKUP(1150,'PEDIDO 57'!$C$2:$E$230,3,0),0)</f>
        <v>0</v>
      </c>
      <c r="E4580" s="1">
        <f>IFERROR(VLOOKUP(1151,'PEDIDO 57'!$C$2:$E$230,3,0),0)</f>
        <v>0</v>
      </c>
      <c r="F4580" s="1">
        <f>IFERROR(VLOOKUP(1152,'PEDIDO 57'!$C$2:$E$230,3,0),0)</f>
        <v>0</v>
      </c>
      <c r="G4580" s="18">
        <f t="shared" si="145"/>
        <v>0</v>
      </c>
    </row>
    <row r="4581" spans="1:7" ht="15.75" x14ac:dyDescent="0.25">
      <c r="A4581" s="15">
        <f>'PEDIDO 57'!$B$2</f>
        <v>0</v>
      </c>
      <c r="B4581" s="12" t="s">
        <v>442</v>
      </c>
      <c r="C4581" s="1">
        <f>IFERROR(VLOOKUP(1153,'PEDIDO 57'!$C$2:$E$230,3,0),0)</f>
        <v>0</v>
      </c>
      <c r="D4581" s="1">
        <f>IFERROR(VLOOKUP(1154,'PEDIDO 57'!$C$2:$E$230,3,0),0)</f>
        <v>0</v>
      </c>
      <c r="E4581" s="1">
        <f>IFERROR(VLOOKUP(1155,'PEDIDO 57'!$C$2:$E$230,3,0),0)</f>
        <v>0</v>
      </c>
      <c r="F4581" s="1">
        <f>IFERROR(VLOOKUP(1156,'PEDIDO 57'!$C$2:$E$230,3,0),0)</f>
        <v>0</v>
      </c>
      <c r="G4581" s="18">
        <f t="shared" si="145"/>
        <v>0</v>
      </c>
    </row>
    <row r="4582" spans="1:7" ht="15.75" x14ac:dyDescent="0.25">
      <c r="A4582" s="15">
        <f>'PEDIDO 57'!$B$2</f>
        <v>0</v>
      </c>
      <c r="B4582" s="12" t="s">
        <v>443</v>
      </c>
      <c r="C4582" s="1">
        <f>IFERROR(VLOOKUP(1157,'PEDIDO 57'!$C$2:$E$230,3,0),0)</f>
        <v>0</v>
      </c>
      <c r="D4582" s="1">
        <f>IFERROR(VLOOKUP(1158,'PEDIDO 57'!$C$2:$E$230,3,0),0)</f>
        <v>0</v>
      </c>
      <c r="E4582" s="1">
        <f>IFERROR(VLOOKUP(1159,'PEDIDO 57'!$C$2:$E$230,3,0),0)</f>
        <v>0</v>
      </c>
      <c r="F4582" s="1">
        <f>IFERROR(VLOOKUP(1160,'PEDIDO 57'!$C$2:$E$230,3,0),0)</f>
        <v>0</v>
      </c>
      <c r="G4582" s="18">
        <f t="shared" si="145"/>
        <v>0</v>
      </c>
    </row>
    <row r="4583" spans="1:7" ht="15.75" x14ac:dyDescent="0.25">
      <c r="A4583" s="15">
        <f>'PEDIDO 57'!$B$2</f>
        <v>0</v>
      </c>
      <c r="B4583" s="12" t="s">
        <v>444</v>
      </c>
      <c r="C4583" s="1">
        <f>IFERROR(VLOOKUP(1161,'PEDIDO 57'!$C$2:$E$230,3,0),0)</f>
        <v>0</v>
      </c>
      <c r="D4583" s="1">
        <f>IFERROR(VLOOKUP(1162,'PEDIDO 57'!$C$2:$E$230,3,0),0)</f>
        <v>0</v>
      </c>
      <c r="E4583" s="1">
        <f>IFERROR(VLOOKUP(1163,'PEDIDO 57'!$C$2:$E$230,3,0),0)</f>
        <v>0</v>
      </c>
      <c r="F4583" s="1">
        <f>IFERROR(VLOOKUP(1164,'PEDIDO 57'!$C$2:$E$230,3,0),0)</f>
        <v>0</v>
      </c>
      <c r="G4583" s="18">
        <f t="shared" si="145"/>
        <v>0</v>
      </c>
    </row>
    <row r="4584" spans="1:7" ht="15.75" x14ac:dyDescent="0.25">
      <c r="A4584" s="15">
        <f>'PEDIDO 57'!$B$2</f>
        <v>0</v>
      </c>
      <c r="B4584" s="12" t="s">
        <v>445</v>
      </c>
      <c r="C4584" s="1">
        <f>IFERROR(VLOOKUP(1165,'PEDIDO 57'!$C$2:$E$230,3,0),0)</f>
        <v>0</v>
      </c>
      <c r="D4584" s="1">
        <f>IFERROR(VLOOKUP(1166,'PEDIDO 57'!$C$2:$E$230,3,0),0)</f>
        <v>0</v>
      </c>
      <c r="E4584" s="1">
        <f>IFERROR(VLOOKUP(1167,'PEDIDO 57'!$C$2:$E$230,3,0),0)</f>
        <v>0</v>
      </c>
      <c r="F4584" s="1">
        <f>IFERROR(VLOOKUP(1168,'PEDIDO 57'!$C$2:$E$230,3,0),0)</f>
        <v>0</v>
      </c>
      <c r="G4584" s="18">
        <f t="shared" si="145"/>
        <v>0</v>
      </c>
    </row>
    <row r="4585" spans="1:7" ht="15.75" x14ac:dyDescent="0.25">
      <c r="A4585" s="15">
        <f>'PEDIDO 57'!$B$2</f>
        <v>0</v>
      </c>
      <c r="B4585" s="12" t="s">
        <v>446</v>
      </c>
      <c r="C4585" s="1">
        <f>IFERROR(VLOOKUP(1169,'PEDIDO 57'!$C$2:$E$230,3,0),0)</f>
        <v>0</v>
      </c>
      <c r="D4585" s="1">
        <f>IFERROR(VLOOKUP(1170,'PEDIDO 57'!$C$2:$E$230,3,0),0)</f>
        <v>0</v>
      </c>
      <c r="E4585" s="1">
        <f>IFERROR(VLOOKUP(1171,'PEDIDO 57'!$C$2:$E$230,3,0),0)</f>
        <v>0</v>
      </c>
      <c r="F4585" s="1">
        <f>IFERROR(VLOOKUP(1172,'PEDIDO 57'!$C$2:$E$230,3,0),0)</f>
        <v>0</v>
      </c>
      <c r="G4585" s="18">
        <f t="shared" si="145"/>
        <v>0</v>
      </c>
    </row>
    <row r="4586" spans="1:7" ht="15.75" x14ac:dyDescent="0.25">
      <c r="A4586" s="15">
        <f>'PEDIDO 57'!$B$2</f>
        <v>0</v>
      </c>
      <c r="B4586" s="12" t="s">
        <v>447</v>
      </c>
      <c r="C4586" s="1">
        <f>IFERROR(VLOOKUP(1173,'PEDIDO 57'!$C$2:$E$230,3,0),0)</f>
        <v>0</v>
      </c>
      <c r="D4586" s="1">
        <f>IFERROR(VLOOKUP(1174,'PEDIDO 57'!$C$2:$E$230,3,0),0)</f>
        <v>0</v>
      </c>
      <c r="E4586" s="1">
        <f>IFERROR(VLOOKUP(1175,'PEDIDO 57'!$C$2:$E$230,3,0),0)</f>
        <v>0</v>
      </c>
      <c r="F4586" s="1">
        <f>IFERROR(VLOOKUP(1176,'PEDIDO 57'!$C$2:$E$230,3,0),0)</f>
        <v>0</v>
      </c>
      <c r="G4586" s="18">
        <f t="shared" si="145"/>
        <v>0</v>
      </c>
    </row>
    <row r="4587" spans="1:7" ht="15.75" x14ac:dyDescent="0.25">
      <c r="A4587" s="15">
        <f>'PEDIDO 57'!$B$2</f>
        <v>0</v>
      </c>
      <c r="B4587" s="12" t="s">
        <v>448</v>
      </c>
      <c r="C4587" s="1">
        <f>IFERROR(VLOOKUP(1249,'PEDIDO 57'!$C$2:$E$230,3,0),0)</f>
        <v>0</v>
      </c>
      <c r="D4587" s="1">
        <f>IFERROR(VLOOKUP(1250,'PEDIDO 57'!$C$2:$E$230,3,0),0)</f>
        <v>0</v>
      </c>
      <c r="E4587" s="1">
        <f>IFERROR(VLOOKUP(1251,'PEDIDO 57'!$C$2:$E$230,3,0),0)</f>
        <v>0</v>
      </c>
      <c r="F4587" s="1">
        <f>IFERROR(VLOOKUP(1252,'PEDIDO 57'!$C$2:$E$230,3,0),0)</f>
        <v>0</v>
      </c>
      <c r="G4587" s="18">
        <f t="shared" si="145"/>
        <v>0</v>
      </c>
    </row>
    <row r="4588" spans="1:7" ht="15.75" x14ac:dyDescent="0.25">
      <c r="A4588" s="15">
        <f>'PEDIDO 57'!$B$2</f>
        <v>0</v>
      </c>
      <c r="B4588" s="12" t="s">
        <v>449</v>
      </c>
      <c r="C4588" s="1">
        <f>IFERROR(VLOOKUP(1177,'PEDIDO 57'!$C$2:$E$230,3,0),0)</f>
        <v>0</v>
      </c>
      <c r="D4588" s="1">
        <f>IFERROR(VLOOKUP(1178,'PEDIDO 57'!$C$2:$E$230,3,0),0)</f>
        <v>0</v>
      </c>
      <c r="E4588" s="1">
        <f>IFERROR(VLOOKUP(1179,'PEDIDO 57'!$C$2:$E$230,3,0),0)</f>
        <v>0</v>
      </c>
      <c r="F4588" s="1">
        <f>IFERROR(VLOOKUP(1180,'PEDIDO 57'!$C$2:$E$230,3,0),0)</f>
        <v>0</v>
      </c>
      <c r="G4588" s="18">
        <f t="shared" si="145"/>
        <v>0</v>
      </c>
    </row>
    <row r="4589" spans="1:7" ht="15.75" x14ac:dyDescent="0.25">
      <c r="A4589" s="15">
        <f>'PEDIDO 57'!$B$2</f>
        <v>0</v>
      </c>
      <c r="B4589" s="12" t="s">
        <v>450</v>
      </c>
      <c r="C4589" s="1">
        <f>IFERROR(VLOOKUP(1181,'PEDIDO 57'!$C$2:$E$230,3,0),0)</f>
        <v>0</v>
      </c>
      <c r="D4589" s="1">
        <f>IFERROR(VLOOKUP(1182,'PEDIDO 57'!$C$2:$E$230,3,0),0)</f>
        <v>0</v>
      </c>
      <c r="E4589" s="1">
        <f>IFERROR(VLOOKUP(1183,'PEDIDO 57'!$C$2:$E$230,3,0),0)</f>
        <v>0</v>
      </c>
      <c r="F4589" s="1">
        <f>IFERROR(VLOOKUP(1184,'PEDIDO 57'!$C$2:$E$230,3,0),0)</f>
        <v>0</v>
      </c>
      <c r="G4589" s="18">
        <f t="shared" si="145"/>
        <v>0</v>
      </c>
    </row>
    <row r="4590" spans="1:7" ht="15.75" x14ac:dyDescent="0.25">
      <c r="A4590" s="15">
        <f>'PEDIDO 57'!$B$2</f>
        <v>0</v>
      </c>
      <c r="B4590" s="12" t="s">
        <v>451</v>
      </c>
      <c r="C4590" s="1">
        <f>IFERROR(VLOOKUP(1185,'PEDIDO 57'!$C$2:$E$230,3,0),0)</f>
        <v>0</v>
      </c>
      <c r="D4590" s="1">
        <f>IFERROR(VLOOKUP(1186,'PEDIDO 57'!$C$2:$E$230,3,0),0)</f>
        <v>0</v>
      </c>
      <c r="E4590" s="1">
        <f>IFERROR(VLOOKUP(1187,'PEDIDO 57'!$C$2:$E$230,3,0),0)</f>
        <v>0</v>
      </c>
      <c r="F4590" s="1">
        <f>IFERROR(VLOOKUP(1188,'PEDIDO 57'!$C$2:$E$230,3,0),0)</f>
        <v>0</v>
      </c>
      <c r="G4590" s="18">
        <f t="shared" si="145"/>
        <v>0</v>
      </c>
    </row>
    <row r="4591" spans="1:7" ht="15.75" x14ac:dyDescent="0.25">
      <c r="A4591" s="15">
        <f>'PEDIDO 57'!$B$2</f>
        <v>0</v>
      </c>
      <c r="B4591" s="12" t="s">
        <v>452</v>
      </c>
      <c r="C4591" s="1">
        <f>IFERROR(VLOOKUP(1189,'PEDIDO 57'!$C$2:$E$230,3,0),0)</f>
        <v>0</v>
      </c>
      <c r="D4591" s="1">
        <f>IFERROR(VLOOKUP(1190,'PEDIDO 57'!$C$2:$E$230,3,0),0)</f>
        <v>0</v>
      </c>
      <c r="E4591" s="1">
        <f>IFERROR(VLOOKUP(1191,'PEDIDO 57'!$C$2:$E$230,3,0),0)</f>
        <v>0</v>
      </c>
      <c r="F4591" s="1">
        <f>IFERROR(VLOOKUP(1192,'PEDIDO 57'!$C$2:$E$230,3,0),0)</f>
        <v>0</v>
      </c>
      <c r="G4591" s="18">
        <f t="shared" si="145"/>
        <v>0</v>
      </c>
    </row>
    <row r="4592" spans="1:7" ht="15.75" x14ac:dyDescent="0.25">
      <c r="A4592" s="15">
        <f>'PEDIDO 57'!$B$2</f>
        <v>0</v>
      </c>
      <c r="B4592" s="12" t="s">
        <v>453</v>
      </c>
      <c r="C4592" s="1">
        <f>IFERROR(VLOOKUP(1193,'PEDIDO 57'!$C$2:$E$230,3,0),0)</f>
        <v>0</v>
      </c>
      <c r="D4592" s="1">
        <f>IFERROR(VLOOKUP(1194,'PEDIDO 57'!$C$2:$E$230,3,0),0)</f>
        <v>0</v>
      </c>
      <c r="E4592" s="1">
        <f>IFERROR(VLOOKUP(1195,'PEDIDO 57'!$C$2:$E$230,3,0),0)</f>
        <v>0</v>
      </c>
      <c r="F4592" s="1">
        <f>IFERROR(VLOOKUP(1196,'PEDIDO 57'!$C$2:$E$230,3,0),0)</f>
        <v>0</v>
      </c>
      <c r="G4592" s="18">
        <f t="shared" si="145"/>
        <v>0</v>
      </c>
    </row>
    <row r="4593" spans="1:7" ht="15.75" x14ac:dyDescent="0.25">
      <c r="A4593" s="15">
        <f>'PEDIDO 57'!$B$2</f>
        <v>0</v>
      </c>
      <c r="B4593" s="12" t="s">
        <v>454</v>
      </c>
      <c r="C4593" s="1">
        <f>IFERROR(VLOOKUP(1197,'PEDIDO 57'!$C$2:$E$230,3,0),0)</f>
        <v>0</v>
      </c>
      <c r="D4593" s="1">
        <f>IFERROR(VLOOKUP(1198,'PEDIDO 57'!$C$2:$E$230,3,0),0)</f>
        <v>0</v>
      </c>
      <c r="E4593" s="1">
        <f>IFERROR(VLOOKUP(1199,'PEDIDO 57'!$C$2:$E$230,3,0),0)</f>
        <v>0</v>
      </c>
      <c r="F4593" s="1">
        <f>IFERROR(VLOOKUP(1200,'PEDIDO 57'!$C$2:$E$230,3,0),0)</f>
        <v>0</v>
      </c>
      <c r="G4593" s="18">
        <f t="shared" si="145"/>
        <v>0</v>
      </c>
    </row>
    <row r="4594" spans="1:7" ht="15.75" x14ac:dyDescent="0.25">
      <c r="A4594" s="15">
        <f>'PEDIDO 57'!$B$2</f>
        <v>0</v>
      </c>
      <c r="B4594" s="12" t="s">
        <v>455</v>
      </c>
      <c r="C4594" s="1">
        <f>IFERROR(VLOOKUP(1201,'PEDIDO 57'!$C$2:$E$230,3,0),0)</f>
        <v>0</v>
      </c>
      <c r="D4594" s="1">
        <f>IFERROR(VLOOKUP(1202,'PEDIDO 57'!$C$2:$E$230,3,0),0)</f>
        <v>0</v>
      </c>
      <c r="E4594" s="1">
        <f>IFERROR(VLOOKUP(1203,'PEDIDO 57'!$C$2:$E$230,3,0),0)</f>
        <v>0</v>
      </c>
      <c r="F4594" s="1">
        <f>IFERROR(VLOOKUP(1204,'PEDIDO 57'!$C$2:$E$230,3,0),0)</f>
        <v>0</v>
      </c>
      <c r="G4594" s="18">
        <f t="shared" si="145"/>
        <v>0</v>
      </c>
    </row>
    <row r="4595" spans="1:7" ht="15.75" x14ac:dyDescent="0.25">
      <c r="A4595" s="15">
        <f>'PEDIDO 57'!$B$2</f>
        <v>0</v>
      </c>
      <c r="B4595" s="12" t="s">
        <v>456</v>
      </c>
      <c r="C4595" s="1">
        <f>IFERROR(VLOOKUP(1205,'PEDIDO 57'!$C$2:$E$230,3,0),0)</f>
        <v>0</v>
      </c>
      <c r="D4595" s="1">
        <f>IFERROR(VLOOKUP(1206,'PEDIDO 57'!$C$2:$E$230,3,0),0)</f>
        <v>0</v>
      </c>
      <c r="E4595" s="1">
        <f>IFERROR(VLOOKUP(1207,'PEDIDO 57'!$C$2:$E$230,3,0),0)</f>
        <v>0</v>
      </c>
      <c r="F4595" s="1">
        <f>IFERROR(VLOOKUP(1208,'PEDIDO 57'!$C$2:$E$230,3,0),0)</f>
        <v>0</v>
      </c>
      <c r="G4595" s="18">
        <f t="shared" si="145"/>
        <v>0</v>
      </c>
    </row>
    <row r="4596" spans="1:7" ht="15.75" x14ac:dyDescent="0.25">
      <c r="A4596" s="15">
        <f>'PEDIDO 57'!$B$2</f>
        <v>0</v>
      </c>
      <c r="B4596" s="12" t="s">
        <v>457</v>
      </c>
      <c r="C4596" s="1">
        <f>IFERROR(VLOOKUP(1213,'PEDIDO 57'!$C$2:$E$230,3,0),0)</f>
        <v>0</v>
      </c>
      <c r="D4596" s="1">
        <f>IFERROR(VLOOKUP(1214,'PEDIDO 57'!$C$2:$E$230,3,0),0)</f>
        <v>0</v>
      </c>
      <c r="E4596" s="1">
        <f>IFERROR(VLOOKUP(1215,'PEDIDO 57'!$C$2:$E$230,3,0),0)</f>
        <v>0</v>
      </c>
      <c r="F4596" s="10">
        <f>IFERROR(VLOOKUP(1216,'PEDIDO 57'!$C$2:$E$230,3,0),0)</f>
        <v>0</v>
      </c>
      <c r="G4596" s="18">
        <f t="shared" si="145"/>
        <v>0</v>
      </c>
    </row>
    <row r="4597" spans="1:7" ht="15.75" x14ac:dyDescent="0.25">
      <c r="A4597" s="15">
        <f>'PEDIDO 57'!$B$2</f>
        <v>0</v>
      </c>
      <c r="B4597" s="12" t="s">
        <v>458</v>
      </c>
      <c r="C4597" s="1">
        <f>IFERROR(VLOOKUP(1209,'PEDIDO 57'!$C$2:$E$230,3,0),0)</f>
        <v>0</v>
      </c>
      <c r="D4597" s="1">
        <f>IFERROR(VLOOKUP(1210,'PEDIDO 57'!$C$2:$E$230,3,0),0)</f>
        <v>0</v>
      </c>
      <c r="E4597" s="1">
        <f>IFERROR(VLOOKUP(1211,'PEDIDO 57'!$C$2:$E$230,3,0),0)</f>
        <v>0</v>
      </c>
      <c r="F4597" s="1">
        <f>IFERROR(VLOOKUP(1212,'PEDIDO 57'!$C$2:$E$230,3,0),0)</f>
        <v>0</v>
      </c>
      <c r="G4597" s="18">
        <f t="shared" si="145"/>
        <v>0</v>
      </c>
    </row>
    <row r="4598" spans="1:7" ht="15.75" x14ac:dyDescent="0.25">
      <c r="A4598" s="15">
        <f>'PEDIDO 57'!$B$2</f>
        <v>0</v>
      </c>
      <c r="B4598" s="12" t="s">
        <v>459</v>
      </c>
      <c r="C4598" s="1">
        <f>IFERROR(VLOOKUP(1217,'PEDIDO 57'!$C$2:$E$230,3,0),0)</f>
        <v>0</v>
      </c>
      <c r="D4598" s="1">
        <f>IFERROR(VLOOKUP(1218,'PEDIDO 57'!$C$2:$E$230,3,0),0)</f>
        <v>0</v>
      </c>
      <c r="E4598" s="1">
        <f>IFERROR(VLOOKUP(1219,'PEDIDO 57'!$C$2:$E$230,3,0),0)</f>
        <v>0</v>
      </c>
      <c r="F4598" s="1">
        <f>IFERROR(VLOOKUP(1220,'PEDIDO 57'!$C$2:$E$230,3,0),0)</f>
        <v>0</v>
      </c>
      <c r="G4598" s="18">
        <f t="shared" si="145"/>
        <v>0</v>
      </c>
    </row>
    <row r="4599" spans="1:7" ht="15.75" x14ac:dyDescent="0.25">
      <c r="A4599" s="15">
        <f>'PEDIDO 57'!$B$2</f>
        <v>0</v>
      </c>
      <c r="B4599" s="12" t="s">
        <v>461</v>
      </c>
      <c r="C4599" s="1">
        <f>IFERROR(VLOOKUP(1225,'PEDIDO 57'!$C$2:$E$230,3,0),0)</f>
        <v>0</v>
      </c>
      <c r="D4599" s="1">
        <f>IFERROR(VLOOKUP(1226,'PEDIDO 57'!$C$2:$E$230,3,0),0)</f>
        <v>0</v>
      </c>
      <c r="E4599" s="1">
        <f>IFERROR(VLOOKUP(1227,'PEDIDO 57'!$C$2:$E$230,3,0),0)</f>
        <v>0</v>
      </c>
      <c r="F4599" s="1">
        <f>IFERROR(VLOOKUP(1228,'PEDIDO 57'!$C$2:$E$230,3,0),0)</f>
        <v>0</v>
      </c>
      <c r="G4599" s="18">
        <f t="shared" si="145"/>
        <v>0</v>
      </c>
    </row>
    <row r="4600" spans="1:7" ht="15.75" x14ac:dyDescent="0.25">
      <c r="A4600" s="15">
        <f>'PEDIDO 57'!$B$2</f>
        <v>0</v>
      </c>
      <c r="B4600" s="12" t="s">
        <v>462</v>
      </c>
      <c r="C4600" s="1">
        <f>IFERROR(VLOOKUP(1221,'PEDIDO 57'!$C$2:$E$230,3,0),0)</f>
        <v>0</v>
      </c>
      <c r="D4600" s="1">
        <f>IFERROR(VLOOKUP(1222,'PEDIDO 57'!$C$2:$E$230,3,0),0)</f>
        <v>0</v>
      </c>
      <c r="E4600" s="1">
        <f>IFERROR(VLOOKUP(1223,'PEDIDO 57'!$C$2:$E$230,3,0),0)</f>
        <v>0</v>
      </c>
      <c r="F4600" s="1">
        <f>IFERROR(VLOOKUP(1224,'PEDIDO 57'!$C$2:$E$230,3,0),0)</f>
        <v>0</v>
      </c>
      <c r="G4600" s="18">
        <f t="shared" si="145"/>
        <v>0</v>
      </c>
    </row>
    <row r="4601" spans="1:7" ht="15.75" x14ac:dyDescent="0.25">
      <c r="A4601" s="15">
        <f>'PEDIDO 57'!$B$2</f>
        <v>0</v>
      </c>
      <c r="B4601" s="12" t="s">
        <v>460</v>
      </c>
      <c r="C4601" s="1">
        <f>IFERROR(VLOOKUP(1229,'PEDIDO 57'!$C$2:$E$230,3,0),0)</f>
        <v>0</v>
      </c>
      <c r="D4601" s="1">
        <f>IFERROR(VLOOKUP(1230,'PEDIDO 57'!$C$2:$E$230,3,0),0)</f>
        <v>0</v>
      </c>
      <c r="E4601" s="1">
        <f>IFERROR(VLOOKUP(1231,'PEDIDO 57'!$C$2:$E$230,3,0),0)</f>
        <v>0</v>
      </c>
      <c r="F4601" s="1">
        <f>IFERROR(VLOOKUP(1232,'PEDIDO 57'!$C$2:$E$230,3,0),0)</f>
        <v>0</v>
      </c>
      <c r="G4601" s="18">
        <f t="shared" si="145"/>
        <v>0</v>
      </c>
    </row>
    <row r="4602" spans="1:7" ht="15.75" x14ac:dyDescent="0.25">
      <c r="A4602" s="15">
        <f>'PEDIDO 57'!$B$2</f>
        <v>0</v>
      </c>
      <c r="B4602" s="12" t="s">
        <v>463</v>
      </c>
      <c r="C4602" s="1">
        <f>IFERROR(VLOOKUP(1233,'PEDIDO 57'!$C$2:$E$230,3,0),0)</f>
        <v>0</v>
      </c>
      <c r="D4602" s="1">
        <f>IFERROR(VLOOKUP(1234,'PEDIDO 57'!$C$2:$E$230,3,0),0)</f>
        <v>0</v>
      </c>
      <c r="E4602" s="1">
        <f>IFERROR(VLOOKUP(1235,'PEDIDO 57'!$C$2:$E$230,3,0),0)</f>
        <v>0</v>
      </c>
      <c r="F4602" s="1">
        <f>IFERROR(VLOOKUP(1236,'PEDIDO 57'!$C$2:$E$230,3,0),0)</f>
        <v>0</v>
      </c>
      <c r="G4602" s="18">
        <f t="shared" ref="G4602:G4615" si="146">SUM(C4602+D4602+E4602+F4602)</f>
        <v>0</v>
      </c>
    </row>
    <row r="4603" spans="1:7" ht="15.75" x14ac:dyDescent="0.25">
      <c r="A4603" s="15">
        <f>'PEDIDO 57'!$B$2</f>
        <v>0</v>
      </c>
      <c r="B4603" s="12" t="s">
        <v>464</v>
      </c>
      <c r="C4603" s="1">
        <f>IFERROR(VLOOKUP(1237,'PEDIDO 57'!$C$2:$E$230,3,0),0)</f>
        <v>0</v>
      </c>
      <c r="D4603" s="1">
        <f>IFERROR(VLOOKUP(1238,'PEDIDO 57'!$C$2:$E$230,3,0),0)</f>
        <v>0</v>
      </c>
      <c r="E4603" s="1">
        <f>IFERROR(VLOOKUP(1239,'PEDIDO 57'!$C$2:$E$230,3,0),0)</f>
        <v>0</v>
      </c>
      <c r="F4603" s="1">
        <f>IFERROR(VLOOKUP(1240,'PEDIDO 57'!$C$2:$E$230,3,0),0)</f>
        <v>0</v>
      </c>
      <c r="G4603" s="18">
        <f t="shared" si="146"/>
        <v>0</v>
      </c>
    </row>
    <row r="4604" spans="1:7" ht="15.75" x14ac:dyDescent="0.25">
      <c r="A4604" s="15">
        <f>'PEDIDO 57'!$B$2</f>
        <v>0</v>
      </c>
      <c r="B4604" s="12" t="s">
        <v>465</v>
      </c>
      <c r="C4604" s="1">
        <f>IFERROR(VLOOKUP(1241,'PEDIDO 57'!$C$2:$E$230,3,0),0)</f>
        <v>0</v>
      </c>
      <c r="D4604" s="1">
        <f>IFERROR(VLOOKUP(1242,'PEDIDO 57'!$C$2:$E$230,3,0),0)</f>
        <v>0</v>
      </c>
      <c r="E4604" s="1">
        <f>IFERROR(VLOOKUP(1243,'PEDIDO 57'!$C$2:$E$230,3,0),0)</f>
        <v>0</v>
      </c>
      <c r="F4604" s="1">
        <f>IFERROR(VLOOKUP(1244,'PEDIDO 57'!$C$2:$E$230,3,0),0)</f>
        <v>0</v>
      </c>
      <c r="G4604" s="18">
        <f t="shared" si="146"/>
        <v>0</v>
      </c>
    </row>
    <row r="4605" spans="1:7" ht="15.75" x14ac:dyDescent="0.25">
      <c r="A4605" s="15">
        <f>'PEDIDO 57'!$B$2</f>
        <v>0</v>
      </c>
      <c r="B4605" s="12" t="s">
        <v>466</v>
      </c>
      <c r="C4605" s="1">
        <f>IFERROR(VLOOKUP(1245,'PEDIDO 57'!$C$2:$E$230,3,0),0)</f>
        <v>0</v>
      </c>
      <c r="D4605" s="1">
        <f>IFERROR(VLOOKUP(1246,'PEDIDO 57'!$C$2:$E$230,3,0),0)</f>
        <v>0</v>
      </c>
      <c r="E4605" s="1">
        <f>IFERROR(VLOOKUP(1247,'PEDIDO 57'!$C$2:$E$230,3,0),0)</f>
        <v>0</v>
      </c>
      <c r="F4605" s="1">
        <f>IFERROR(VLOOKUP(1248,'PEDIDO 57'!$C$2:$E$230,3,0),0)</f>
        <v>0</v>
      </c>
      <c r="G4605" s="18">
        <f t="shared" si="146"/>
        <v>0</v>
      </c>
    </row>
    <row r="4606" spans="1:7" ht="15.75" x14ac:dyDescent="0.25">
      <c r="A4606" s="15">
        <f>'PEDIDO 57'!$B$2</f>
        <v>0</v>
      </c>
      <c r="B4606" s="12" t="s">
        <v>467</v>
      </c>
      <c r="C4606" s="1">
        <f>IFERROR(VLOOKUP(25714,'PEDIDO 57'!$C$2:$E$230,3,0),0)</f>
        <v>0</v>
      </c>
      <c r="D4606" s="1"/>
      <c r="E4606" s="1"/>
      <c r="F4606" s="1"/>
      <c r="G4606" s="18">
        <f t="shared" si="146"/>
        <v>0</v>
      </c>
    </row>
    <row r="4607" spans="1:7" ht="15.75" x14ac:dyDescent="0.25">
      <c r="A4607" s="15">
        <f>'PEDIDO 57'!$B$2</f>
        <v>0</v>
      </c>
      <c r="B4607" s="12" t="s">
        <v>468</v>
      </c>
      <c r="C4607" s="1">
        <f>IFERROR(VLOOKUP(25712,'PEDIDO 57'!$C$2:$E$230,3,0),0)</f>
        <v>0</v>
      </c>
      <c r="D4607" s="1"/>
      <c r="E4607" s="1"/>
      <c r="F4607" s="1"/>
      <c r="G4607" s="18">
        <f t="shared" si="146"/>
        <v>0</v>
      </c>
    </row>
    <row r="4608" spans="1:7" ht="15.75" x14ac:dyDescent="0.25">
      <c r="A4608" s="15">
        <f>'PEDIDO 57'!$B$2</f>
        <v>0</v>
      </c>
      <c r="B4608" s="12" t="s">
        <v>469</v>
      </c>
      <c r="C4608" s="1">
        <f>IFERROR(VLOOKUP(25713,'PEDIDO 57'!$C$2:$E$230,3,0),0)</f>
        <v>0</v>
      </c>
      <c r="D4608" s="1"/>
      <c r="E4608" s="1"/>
      <c r="F4608" s="1"/>
      <c r="G4608" s="18">
        <f t="shared" si="146"/>
        <v>0</v>
      </c>
    </row>
    <row r="4609" spans="1:7" ht="15.75" x14ac:dyDescent="0.25">
      <c r="A4609" s="15">
        <f>'PEDIDO 57'!$B$2</f>
        <v>0</v>
      </c>
      <c r="B4609" s="12" t="s">
        <v>470</v>
      </c>
      <c r="C4609" s="1">
        <f>IFERROR(VLOOKUP(1260,'PEDIDO 57'!$C$2:$E$230,3,0),0)</f>
        <v>0</v>
      </c>
      <c r="D4609" s="1"/>
      <c r="E4609" s="1"/>
      <c r="F4609" s="1"/>
      <c r="G4609" s="18">
        <f t="shared" si="146"/>
        <v>0</v>
      </c>
    </row>
    <row r="4610" spans="1:7" ht="15.75" x14ac:dyDescent="0.25">
      <c r="A4610" s="15">
        <f>'PEDIDO 57'!$B$2</f>
        <v>0</v>
      </c>
      <c r="B4610" s="12" t="s">
        <v>471</v>
      </c>
      <c r="C4610" s="1">
        <f>IFERROR(VLOOKUP(1261,'PEDIDO 57'!$C$2:$E$230,3,0),0)</f>
        <v>0</v>
      </c>
      <c r="D4610" s="1"/>
      <c r="E4610" s="1"/>
      <c r="F4610" s="1"/>
      <c r="G4610" s="18">
        <f t="shared" si="146"/>
        <v>0</v>
      </c>
    </row>
    <row r="4611" spans="1:7" ht="15.75" x14ac:dyDescent="0.25">
      <c r="A4611" s="15">
        <f>'PEDIDO 57'!$B$2</f>
        <v>0</v>
      </c>
      <c r="B4611" s="12" t="s">
        <v>472</v>
      </c>
      <c r="C4611" s="1">
        <f>IFERROR(VLOOKUP(1262,'PEDIDO 57'!$C$2:$E$230,3,0),0)</f>
        <v>0</v>
      </c>
      <c r="D4611" s="1"/>
      <c r="E4611" s="1"/>
      <c r="F4611" s="1"/>
      <c r="G4611" s="18">
        <f t="shared" si="146"/>
        <v>0</v>
      </c>
    </row>
    <row r="4612" spans="1:7" ht="15.75" x14ac:dyDescent="0.25">
      <c r="A4612" s="15">
        <f>'PEDIDO 57'!$B$2</f>
        <v>0</v>
      </c>
      <c r="B4612" s="12" t="s">
        <v>473</v>
      </c>
      <c r="C4612" s="1">
        <f>IFERROR(VLOOKUP(1263,'PEDIDO 57'!$C$2:$E$230,3,0),0)</f>
        <v>0</v>
      </c>
      <c r="D4612" s="1"/>
      <c r="E4612" s="1"/>
      <c r="F4612" s="1"/>
      <c r="G4612" s="18">
        <f t="shared" si="146"/>
        <v>0</v>
      </c>
    </row>
    <row r="4613" spans="1:7" ht="15.75" x14ac:dyDescent="0.25">
      <c r="A4613" s="15">
        <f>'PEDIDO 57'!$B$2</f>
        <v>0</v>
      </c>
      <c r="B4613" s="12" t="s">
        <v>474</v>
      </c>
      <c r="C4613" s="1">
        <f>IFERROR(VLOOKUP(1264,'PEDIDO 57'!$C$2:$E$230,3,0),0)</f>
        <v>0</v>
      </c>
      <c r="D4613" s="1"/>
      <c r="E4613" s="1"/>
      <c r="F4613" s="1"/>
      <c r="G4613" s="18">
        <f t="shared" si="146"/>
        <v>0</v>
      </c>
    </row>
    <row r="4614" spans="1:7" ht="15.75" x14ac:dyDescent="0.25">
      <c r="A4614" s="15">
        <f>'PEDIDO 57'!$B$2</f>
        <v>0</v>
      </c>
      <c r="B4614" s="12" t="s">
        <v>475</v>
      </c>
      <c r="C4614" s="1">
        <f>IFERROR(VLOOKUP(1265,'PEDIDO 57'!$C$2:$E$230,3,0),0)</f>
        <v>0</v>
      </c>
      <c r="D4614" s="1"/>
      <c r="E4614" s="1"/>
      <c r="F4614" s="1"/>
      <c r="G4614" s="18">
        <f t="shared" si="146"/>
        <v>0</v>
      </c>
    </row>
    <row r="4615" spans="1:7" ht="15.75" x14ac:dyDescent="0.25">
      <c r="A4615" s="15">
        <f>'PEDIDO 57'!$B$2</f>
        <v>0</v>
      </c>
      <c r="B4615" s="12" t="s">
        <v>476</v>
      </c>
      <c r="C4615" s="1">
        <f>IFERROR(VLOOKUP(1266,'PEDIDO 57'!$C$2:$E$230,3,0),0)</f>
        <v>0</v>
      </c>
      <c r="D4615" s="1"/>
      <c r="E4615" s="1"/>
      <c r="F4615" s="1"/>
      <c r="G4615" s="18">
        <f t="shared" si="146"/>
        <v>0</v>
      </c>
    </row>
    <row r="4616" spans="1:7" ht="15.75" x14ac:dyDescent="0.25">
      <c r="A4616" s="15">
        <f>'PEDIDO 57'!$B$2</f>
        <v>0</v>
      </c>
      <c r="B4616" s="12" t="s">
        <v>477</v>
      </c>
      <c r="C4616" s="1">
        <f>IFERROR(VLOOKUP(1268,'PEDIDO 57'!$C$2:$E$230,3,0),0)</f>
        <v>0</v>
      </c>
      <c r="D4616" s="1">
        <f>IFERROR(VLOOKUP(1269,'PEDIDO 57'!$C$2:$E$230,3,0),0)</f>
        <v>0</v>
      </c>
      <c r="E4616" s="1">
        <f>IFERROR(VLOOKUP(1270,'PEDIDO 57'!$C$2:$E$230,3,0),0)</f>
        <v>0</v>
      </c>
      <c r="F4616" s="1">
        <f>IFERROR(VLOOKUP(1271,'PEDIDO 57'!$C$2:$E$230,3,0),0)</f>
        <v>0</v>
      </c>
      <c r="G4616" s="18">
        <f t="shared" ref="G4616" si="147">SUM(C4616+D4616+E4616+F4616)</f>
        <v>0</v>
      </c>
    </row>
    <row r="4619" spans="1:7" ht="15.75" x14ac:dyDescent="0.25">
      <c r="A4619" s="15">
        <f>'PEDIDO 58'!$B$2</f>
        <v>0</v>
      </c>
      <c r="B4619" s="12" t="s">
        <v>399</v>
      </c>
      <c r="C4619" s="1">
        <f>IFERROR(VLOOKUP(1,'PEDIDO 58'!$C$2:$E$230,3,0),0)</f>
        <v>0</v>
      </c>
      <c r="D4619" s="1">
        <f>IFERROR(VLOOKUP(2,'PEDIDO 58'!$C$2:$E$230,3,0),0)</f>
        <v>0</v>
      </c>
      <c r="E4619" s="1">
        <f>IFERROR(VLOOKUP(3,'PEDIDO 58'!$C$2:$E$230,3,0),0)</f>
        <v>0</v>
      </c>
      <c r="F4619" s="1">
        <f>IFERROR(VLOOKUP(282,'PEDIDO 58'!$C$2:$E$230,3,0),0)</f>
        <v>0</v>
      </c>
      <c r="G4619" s="18">
        <f t="shared" ref="G4619:G4682" si="148">SUM(C4619+D4619+E4619+F4619)</f>
        <v>0</v>
      </c>
    </row>
    <row r="4620" spans="1:7" ht="15.75" x14ac:dyDescent="0.25">
      <c r="A4620" s="15">
        <f>'PEDIDO 58'!$B$2</f>
        <v>0</v>
      </c>
      <c r="B4620" s="12" t="s">
        <v>400</v>
      </c>
      <c r="C4620" s="1">
        <f>IFERROR(VLOOKUP(5,'PEDIDO 58'!$C$2:$E$230,3,0),0)</f>
        <v>0</v>
      </c>
      <c r="D4620" s="1">
        <f>IFERROR(VLOOKUP(6,'PEDIDO 58'!$C$2:$E$230,3,0),0)</f>
        <v>0</v>
      </c>
      <c r="E4620" s="1">
        <f>IFERROR(VLOOKUP(7,'PEDIDO 58'!$C$2:$E$230,3,0),0)</f>
        <v>0</v>
      </c>
      <c r="F4620" s="1">
        <f>IFERROR(VLOOKUP(258,'PEDIDO 58'!$C$2:$E$230,3,0),0)</f>
        <v>0</v>
      </c>
      <c r="G4620" s="18">
        <f t="shared" si="148"/>
        <v>0</v>
      </c>
    </row>
    <row r="4621" spans="1:7" ht="15.75" x14ac:dyDescent="0.25">
      <c r="A4621" s="15">
        <f>'PEDIDO 58'!$B$2</f>
        <v>0</v>
      </c>
      <c r="B4621" s="12" t="s">
        <v>401</v>
      </c>
      <c r="C4621" s="1">
        <f>IFERROR(VLOOKUP(13,'PEDIDO 58'!$C$2:$E$230,3,0),0)</f>
        <v>0</v>
      </c>
      <c r="D4621" s="1">
        <f>IFERROR(VLOOKUP(14,'PEDIDO 58'!$C$2:$E$230,3,0),0)</f>
        <v>0</v>
      </c>
      <c r="E4621" s="1">
        <f>IFERROR(VLOOKUP(15,'PEDIDO 58'!$C$2:$E$230,3,0),0)</f>
        <v>0</v>
      </c>
      <c r="F4621" s="1">
        <f>IFERROR(VLOOKUP(289,'PEDIDO 58'!$C$2:$E$230,3,0),0)</f>
        <v>0</v>
      </c>
      <c r="G4621" s="18">
        <f t="shared" si="148"/>
        <v>0</v>
      </c>
    </row>
    <row r="4622" spans="1:7" ht="15.75" x14ac:dyDescent="0.25">
      <c r="A4622" s="15">
        <f>'PEDIDO 58'!$B$2</f>
        <v>0</v>
      </c>
      <c r="B4622" s="12" t="s">
        <v>402</v>
      </c>
      <c r="C4622" s="1">
        <f>IFERROR(VLOOKUP(267,'PEDIDO 58'!$C$2:$E$230,3,0),0)</f>
        <v>0</v>
      </c>
      <c r="D4622" s="1">
        <f>IFERROR(VLOOKUP(268,'PEDIDO 58'!$C$2:$E$230,3,0),0)</f>
        <v>0</v>
      </c>
      <c r="E4622" s="1">
        <f>IFERROR(VLOOKUP(270,'PEDIDO 58'!$C$2:$E$230,3,0),0)</f>
        <v>0</v>
      </c>
      <c r="F4622" s="1">
        <f>IFERROR(VLOOKUP(269,'PEDIDO 58'!$C$2:$E$230,3,0),0)</f>
        <v>0</v>
      </c>
      <c r="G4622" s="18">
        <f t="shared" si="148"/>
        <v>0</v>
      </c>
    </row>
    <row r="4623" spans="1:7" ht="15.75" x14ac:dyDescent="0.25">
      <c r="A4623" s="15">
        <f>'PEDIDO 58'!$B$2</f>
        <v>0</v>
      </c>
      <c r="B4623" s="12" t="s">
        <v>403</v>
      </c>
      <c r="C4623" s="1">
        <f>IFERROR(VLOOKUP(17,'PEDIDO 58'!$C$2:$E$230,3,0),0)</f>
        <v>0</v>
      </c>
      <c r="D4623" s="1">
        <f>IFERROR(VLOOKUP(18,'PEDIDO 58'!$C$2:$E$230,3,0),0)</f>
        <v>0</v>
      </c>
      <c r="E4623" s="1">
        <f>IFERROR(VLOOKUP(19,'PEDIDO 58'!$C$2:$E$230,3,0),0)</f>
        <v>0</v>
      </c>
      <c r="F4623" s="1">
        <f>IFERROR(VLOOKUP(290,'PEDIDO 58'!$C$2:$E$230,3,0),0)</f>
        <v>0</v>
      </c>
      <c r="G4623" s="18">
        <f t="shared" si="148"/>
        <v>0</v>
      </c>
    </row>
    <row r="4624" spans="1:7" ht="15.75" x14ac:dyDescent="0.25">
      <c r="A4624" s="15">
        <f>'PEDIDO 58'!$B$2</f>
        <v>0</v>
      </c>
      <c r="B4624" s="12" t="s">
        <v>404</v>
      </c>
      <c r="C4624" s="1">
        <f>IFERROR(VLOOKUP(23,'PEDIDO 58'!$C$2:$E$230,3,0),0)</f>
        <v>0</v>
      </c>
      <c r="D4624" s="1">
        <f>IFERROR(VLOOKUP(24,'PEDIDO 58'!$C$2:$E$230,3,0),0)</f>
        <v>0</v>
      </c>
      <c r="E4624" s="1">
        <f>IFERROR(VLOOKUP(25,'PEDIDO 58'!$C$2:$E$230,3,0),0)</f>
        <v>0</v>
      </c>
      <c r="F4624" s="1">
        <f>IFERROR(VLOOKUP(291,'PEDIDO 58'!$C$2:$E$230,3,0),0)</f>
        <v>0</v>
      </c>
      <c r="G4624" s="18">
        <f t="shared" si="148"/>
        <v>0</v>
      </c>
    </row>
    <row r="4625" spans="1:7" ht="15.75" x14ac:dyDescent="0.25">
      <c r="A4625" s="15">
        <f>'PEDIDO 58'!$B$2</f>
        <v>0</v>
      </c>
      <c r="B4625" s="12" t="s">
        <v>405</v>
      </c>
      <c r="C4625" s="1">
        <f>IFERROR(VLOOKUP(27,'PEDIDO 58'!$C$2:$E$230,3,0),0)</f>
        <v>0</v>
      </c>
      <c r="D4625" s="1">
        <f>IFERROR(VLOOKUP(28,'PEDIDO 58'!$C$2:$E$230,3,0),0)</f>
        <v>0</v>
      </c>
      <c r="E4625" s="1">
        <f>IFERROR(VLOOKUP(29,'PEDIDO 58'!$C$2:$E$230,3,0),0)</f>
        <v>0</v>
      </c>
      <c r="F4625" s="1">
        <f>IFERROR(VLOOKUP(292,'PEDIDO 58'!$C$2:$E$230,3,0),0)</f>
        <v>0</v>
      </c>
      <c r="G4625" s="18">
        <f t="shared" si="148"/>
        <v>0</v>
      </c>
    </row>
    <row r="4626" spans="1:7" ht="15.75" x14ac:dyDescent="0.25">
      <c r="A4626" s="15">
        <f>'PEDIDO 58'!$B$2</f>
        <v>0</v>
      </c>
      <c r="B4626" s="12" t="s">
        <v>406</v>
      </c>
      <c r="C4626" s="1">
        <f>IFERROR(VLOOKUP(227,'PEDIDO 58'!$C$2:$E$230,3,0),0)</f>
        <v>0</v>
      </c>
      <c r="D4626" s="1">
        <f>IFERROR(VLOOKUP(228,'PEDIDO 58'!$C$2:$E$230,3,0),0)</f>
        <v>0</v>
      </c>
      <c r="E4626" s="1">
        <f>IFERROR(VLOOKUP(229,'PEDIDO 58'!$C$2:$E$230,3,0),0)</f>
        <v>0</v>
      </c>
      <c r="F4626" s="1">
        <f>IFERROR(VLOOKUP(230,'PEDIDO 58'!$C$2:$E$230,3,0),0)</f>
        <v>0</v>
      </c>
      <c r="G4626" s="18">
        <f t="shared" si="148"/>
        <v>0</v>
      </c>
    </row>
    <row r="4627" spans="1:7" ht="15.75" x14ac:dyDescent="0.25">
      <c r="A4627" s="15">
        <f>'PEDIDO 58'!$B$2</f>
        <v>0</v>
      </c>
      <c r="B4627" s="12" t="s">
        <v>407</v>
      </c>
      <c r="C4627" s="1">
        <f>IFERROR(VLOOKUP(231,'PEDIDO 58'!$C$2:$E$230,3,0),0)</f>
        <v>0</v>
      </c>
      <c r="D4627" s="1">
        <f>IFERROR(VLOOKUP(232,'PEDIDO 58'!$C$2:$E$230,3,0),0)</f>
        <v>0</v>
      </c>
      <c r="E4627" s="1">
        <f>IFERROR(VLOOKUP(234,'PEDIDO 58'!$C$2:$E$230,3,0),0)</f>
        <v>0</v>
      </c>
      <c r="F4627" s="1">
        <f>IFERROR(VLOOKUP(233,'PEDIDO 58'!$C$2:$E$230,3,0),0)</f>
        <v>0</v>
      </c>
      <c r="G4627" s="18">
        <f t="shared" si="148"/>
        <v>0</v>
      </c>
    </row>
    <row r="4628" spans="1:7" ht="15.75" x14ac:dyDescent="0.25">
      <c r="A4628" s="15">
        <f>'PEDIDO 58'!$B$2</f>
        <v>0</v>
      </c>
      <c r="B4628" s="12" t="s">
        <v>408</v>
      </c>
      <c r="C4628" s="1">
        <f>IFERROR(VLOOKUP(237,'PEDIDO 58'!$C$2:$E$230,3,0),0)</f>
        <v>0</v>
      </c>
      <c r="D4628" s="1">
        <f>IFERROR(VLOOKUP(238,'PEDIDO 58'!$C$2:$E$230,3,0),0)</f>
        <v>0</v>
      </c>
      <c r="E4628" s="1">
        <f>IFERROR(VLOOKUP(240,'PEDIDO 58'!$C$2:$E$230,3,0),0)</f>
        <v>0</v>
      </c>
      <c r="F4628" s="1">
        <f>IFERROR(VLOOKUP(239,'PEDIDO 58'!$C$2:$E$230,3,0),0)</f>
        <v>0</v>
      </c>
      <c r="G4628" s="18">
        <f t="shared" si="148"/>
        <v>0</v>
      </c>
    </row>
    <row r="4629" spans="1:7" ht="15.75" x14ac:dyDescent="0.25">
      <c r="A4629" s="15">
        <f>'PEDIDO 58'!$B$2</f>
        <v>0</v>
      </c>
      <c r="B4629" s="12" t="s">
        <v>409</v>
      </c>
      <c r="C4629" s="1">
        <f>IFERROR(VLOOKUP(25707,'PEDIDO 58'!$C$2:$E$230,3,0),0)</f>
        <v>0</v>
      </c>
      <c r="D4629" s="1">
        <f>IFERROR(VLOOKUP(25708,'PEDIDO 58'!$C$2:$E$230,3,0),0)</f>
        <v>0</v>
      </c>
      <c r="E4629" s="1">
        <f>IFERROR(VLOOKUP(25710,'PEDIDO 58'!$C$2:$E$230,3,0),0)</f>
        <v>0</v>
      </c>
      <c r="F4629" s="1">
        <f>IFERROR(VLOOKUP(25709,'PEDIDO 58'!$C$2:$E$230,3,0),0)</f>
        <v>0</v>
      </c>
      <c r="G4629" s="18">
        <f t="shared" si="148"/>
        <v>0</v>
      </c>
    </row>
    <row r="4630" spans="1:7" ht="15.75" x14ac:dyDescent="0.25">
      <c r="A4630" s="15">
        <f>'PEDIDO 58'!$B$2</f>
        <v>0</v>
      </c>
      <c r="B4630" s="12" t="s">
        <v>410</v>
      </c>
      <c r="C4630" s="1">
        <f>IFERROR(VLOOKUP(25711,'PEDIDO 58'!$C$2:$E$230,3,0),0)</f>
        <v>0</v>
      </c>
      <c r="D4630" s="1"/>
      <c r="E4630" s="1"/>
      <c r="F4630" s="1"/>
      <c r="G4630" s="18">
        <f t="shared" si="148"/>
        <v>0</v>
      </c>
    </row>
    <row r="4631" spans="1:7" ht="15.75" x14ac:dyDescent="0.25">
      <c r="A4631" s="15">
        <f>'PEDIDO 58'!$B$2</f>
        <v>0</v>
      </c>
      <c r="B4631" s="12" t="s">
        <v>411</v>
      </c>
      <c r="C4631" s="1">
        <f>IFERROR(VLOOKUP(35,'PEDIDO 58'!$C$2:$E$230,3,0),0)</f>
        <v>0</v>
      </c>
      <c r="D4631" s="1">
        <f>IFERROR(VLOOKUP(36,'PEDIDO 58'!$C$2:$E$230,3,0),0)</f>
        <v>0</v>
      </c>
      <c r="E4631" s="1">
        <f>IFERROR(VLOOKUP(37,'PEDIDO 58'!$C$2:$E$230,3,0),0)</f>
        <v>0</v>
      </c>
      <c r="F4631" s="1">
        <f>IFERROR(VLOOKUP(294,'PEDIDO 58'!$C$2:$E$230,3,0),0)</f>
        <v>0</v>
      </c>
      <c r="G4631" s="18">
        <f t="shared" si="148"/>
        <v>0</v>
      </c>
    </row>
    <row r="4632" spans="1:7" ht="15.75" x14ac:dyDescent="0.25">
      <c r="A4632" s="15">
        <f>'PEDIDO 58'!$B$2</f>
        <v>0</v>
      </c>
      <c r="B4632" s="12" t="s">
        <v>412</v>
      </c>
      <c r="C4632" s="1">
        <f>IFERROR(VLOOKUP(39,'PEDIDO 58'!$C$2:$E$230,3,0),0)</f>
        <v>0</v>
      </c>
      <c r="D4632" s="1">
        <f>IFERROR(VLOOKUP(40,'PEDIDO 58'!$C$2:$E$230,3,0),0)</f>
        <v>0</v>
      </c>
      <c r="E4632" s="1">
        <f>IFERROR(VLOOKUP(42,'PEDIDO 58'!$C$2:$E$230,3,0),0)</f>
        <v>0</v>
      </c>
      <c r="F4632" s="1">
        <f>IFERROR(VLOOKUP(295,'PEDIDO 58'!$C$2:$E$230,3,0),0)</f>
        <v>0</v>
      </c>
      <c r="G4632" s="18">
        <f t="shared" si="148"/>
        <v>0</v>
      </c>
    </row>
    <row r="4633" spans="1:7" ht="15.75" x14ac:dyDescent="0.25">
      <c r="A4633" s="15">
        <f>'PEDIDO 58'!$B$2</f>
        <v>0</v>
      </c>
      <c r="B4633" s="12" t="s">
        <v>413</v>
      </c>
      <c r="C4633" s="1">
        <f>IFERROR(VLOOKUP(44,'PEDIDO 58'!$C$2:$E$230,3,0),0)</f>
        <v>0</v>
      </c>
      <c r="D4633" s="1">
        <f>IFERROR(VLOOKUP(45,'PEDIDO 58'!$C$2:$E$230,3,0),0)</f>
        <v>0</v>
      </c>
      <c r="E4633" s="1">
        <f>IFERROR(VLOOKUP(46,'PEDIDO 58'!$C$2:$E$230,3,0),0)</f>
        <v>0</v>
      </c>
      <c r="F4633" s="1">
        <f>IFERROR(VLOOKUP(283,'PEDIDO 58'!$C$2:$E$230,3,0),0)</f>
        <v>0</v>
      </c>
      <c r="G4633" s="18">
        <f t="shared" si="148"/>
        <v>0</v>
      </c>
    </row>
    <row r="4634" spans="1:7" ht="15.75" x14ac:dyDescent="0.25">
      <c r="A4634" s="15">
        <f>'PEDIDO 58'!$B$2</f>
        <v>0</v>
      </c>
      <c r="B4634" s="12" t="s">
        <v>414</v>
      </c>
      <c r="C4634" s="1">
        <f>IFERROR(VLOOKUP(48,'PEDIDO 58'!$C$2:$E$230,3,0),0)</f>
        <v>0</v>
      </c>
      <c r="D4634" s="1">
        <f>IFERROR(VLOOKUP(49,'PEDIDO 58'!$C$2:$E$230,3,0),0)</f>
        <v>0</v>
      </c>
      <c r="E4634" s="1">
        <f>IFERROR(VLOOKUP(50,'PEDIDO 58'!$C$2:$E$230,3,0),0)</f>
        <v>0</v>
      </c>
      <c r="F4634" s="1">
        <f>IFERROR(VLOOKUP(298,'PEDIDO 58'!$C$2:$E$230,3,0),0)</f>
        <v>0</v>
      </c>
      <c r="G4634" s="18">
        <f t="shared" si="148"/>
        <v>0</v>
      </c>
    </row>
    <row r="4635" spans="1:7" ht="15.75" x14ac:dyDescent="0.25">
      <c r="A4635" s="15">
        <f>'PEDIDO 58'!$B$2</f>
        <v>0</v>
      </c>
      <c r="B4635" s="12" t="s">
        <v>415</v>
      </c>
      <c r="C4635" s="1">
        <f>IFERROR(VLOOKUP(52,'PEDIDO 58'!$C$2:$E$230,3,0),0)</f>
        <v>0</v>
      </c>
      <c r="D4635" s="1">
        <f>IFERROR(VLOOKUP(53,'PEDIDO 58'!$C$2:$E$230,3,0),0)</f>
        <v>0</v>
      </c>
      <c r="E4635" s="1">
        <f>IFERROR(VLOOKUP(54,'PEDIDO 58'!$C$2:$E$230,3,0),0)</f>
        <v>0</v>
      </c>
      <c r="F4635" s="1">
        <f>IFERROR(VLOOKUP(299,'PEDIDO 58'!$C$2:$E$230,3,0),0)</f>
        <v>0</v>
      </c>
      <c r="G4635" s="18">
        <f t="shared" si="148"/>
        <v>0</v>
      </c>
    </row>
    <row r="4636" spans="1:7" ht="15.75" x14ac:dyDescent="0.25">
      <c r="A4636" s="15">
        <f>'PEDIDO 58'!$B$2</f>
        <v>0</v>
      </c>
      <c r="B4636" s="12" t="s">
        <v>416</v>
      </c>
      <c r="C4636" s="1">
        <f>IFERROR(VLOOKUP(56,'PEDIDO 58'!$C$2:$E$230,3,0),0)</f>
        <v>0</v>
      </c>
      <c r="D4636" s="1">
        <f>IFERROR(VLOOKUP(61,'PEDIDO 58'!$C$2:$E$230,3,0),0)</f>
        <v>0</v>
      </c>
      <c r="E4636" s="1">
        <f>IFERROR(VLOOKUP(58,'PEDIDO 58'!$C$2:$E$230,3,0),0)</f>
        <v>0</v>
      </c>
      <c r="F4636" s="1">
        <f>IFERROR(VLOOKUP(300,'PEDIDO 58'!$C$2:$E$230,3,0),0)</f>
        <v>0</v>
      </c>
      <c r="G4636" s="18">
        <f t="shared" si="148"/>
        <v>0</v>
      </c>
    </row>
    <row r="4637" spans="1:7" ht="15.75" x14ac:dyDescent="0.25">
      <c r="A4637" s="15">
        <f>'PEDIDO 58'!$B$2</f>
        <v>0</v>
      </c>
      <c r="B4637" s="12" t="s">
        <v>417</v>
      </c>
      <c r="C4637" s="1">
        <f>IFERROR(VLOOKUP(60,'PEDIDO 58'!$C$2:$E$230,3,0),0)</f>
        <v>0</v>
      </c>
      <c r="D4637" s="1">
        <f>IFERROR(VLOOKUP(120,'PEDIDO 58'!$C$2:$E$230,3,0),0)</f>
        <v>0</v>
      </c>
      <c r="E4637" s="1">
        <f>IFERROR(VLOOKUP(62,'PEDIDO 58'!$C$2:$E$230,3,0),0)</f>
        <v>0</v>
      </c>
      <c r="F4637" s="1">
        <f>IFERROR(VLOOKUP(301,'PEDIDO 58'!$C$2:$E$230,3,0),0)</f>
        <v>0</v>
      </c>
      <c r="G4637" s="18">
        <f t="shared" si="148"/>
        <v>0</v>
      </c>
    </row>
    <row r="4638" spans="1:7" ht="15.75" x14ac:dyDescent="0.25">
      <c r="A4638" s="15">
        <f>'PEDIDO 58'!$B$2</f>
        <v>0</v>
      </c>
      <c r="B4638" s="12" t="s">
        <v>426</v>
      </c>
      <c r="C4638" s="1">
        <f>IFERROR(VLOOKUP(112,'PEDIDO 58'!$C$2:$E$230,3,0),0)</f>
        <v>0</v>
      </c>
      <c r="D4638" s="1">
        <f>IFERROR(VLOOKUP(113,'PEDIDO 58'!$C$2:$E$230,3,0),0)</f>
        <v>0</v>
      </c>
      <c r="E4638" s="1">
        <f>IFERROR(VLOOKUP(114,'PEDIDO 58'!$C$2:$E$230,3,0),0)</f>
        <v>0</v>
      </c>
      <c r="F4638" s="1">
        <f>IFERROR(VLOOKUP(296,'PEDIDO 58'!$C$2:$E$230,3,0),0)</f>
        <v>0</v>
      </c>
      <c r="G4638" s="18">
        <f t="shared" si="148"/>
        <v>0</v>
      </c>
    </row>
    <row r="4639" spans="1:7" ht="15.75" x14ac:dyDescent="0.25">
      <c r="A4639" s="15">
        <f>'PEDIDO 58'!$B$2</f>
        <v>0</v>
      </c>
      <c r="B4639" s="12" t="s">
        <v>427</v>
      </c>
      <c r="C4639" s="1">
        <f>IFERROR(VLOOKUP(116,'PEDIDO 58'!$C$2:$E$230,3,0),0)</f>
        <v>0</v>
      </c>
      <c r="D4639" s="1">
        <f>IFERROR(VLOOKUP(117,'PEDIDO 58'!$C$2:$E$230,3,0),0)</f>
        <v>0</v>
      </c>
      <c r="E4639" s="1">
        <f>IFERROR(VLOOKUP(118,'PEDIDO 58'!$C$2:$E$230,3,0),0)</f>
        <v>0</v>
      </c>
      <c r="F4639" s="1">
        <f>IFERROR(VLOOKUP(293,'PEDIDO 58'!$C$2:$E$230,3,0),0)</f>
        <v>0</v>
      </c>
      <c r="G4639" s="18">
        <f t="shared" si="148"/>
        <v>0</v>
      </c>
    </row>
    <row r="4640" spans="1:7" ht="15.75" x14ac:dyDescent="0.25">
      <c r="A4640" s="15">
        <f>'PEDIDO 58'!$B$2</f>
        <v>0</v>
      </c>
      <c r="B4640" s="12" t="s">
        <v>418</v>
      </c>
      <c r="C4640" s="1">
        <f>IFERROR(VLOOKUP(963,'PEDIDO 58'!$C$2:$E$230,3,0),0)</f>
        <v>0</v>
      </c>
      <c r="D4640" s="1">
        <f>IFERROR(VLOOKUP(965,'PEDIDO 58'!$C$2:$E$230,3,0),0)</f>
        <v>0</v>
      </c>
      <c r="E4640" s="1">
        <f>IFERROR(VLOOKUP(966,'PEDIDO 58'!$C$2:$E$230,3,0),0)</f>
        <v>0</v>
      </c>
      <c r="F4640" s="1">
        <f>IFERROR(VLOOKUP(964,'PEDIDO 58'!$C$2:$E$230,3,0),0)</f>
        <v>0</v>
      </c>
      <c r="G4640" s="18">
        <f t="shared" si="148"/>
        <v>0</v>
      </c>
    </row>
    <row r="4641" spans="1:7" ht="15.75" x14ac:dyDescent="0.25">
      <c r="A4641" s="15">
        <f>'PEDIDO 58'!$B$2</f>
        <v>0</v>
      </c>
      <c r="B4641" s="12" t="s">
        <v>419</v>
      </c>
      <c r="C4641" s="1">
        <f>IFERROR(VLOOKUP(2042,'PEDIDO 58'!$C$2:$E$230,3,0),0)</f>
        <v>0</v>
      </c>
      <c r="D4641" s="1">
        <f>IFERROR(VLOOKUP(2041,'PEDIDO 58'!$C$2:$E$230,3,0),0)</f>
        <v>0</v>
      </c>
      <c r="E4641" s="1">
        <f>IFERROR(VLOOKUP(2043,'PEDIDO 58'!$C$2:$E$230,3,0),0)</f>
        <v>0</v>
      </c>
      <c r="F4641" s="1">
        <f>IFERROR(VLOOKUP(2040,'PEDIDO 58'!$C$2:$E$230,3,0),0)</f>
        <v>0</v>
      </c>
      <c r="G4641" s="18">
        <f t="shared" si="148"/>
        <v>0</v>
      </c>
    </row>
    <row r="4642" spans="1:7" ht="15.75" x14ac:dyDescent="0.25">
      <c r="A4642" s="15">
        <f>'PEDIDO 58'!$B$2</f>
        <v>0</v>
      </c>
      <c r="B4642" s="12" t="s">
        <v>420</v>
      </c>
      <c r="C4642" s="1">
        <f>IFERROR(VLOOKUP(2045,'PEDIDO 58'!$C$2:$E$230,3,0),0)</f>
        <v>0</v>
      </c>
      <c r="D4642" s="1">
        <f>IFERROR(VLOOKUP(2046,'PEDIDO 58'!$C$2:$E$230,3,0),0)</f>
        <v>0</v>
      </c>
      <c r="E4642" s="1">
        <f>IFERROR(VLOOKUP(2047,'PEDIDO 58'!$C$2:$E$230,3,0),0)</f>
        <v>0</v>
      </c>
      <c r="F4642" s="1">
        <f>IFERROR(VLOOKUP(2048,'PEDIDO 58'!$C$2:$E$230,3,0),0)</f>
        <v>0</v>
      </c>
      <c r="G4642" s="18">
        <f t="shared" si="148"/>
        <v>0</v>
      </c>
    </row>
    <row r="4643" spans="1:7" ht="15.75" x14ac:dyDescent="0.25">
      <c r="A4643" s="15">
        <f>'PEDIDO 58'!$B$2</f>
        <v>0</v>
      </c>
      <c r="B4643" s="12" t="s">
        <v>421</v>
      </c>
      <c r="C4643" s="1">
        <f>IFERROR(VLOOKUP(2050,'PEDIDO 58'!$C$2:$E$230,3,0),0)</f>
        <v>0</v>
      </c>
      <c r="D4643" s="1">
        <f>IFERROR(VLOOKUP(2051,'PEDIDO 58'!$C$2:$E$230,3,0),0)</f>
        <v>0</v>
      </c>
      <c r="E4643" s="1">
        <f>IFERROR(VLOOKUP(2052,'PEDIDO 58'!$C$2:$E$230,3,0),0)</f>
        <v>0</v>
      </c>
      <c r="F4643" s="1">
        <f>IFERROR(VLOOKUP(2053,'PEDIDO 58'!$C$2:$E$230,3,0),0)</f>
        <v>0</v>
      </c>
      <c r="G4643" s="18">
        <f t="shared" si="148"/>
        <v>0</v>
      </c>
    </row>
    <row r="4644" spans="1:7" ht="15.75" x14ac:dyDescent="0.25">
      <c r="A4644" s="15">
        <f>'PEDIDO 58'!$B$2</f>
        <v>0</v>
      </c>
      <c r="B4644" s="12" t="s">
        <v>422</v>
      </c>
      <c r="C4644" s="1">
        <f>IFERROR(VLOOKUP(216,'PEDIDO 58'!$C$2:$E$230,3,0),0)</f>
        <v>0</v>
      </c>
      <c r="D4644" s="1">
        <f>IFERROR(VLOOKUP(217,'PEDIDO 58'!$C$2:$E$230,3,0),0)</f>
        <v>0</v>
      </c>
      <c r="E4644" s="1">
        <f>IFERROR(VLOOKUP(218,'PEDIDO 58'!$C$2:$E$230,3,0),0)</f>
        <v>0</v>
      </c>
      <c r="F4644" s="1">
        <f>IFERROR(VLOOKUP(305,'PEDIDO 58'!$C$2:$E$230,3,0),0)</f>
        <v>0</v>
      </c>
      <c r="G4644" s="18">
        <f t="shared" si="148"/>
        <v>0</v>
      </c>
    </row>
    <row r="4645" spans="1:7" ht="15.75" x14ac:dyDescent="0.25">
      <c r="A4645" s="15">
        <f>'PEDIDO 58'!$B$2</f>
        <v>0</v>
      </c>
      <c r="B4645" s="12" t="s">
        <v>423</v>
      </c>
      <c r="C4645" s="1">
        <f>IFERROR(VLOOKUP(100,'PEDIDO 58'!$C$2:$E$230,3,0),0)</f>
        <v>0</v>
      </c>
      <c r="D4645" s="1">
        <f>IFERROR(VLOOKUP(101,'PEDIDO 58'!$C$2:$E$230,3,0),0)</f>
        <v>0</v>
      </c>
      <c r="E4645" s="1">
        <f>IFERROR(VLOOKUP(102,'PEDIDO 58'!$C$2:$E$230,3,0),0)</f>
        <v>0</v>
      </c>
      <c r="F4645" s="1">
        <f>IFERROR(VLOOKUP(306,'PEDIDO 58'!$C$2:$E$230,3,0),0)</f>
        <v>0</v>
      </c>
      <c r="G4645" s="18">
        <f t="shared" si="148"/>
        <v>0</v>
      </c>
    </row>
    <row r="4646" spans="1:7" ht="15.75" x14ac:dyDescent="0.25">
      <c r="A4646" s="15">
        <f>'PEDIDO 58'!$B$2</f>
        <v>0</v>
      </c>
      <c r="B4646" s="12" t="s">
        <v>424</v>
      </c>
      <c r="C4646" s="1">
        <f>IFERROR(VLOOKUP(104,'PEDIDO 58'!$C$2:$E$230,3,0),0)</f>
        <v>0</v>
      </c>
      <c r="D4646" s="1">
        <f>IFERROR(VLOOKUP(105,'PEDIDO 58'!$C$2:$E$230,3,0),0)</f>
        <v>0</v>
      </c>
      <c r="E4646" s="1">
        <f>IFERROR(VLOOKUP(106,'PEDIDO 58'!$C$2:$E$230,3,0),0)</f>
        <v>0</v>
      </c>
      <c r="F4646" s="1">
        <f>IFERROR(VLOOKUP(307,'PEDIDO 58'!$C$2:$E$230,3,0),0)</f>
        <v>0</v>
      </c>
      <c r="G4646" s="18">
        <f t="shared" si="148"/>
        <v>0</v>
      </c>
    </row>
    <row r="4647" spans="1:7" ht="15.75" x14ac:dyDescent="0.25">
      <c r="A4647" s="15">
        <f>'PEDIDO 58'!$B$2</f>
        <v>0</v>
      </c>
      <c r="B4647" s="12" t="s">
        <v>425</v>
      </c>
      <c r="C4647" s="1">
        <f>IFERROR(VLOOKUP(400,'PEDIDO 58'!$C$2:$E$230,3,0),0)</f>
        <v>0</v>
      </c>
      <c r="D4647" s="1">
        <f>IFERROR(VLOOKUP(401,'PEDIDO 58'!$C$2:$E$230,3,0),0)</f>
        <v>0</v>
      </c>
      <c r="E4647" s="1">
        <f>IFERROR(VLOOKUP(402,'PEDIDO 58'!$C$2:$E$230,3,0),0)</f>
        <v>0</v>
      </c>
      <c r="F4647" s="1">
        <f>IFERROR(VLOOKUP(403,'PEDIDO 58'!$C$2:$E$230,3,0),0)</f>
        <v>0</v>
      </c>
      <c r="G4647" s="18">
        <f t="shared" si="148"/>
        <v>0</v>
      </c>
    </row>
    <row r="4648" spans="1:7" ht="15.75" x14ac:dyDescent="0.25">
      <c r="A4648" s="15">
        <f>'PEDIDO 58'!$B$2</f>
        <v>0</v>
      </c>
      <c r="B4648" s="12" t="s">
        <v>428</v>
      </c>
      <c r="C4648" s="1">
        <f>IFERROR(VLOOKUP(22,'PEDIDO 58'!$C$2:$E$230,3,0),0)</f>
        <v>0</v>
      </c>
      <c r="D4648" s="1"/>
      <c r="E4648" s="1"/>
      <c r="F4648" s="1"/>
      <c r="G4648" s="18">
        <f t="shared" si="148"/>
        <v>0</v>
      </c>
    </row>
    <row r="4649" spans="1:7" ht="15.75" x14ac:dyDescent="0.25">
      <c r="A4649" s="15">
        <f>'PEDIDO 58'!$B$2</f>
        <v>0</v>
      </c>
      <c r="B4649" s="12" t="s">
        <v>429</v>
      </c>
      <c r="C4649" s="1">
        <f>IFERROR(VLOOKUP(21,'PEDIDO 58'!$C$2:$E$230,3,0),0)</f>
        <v>0</v>
      </c>
      <c r="D4649" s="1"/>
      <c r="E4649" s="1"/>
      <c r="F4649" s="1"/>
      <c r="G4649" s="18">
        <f t="shared" si="148"/>
        <v>0</v>
      </c>
    </row>
    <row r="4650" spans="1:7" ht="15.75" x14ac:dyDescent="0.25">
      <c r="A4650" s="15">
        <f>'PEDIDO 58'!$B$2</f>
        <v>0</v>
      </c>
      <c r="B4650" s="12" t="s">
        <v>430</v>
      </c>
      <c r="C4650" s="1">
        <f>IFERROR(VLOOKUP(1125,'PEDIDO 58'!$C$2:$E$230,3,0),0)</f>
        <v>0</v>
      </c>
      <c r="D4650" s="1">
        <f>IFERROR(VLOOKUP(1126,'PEDIDO 58'!$C$2:$E$230,3,0),0)</f>
        <v>0</v>
      </c>
      <c r="E4650" s="1">
        <f>IFERROR(VLOOKUP(1127,'PEDIDO 58'!$C$2:$E$230,3,0),0)</f>
        <v>0</v>
      </c>
      <c r="F4650" s="1">
        <f>IFERROR(VLOOKUP(1128,'PEDIDO 58'!$C$2:$E$230,3,0),0)</f>
        <v>0</v>
      </c>
      <c r="G4650" s="18">
        <f t="shared" si="148"/>
        <v>0</v>
      </c>
    </row>
    <row r="4651" spans="1:7" ht="15.75" x14ac:dyDescent="0.25">
      <c r="A4651" s="15">
        <f>'PEDIDO 58'!$B$2</f>
        <v>0</v>
      </c>
      <c r="B4651" s="12" t="s">
        <v>431</v>
      </c>
      <c r="C4651" s="1">
        <f>IFERROR(VLOOKUP(1133,'PEDIDO 58'!$C$2:$E$230,3,0),0)</f>
        <v>0</v>
      </c>
      <c r="D4651" s="1">
        <f>IFERROR(VLOOKUP(1134,'PEDIDO 58'!$C$2:$E$230,3,0),0)</f>
        <v>0</v>
      </c>
      <c r="E4651" s="1">
        <f>IFERROR(VLOOKUP(1135,'PEDIDO 58'!$C$2:$E$230,3,0),0)</f>
        <v>0</v>
      </c>
      <c r="F4651" s="1">
        <f>IFERROR(VLOOKUP(1136,'PEDIDO 58'!$C$2:$E$230,3,0),0)</f>
        <v>0</v>
      </c>
      <c r="G4651" s="18">
        <f t="shared" si="148"/>
        <v>0</v>
      </c>
    </row>
    <row r="4652" spans="1:7" ht="15.75" x14ac:dyDescent="0.25">
      <c r="A4652" s="15">
        <f>'PEDIDO 58'!$B$2</f>
        <v>0</v>
      </c>
      <c r="B4652" s="12" t="s">
        <v>432</v>
      </c>
      <c r="C4652" s="1">
        <f>IFERROR(VLOOKUP(1105,'PEDIDO 58'!$C$2:$E$230,3,0),0)</f>
        <v>0</v>
      </c>
      <c r="D4652" s="1">
        <f>IFERROR(VLOOKUP(1106,'PEDIDO 58'!$C$2:$E$230,3,0),0)</f>
        <v>0</v>
      </c>
      <c r="E4652" s="1">
        <f>IFERROR(VLOOKUP(1107,'PEDIDO 58'!$C$2:$E$230,3,0),0)</f>
        <v>0</v>
      </c>
      <c r="F4652" s="1">
        <f>IFERROR(VLOOKUP(1108,'PEDIDO 58'!$C$2:$E$230,3,0),0)</f>
        <v>0</v>
      </c>
      <c r="G4652" s="18">
        <f t="shared" si="148"/>
        <v>0</v>
      </c>
    </row>
    <row r="4653" spans="1:7" ht="15.75" x14ac:dyDescent="0.25">
      <c r="A4653" s="15">
        <f>'PEDIDO 58'!$B$2</f>
        <v>0</v>
      </c>
      <c r="B4653" s="12" t="s">
        <v>433</v>
      </c>
      <c r="C4653" s="1">
        <f>IFERROR(VLOOKUP(1109,'PEDIDO 58'!$C$2:$E$230,3,0),0)</f>
        <v>0</v>
      </c>
      <c r="D4653" s="1">
        <f>IFERROR(VLOOKUP(1110,'PEDIDO 58'!$C$2:$E$230,3,0),0)</f>
        <v>0</v>
      </c>
      <c r="E4653" s="1">
        <f>IFERROR(VLOOKUP(1111,'PEDIDO 58'!$C$2:$E$230,3,0),0)</f>
        <v>0</v>
      </c>
      <c r="F4653" s="1">
        <f>IFERROR(VLOOKUP(1112,'PEDIDO 58'!$C$2:$E$230,3,0),0)</f>
        <v>0</v>
      </c>
      <c r="G4653" s="18">
        <f t="shared" si="148"/>
        <v>0</v>
      </c>
    </row>
    <row r="4654" spans="1:7" ht="15.75" x14ac:dyDescent="0.25">
      <c r="A4654" s="15">
        <f>'PEDIDO 58'!$B$2</f>
        <v>0</v>
      </c>
      <c r="B4654" s="12" t="s">
        <v>434</v>
      </c>
      <c r="C4654" s="1">
        <f>IFERROR(VLOOKUP(1113,'PEDIDO 58'!$C$2:$E$230,3,0),0)</f>
        <v>0</v>
      </c>
      <c r="D4654" s="1">
        <f>IFERROR(VLOOKUP(1114,'PEDIDO 58'!$C$2:$E$230,3,0),0)</f>
        <v>0</v>
      </c>
      <c r="E4654" s="1">
        <f>IFERROR(VLOOKUP(1115,'PEDIDO 58'!$C$2:$E$230,3,0),0)</f>
        <v>0</v>
      </c>
      <c r="F4654" s="1">
        <f>IFERROR(VLOOKUP(1116,'PEDIDO 58'!$C$2:$E$230,3,0),0)</f>
        <v>0</v>
      </c>
      <c r="G4654" s="18">
        <f t="shared" si="148"/>
        <v>0</v>
      </c>
    </row>
    <row r="4655" spans="1:7" ht="15.75" x14ac:dyDescent="0.25">
      <c r="A4655" s="15">
        <f>'PEDIDO 58'!$B$2</f>
        <v>0</v>
      </c>
      <c r="B4655" s="12" t="s">
        <v>435</v>
      </c>
      <c r="C4655" s="1">
        <f>IFERROR(VLOOKUP(1117,'PEDIDO 58'!$C$2:$E$230,3,0),0)</f>
        <v>0</v>
      </c>
      <c r="D4655" s="1">
        <f>IFERROR(VLOOKUP(1118,'PEDIDO 58'!$C$2:$E$230,3,0),0)</f>
        <v>0</v>
      </c>
      <c r="E4655" s="1">
        <f>IFERROR(VLOOKUP(1119,'PEDIDO 58'!$C$2:$E$230,3,0),0)</f>
        <v>0</v>
      </c>
      <c r="F4655" s="1">
        <f>IFERROR(VLOOKUP(1120,'PEDIDO 58'!$C$2:$E$230,3,0),0)</f>
        <v>0</v>
      </c>
      <c r="G4655" s="18">
        <f t="shared" si="148"/>
        <v>0</v>
      </c>
    </row>
    <row r="4656" spans="1:7" ht="15.75" x14ac:dyDescent="0.25">
      <c r="A4656" s="15">
        <f>'PEDIDO 58'!$B$2</f>
        <v>0</v>
      </c>
      <c r="B4656" s="12" t="s">
        <v>436</v>
      </c>
      <c r="C4656" s="1">
        <f>IFERROR(VLOOKUP(1121,'PEDIDO 58'!$C$2:$E$230,3,0),0)</f>
        <v>0</v>
      </c>
      <c r="D4656" s="1">
        <f>IFERROR(VLOOKUP(1122,'PEDIDO 58'!$C$2:$E$230,3,0),0)</f>
        <v>0</v>
      </c>
      <c r="E4656" s="1">
        <f>IFERROR(VLOOKUP(1123,'PEDIDO 58'!$C$2:$E$230,3,0),0)</f>
        <v>0</v>
      </c>
      <c r="F4656" s="1">
        <f>IFERROR(VLOOKUP(1124,'PEDIDO 58'!$C$2:$E$230,3,0),0)</f>
        <v>0</v>
      </c>
      <c r="G4656" s="18">
        <f t="shared" si="148"/>
        <v>0</v>
      </c>
    </row>
    <row r="4657" spans="1:7" ht="15.75" x14ac:dyDescent="0.25">
      <c r="A4657" s="15">
        <f>'PEDIDO 58'!$B$2</f>
        <v>0</v>
      </c>
      <c r="B4657" s="12" t="s">
        <v>437</v>
      </c>
      <c r="C4657" s="1">
        <f>IFERROR(VLOOKUP(1129,'PEDIDO 58'!$C$2:$E$230,3,0),0)</f>
        <v>0</v>
      </c>
      <c r="D4657" s="1">
        <f>IFERROR(VLOOKUP(1130,'PEDIDO 58'!$C$2:$E$230,3,0),0)</f>
        <v>0</v>
      </c>
      <c r="E4657" s="1">
        <f>IFERROR(VLOOKUP(1131,'PEDIDO 58'!$C$2:$E$230,3,0),0)</f>
        <v>0</v>
      </c>
      <c r="F4657" s="1">
        <f>IFERROR(VLOOKUP(1132,'PEDIDO 58'!$C$2:$E$230,3,0),0)</f>
        <v>0</v>
      </c>
      <c r="G4657" s="18">
        <f t="shared" si="148"/>
        <v>0</v>
      </c>
    </row>
    <row r="4658" spans="1:7" ht="15.75" x14ac:dyDescent="0.25">
      <c r="A4658" s="15">
        <f>'PEDIDO 58'!$B$2</f>
        <v>0</v>
      </c>
      <c r="B4658" s="12" t="s">
        <v>438</v>
      </c>
      <c r="C4658" s="1">
        <f>IFERROR(VLOOKUP(1137,'PEDIDO 58'!$C$2:$E$230,3,0),0)</f>
        <v>0</v>
      </c>
      <c r="D4658" s="1">
        <f>IFERROR(VLOOKUP(1138,'PEDIDO 58'!$C$2:$E$230,3,0),0)</f>
        <v>0</v>
      </c>
      <c r="E4658" s="1">
        <f>IFERROR(VLOOKUP(1139,'PEDIDO 58'!$C$2:$E$230,3,0),0)</f>
        <v>0</v>
      </c>
      <c r="F4658" s="1">
        <f>IFERROR(VLOOKUP(1140,'PEDIDO 58'!$C$2:$E$230,3,0),0)</f>
        <v>0</v>
      </c>
      <c r="G4658" s="18">
        <f t="shared" si="148"/>
        <v>0</v>
      </c>
    </row>
    <row r="4659" spans="1:7" ht="15.75" x14ac:dyDescent="0.25">
      <c r="A4659" s="15">
        <f>'PEDIDO 58'!$B$2</f>
        <v>0</v>
      </c>
      <c r="B4659" s="12" t="s">
        <v>439</v>
      </c>
      <c r="C4659" s="1">
        <f>IFERROR(VLOOKUP(1141,'PEDIDO 58'!$C$2:$E$230,3,0),0)</f>
        <v>0</v>
      </c>
      <c r="D4659" s="1">
        <f>IFERROR(VLOOKUP(1142,'PEDIDO 58'!$C$2:$E$230,3,0),0)</f>
        <v>0</v>
      </c>
      <c r="E4659" s="1">
        <f>IFERROR(VLOOKUP(1143,'PEDIDO 58'!$C$2:$E$230,3,0),0)</f>
        <v>0</v>
      </c>
      <c r="F4659" s="1">
        <f>IFERROR(VLOOKUP(1144,'PEDIDO 58'!$C$2:$E$230,3,0),0)</f>
        <v>0</v>
      </c>
      <c r="G4659" s="18">
        <f t="shared" si="148"/>
        <v>0</v>
      </c>
    </row>
    <row r="4660" spans="1:7" ht="15.75" x14ac:dyDescent="0.25">
      <c r="A4660" s="15">
        <f>'PEDIDO 58'!$B$2</f>
        <v>0</v>
      </c>
      <c r="B4660" s="12" t="s">
        <v>440</v>
      </c>
      <c r="C4660" s="1">
        <f>IFERROR(VLOOKUP(1145,'PEDIDO 58'!$C$2:$E$230,3,0),0)</f>
        <v>0</v>
      </c>
      <c r="D4660" s="1">
        <f>IFERROR(VLOOKUP(1146,'PEDIDO 58'!$C$2:$E$230,3,0),0)</f>
        <v>0</v>
      </c>
      <c r="E4660" s="1">
        <f>IFERROR(VLOOKUP(1147,'PEDIDO 58'!$C$2:$E$230,3,0),0)</f>
        <v>0</v>
      </c>
      <c r="F4660" s="1">
        <f>IFERROR(VLOOKUP(1148,'PEDIDO 58'!$C$2:$E$230,3,0),0)</f>
        <v>0</v>
      </c>
      <c r="G4660" s="18">
        <f t="shared" si="148"/>
        <v>0</v>
      </c>
    </row>
    <row r="4661" spans="1:7" ht="15.75" x14ac:dyDescent="0.25">
      <c r="A4661" s="15">
        <f>'PEDIDO 58'!$B$2</f>
        <v>0</v>
      </c>
      <c r="B4661" s="12" t="s">
        <v>441</v>
      </c>
      <c r="C4661" s="1">
        <f>IFERROR(VLOOKUP(1149,'PEDIDO 58'!$C$2:$E$230,3,0),0)</f>
        <v>0</v>
      </c>
      <c r="D4661" s="1">
        <f>IFERROR(VLOOKUP(1150,'PEDIDO 58'!$C$2:$E$230,3,0),0)</f>
        <v>0</v>
      </c>
      <c r="E4661" s="1">
        <f>IFERROR(VLOOKUP(1151,'PEDIDO 58'!$C$2:$E$230,3,0),0)</f>
        <v>0</v>
      </c>
      <c r="F4661" s="1">
        <f>IFERROR(VLOOKUP(1152,'PEDIDO 58'!$C$2:$E$230,3,0),0)</f>
        <v>0</v>
      </c>
      <c r="G4661" s="18">
        <f t="shared" si="148"/>
        <v>0</v>
      </c>
    </row>
    <row r="4662" spans="1:7" ht="15.75" x14ac:dyDescent="0.25">
      <c r="A4662" s="15">
        <f>'PEDIDO 58'!$B$2</f>
        <v>0</v>
      </c>
      <c r="B4662" s="12" t="s">
        <v>442</v>
      </c>
      <c r="C4662" s="1">
        <f>IFERROR(VLOOKUP(1153,'PEDIDO 58'!$C$2:$E$230,3,0),0)</f>
        <v>0</v>
      </c>
      <c r="D4662" s="1">
        <f>IFERROR(VLOOKUP(1154,'PEDIDO 58'!$C$2:$E$230,3,0),0)</f>
        <v>0</v>
      </c>
      <c r="E4662" s="1">
        <f>IFERROR(VLOOKUP(1155,'PEDIDO 58'!$C$2:$E$230,3,0),0)</f>
        <v>0</v>
      </c>
      <c r="F4662" s="1">
        <f>IFERROR(VLOOKUP(1156,'PEDIDO 58'!$C$2:$E$230,3,0),0)</f>
        <v>0</v>
      </c>
      <c r="G4662" s="18">
        <f t="shared" si="148"/>
        <v>0</v>
      </c>
    </row>
    <row r="4663" spans="1:7" ht="15.75" x14ac:dyDescent="0.25">
      <c r="A4663" s="15">
        <f>'PEDIDO 58'!$B$2</f>
        <v>0</v>
      </c>
      <c r="B4663" s="12" t="s">
        <v>443</v>
      </c>
      <c r="C4663" s="1">
        <f>IFERROR(VLOOKUP(1157,'PEDIDO 58'!$C$2:$E$230,3,0),0)</f>
        <v>0</v>
      </c>
      <c r="D4663" s="1">
        <f>IFERROR(VLOOKUP(1158,'PEDIDO 58'!$C$2:$E$230,3,0),0)</f>
        <v>0</v>
      </c>
      <c r="E4663" s="1">
        <f>IFERROR(VLOOKUP(1159,'PEDIDO 58'!$C$2:$E$230,3,0),0)</f>
        <v>0</v>
      </c>
      <c r="F4663" s="1">
        <f>IFERROR(VLOOKUP(1160,'PEDIDO 58'!$C$2:$E$230,3,0),0)</f>
        <v>0</v>
      </c>
      <c r="G4663" s="18">
        <f t="shared" si="148"/>
        <v>0</v>
      </c>
    </row>
    <row r="4664" spans="1:7" ht="15.75" x14ac:dyDescent="0.25">
      <c r="A4664" s="15">
        <f>'PEDIDO 58'!$B$2</f>
        <v>0</v>
      </c>
      <c r="B4664" s="12" t="s">
        <v>444</v>
      </c>
      <c r="C4664" s="1">
        <f>IFERROR(VLOOKUP(1161,'PEDIDO 58'!$C$2:$E$230,3,0),0)</f>
        <v>0</v>
      </c>
      <c r="D4664" s="1">
        <f>IFERROR(VLOOKUP(1162,'PEDIDO 58'!$C$2:$E$230,3,0),0)</f>
        <v>0</v>
      </c>
      <c r="E4664" s="1">
        <f>IFERROR(VLOOKUP(1163,'PEDIDO 58'!$C$2:$E$230,3,0),0)</f>
        <v>0</v>
      </c>
      <c r="F4664" s="1">
        <f>IFERROR(VLOOKUP(1164,'PEDIDO 58'!$C$2:$E$230,3,0),0)</f>
        <v>0</v>
      </c>
      <c r="G4664" s="18">
        <f t="shared" si="148"/>
        <v>0</v>
      </c>
    </row>
    <row r="4665" spans="1:7" ht="15.75" x14ac:dyDescent="0.25">
      <c r="A4665" s="15">
        <f>'PEDIDO 58'!$B$2</f>
        <v>0</v>
      </c>
      <c r="B4665" s="12" t="s">
        <v>445</v>
      </c>
      <c r="C4665" s="1">
        <f>IFERROR(VLOOKUP(1165,'PEDIDO 58'!$C$2:$E$230,3,0),0)</f>
        <v>0</v>
      </c>
      <c r="D4665" s="1">
        <f>IFERROR(VLOOKUP(1166,'PEDIDO 58'!$C$2:$E$230,3,0),0)</f>
        <v>0</v>
      </c>
      <c r="E4665" s="1">
        <f>IFERROR(VLOOKUP(1167,'PEDIDO 58'!$C$2:$E$230,3,0),0)</f>
        <v>0</v>
      </c>
      <c r="F4665" s="1">
        <f>IFERROR(VLOOKUP(1168,'PEDIDO 58'!$C$2:$E$230,3,0),0)</f>
        <v>0</v>
      </c>
      <c r="G4665" s="18">
        <f t="shared" si="148"/>
        <v>0</v>
      </c>
    </row>
    <row r="4666" spans="1:7" ht="15.75" x14ac:dyDescent="0.25">
      <c r="A4666" s="15">
        <f>'PEDIDO 58'!$B$2</f>
        <v>0</v>
      </c>
      <c r="B4666" s="12" t="s">
        <v>446</v>
      </c>
      <c r="C4666" s="1">
        <f>IFERROR(VLOOKUP(1169,'PEDIDO 58'!$C$2:$E$230,3,0),0)</f>
        <v>0</v>
      </c>
      <c r="D4666" s="1">
        <f>IFERROR(VLOOKUP(1170,'PEDIDO 58'!$C$2:$E$230,3,0),0)</f>
        <v>0</v>
      </c>
      <c r="E4666" s="1">
        <f>IFERROR(VLOOKUP(1171,'PEDIDO 58'!$C$2:$E$230,3,0),0)</f>
        <v>0</v>
      </c>
      <c r="F4666" s="1">
        <f>IFERROR(VLOOKUP(1172,'PEDIDO 58'!$C$2:$E$230,3,0),0)</f>
        <v>0</v>
      </c>
      <c r="G4666" s="18">
        <f t="shared" si="148"/>
        <v>0</v>
      </c>
    </row>
    <row r="4667" spans="1:7" ht="15.75" x14ac:dyDescent="0.25">
      <c r="A4667" s="15">
        <f>'PEDIDO 58'!$B$2</f>
        <v>0</v>
      </c>
      <c r="B4667" s="12" t="s">
        <v>447</v>
      </c>
      <c r="C4667" s="1">
        <f>IFERROR(VLOOKUP(1173,'PEDIDO 58'!$C$2:$E$230,3,0),0)</f>
        <v>0</v>
      </c>
      <c r="D4667" s="1">
        <f>IFERROR(VLOOKUP(1174,'PEDIDO 58'!$C$2:$E$230,3,0),0)</f>
        <v>0</v>
      </c>
      <c r="E4667" s="1">
        <f>IFERROR(VLOOKUP(1175,'PEDIDO 58'!$C$2:$E$230,3,0),0)</f>
        <v>0</v>
      </c>
      <c r="F4667" s="1">
        <f>IFERROR(VLOOKUP(1176,'PEDIDO 58'!$C$2:$E$230,3,0),0)</f>
        <v>0</v>
      </c>
      <c r="G4667" s="18">
        <f t="shared" si="148"/>
        <v>0</v>
      </c>
    </row>
    <row r="4668" spans="1:7" ht="15.75" x14ac:dyDescent="0.25">
      <c r="A4668" s="15">
        <f>'PEDIDO 58'!$B$2</f>
        <v>0</v>
      </c>
      <c r="B4668" s="12" t="s">
        <v>448</v>
      </c>
      <c r="C4668" s="1">
        <f>IFERROR(VLOOKUP(1249,'PEDIDO 58'!$C$2:$E$230,3,0),0)</f>
        <v>0</v>
      </c>
      <c r="D4668" s="1">
        <f>IFERROR(VLOOKUP(1250,'PEDIDO 58'!$C$2:$E$230,3,0),0)</f>
        <v>0</v>
      </c>
      <c r="E4668" s="1">
        <f>IFERROR(VLOOKUP(1251,'PEDIDO 58'!$C$2:$E$230,3,0),0)</f>
        <v>0</v>
      </c>
      <c r="F4668" s="1">
        <f>IFERROR(VLOOKUP(1252,'PEDIDO 58'!$C$2:$E$230,3,0),0)</f>
        <v>0</v>
      </c>
      <c r="G4668" s="18">
        <f t="shared" si="148"/>
        <v>0</v>
      </c>
    </row>
    <row r="4669" spans="1:7" ht="15.75" x14ac:dyDescent="0.25">
      <c r="A4669" s="15">
        <f>'PEDIDO 58'!$B$2</f>
        <v>0</v>
      </c>
      <c r="B4669" s="12" t="s">
        <v>449</v>
      </c>
      <c r="C4669" s="1">
        <f>IFERROR(VLOOKUP(1177,'PEDIDO 58'!$C$2:$E$230,3,0),0)</f>
        <v>0</v>
      </c>
      <c r="D4669" s="1">
        <f>IFERROR(VLOOKUP(1178,'PEDIDO 58'!$C$2:$E$230,3,0),0)</f>
        <v>0</v>
      </c>
      <c r="E4669" s="1">
        <f>IFERROR(VLOOKUP(1179,'PEDIDO 58'!$C$2:$E$230,3,0),0)</f>
        <v>0</v>
      </c>
      <c r="F4669" s="1">
        <f>IFERROR(VLOOKUP(1180,'PEDIDO 58'!$C$2:$E$230,3,0),0)</f>
        <v>0</v>
      </c>
      <c r="G4669" s="18">
        <f t="shared" si="148"/>
        <v>0</v>
      </c>
    </row>
    <row r="4670" spans="1:7" ht="15.75" x14ac:dyDescent="0.25">
      <c r="A4670" s="15">
        <f>'PEDIDO 58'!$B$2</f>
        <v>0</v>
      </c>
      <c r="B4670" s="12" t="s">
        <v>450</v>
      </c>
      <c r="C4670" s="1">
        <f>IFERROR(VLOOKUP(1181,'PEDIDO 58'!$C$2:$E$230,3,0),0)</f>
        <v>0</v>
      </c>
      <c r="D4670" s="1">
        <f>IFERROR(VLOOKUP(1182,'PEDIDO 58'!$C$2:$E$230,3,0),0)</f>
        <v>0</v>
      </c>
      <c r="E4670" s="1">
        <f>IFERROR(VLOOKUP(1183,'PEDIDO 58'!$C$2:$E$230,3,0),0)</f>
        <v>0</v>
      </c>
      <c r="F4670" s="1">
        <f>IFERROR(VLOOKUP(1184,'PEDIDO 58'!$C$2:$E$230,3,0),0)</f>
        <v>0</v>
      </c>
      <c r="G4670" s="18">
        <f t="shared" si="148"/>
        <v>0</v>
      </c>
    </row>
    <row r="4671" spans="1:7" ht="15.75" x14ac:dyDescent="0.25">
      <c r="A4671" s="15">
        <f>'PEDIDO 58'!$B$2</f>
        <v>0</v>
      </c>
      <c r="B4671" s="12" t="s">
        <v>451</v>
      </c>
      <c r="C4671" s="1">
        <f>IFERROR(VLOOKUP(1185,'PEDIDO 58'!$C$2:$E$230,3,0),0)</f>
        <v>0</v>
      </c>
      <c r="D4671" s="1">
        <f>IFERROR(VLOOKUP(1186,'PEDIDO 58'!$C$2:$E$230,3,0),0)</f>
        <v>0</v>
      </c>
      <c r="E4671" s="1">
        <f>IFERROR(VLOOKUP(1187,'PEDIDO 58'!$C$2:$E$230,3,0),0)</f>
        <v>0</v>
      </c>
      <c r="F4671" s="1">
        <f>IFERROR(VLOOKUP(1188,'PEDIDO 58'!$C$2:$E$230,3,0),0)</f>
        <v>0</v>
      </c>
      <c r="G4671" s="18">
        <f t="shared" si="148"/>
        <v>0</v>
      </c>
    </row>
    <row r="4672" spans="1:7" ht="15.75" x14ac:dyDescent="0.25">
      <c r="A4672" s="15">
        <f>'PEDIDO 58'!$B$2</f>
        <v>0</v>
      </c>
      <c r="B4672" s="12" t="s">
        <v>452</v>
      </c>
      <c r="C4672" s="1">
        <f>IFERROR(VLOOKUP(1189,'PEDIDO 58'!$C$2:$E$230,3,0),0)</f>
        <v>0</v>
      </c>
      <c r="D4672" s="1">
        <f>IFERROR(VLOOKUP(1190,'PEDIDO 58'!$C$2:$E$230,3,0),0)</f>
        <v>0</v>
      </c>
      <c r="E4672" s="1">
        <f>IFERROR(VLOOKUP(1191,'PEDIDO 58'!$C$2:$E$230,3,0),0)</f>
        <v>0</v>
      </c>
      <c r="F4672" s="1">
        <f>IFERROR(VLOOKUP(1192,'PEDIDO 58'!$C$2:$E$230,3,0),0)</f>
        <v>0</v>
      </c>
      <c r="G4672" s="18">
        <f t="shared" si="148"/>
        <v>0</v>
      </c>
    </row>
    <row r="4673" spans="1:7" ht="15.75" x14ac:dyDescent="0.25">
      <c r="A4673" s="15">
        <f>'PEDIDO 58'!$B$2</f>
        <v>0</v>
      </c>
      <c r="B4673" s="12" t="s">
        <v>453</v>
      </c>
      <c r="C4673" s="1">
        <f>IFERROR(VLOOKUP(1193,'PEDIDO 58'!$C$2:$E$230,3,0),0)</f>
        <v>0</v>
      </c>
      <c r="D4673" s="1">
        <f>IFERROR(VLOOKUP(1194,'PEDIDO 58'!$C$2:$E$230,3,0),0)</f>
        <v>0</v>
      </c>
      <c r="E4673" s="1">
        <f>IFERROR(VLOOKUP(1195,'PEDIDO 58'!$C$2:$E$230,3,0),0)</f>
        <v>0</v>
      </c>
      <c r="F4673" s="1">
        <f>IFERROR(VLOOKUP(1196,'PEDIDO 58'!$C$2:$E$230,3,0),0)</f>
        <v>0</v>
      </c>
      <c r="G4673" s="18">
        <f t="shared" si="148"/>
        <v>0</v>
      </c>
    </row>
    <row r="4674" spans="1:7" ht="15.75" x14ac:dyDescent="0.25">
      <c r="A4674" s="15">
        <f>'PEDIDO 58'!$B$2</f>
        <v>0</v>
      </c>
      <c r="B4674" s="12" t="s">
        <v>454</v>
      </c>
      <c r="C4674" s="1">
        <f>IFERROR(VLOOKUP(1197,'PEDIDO 58'!$C$2:$E$230,3,0),0)</f>
        <v>0</v>
      </c>
      <c r="D4674" s="1">
        <f>IFERROR(VLOOKUP(1198,'PEDIDO 58'!$C$2:$E$230,3,0),0)</f>
        <v>0</v>
      </c>
      <c r="E4674" s="1">
        <f>IFERROR(VLOOKUP(1199,'PEDIDO 58'!$C$2:$E$230,3,0),0)</f>
        <v>0</v>
      </c>
      <c r="F4674" s="1">
        <f>IFERROR(VLOOKUP(1200,'PEDIDO 58'!$C$2:$E$230,3,0),0)</f>
        <v>0</v>
      </c>
      <c r="G4674" s="18">
        <f t="shared" si="148"/>
        <v>0</v>
      </c>
    </row>
    <row r="4675" spans="1:7" ht="15.75" x14ac:dyDescent="0.25">
      <c r="A4675" s="15">
        <f>'PEDIDO 58'!$B$2</f>
        <v>0</v>
      </c>
      <c r="B4675" s="12" t="s">
        <v>455</v>
      </c>
      <c r="C4675" s="1">
        <f>IFERROR(VLOOKUP(1201,'PEDIDO 58'!$C$2:$E$230,3,0),0)</f>
        <v>0</v>
      </c>
      <c r="D4675" s="1">
        <f>IFERROR(VLOOKUP(1202,'PEDIDO 58'!$C$2:$E$230,3,0),0)</f>
        <v>0</v>
      </c>
      <c r="E4675" s="1">
        <f>IFERROR(VLOOKUP(1203,'PEDIDO 58'!$C$2:$E$230,3,0),0)</f>
        <v>0</v>
      </c>
      <c r="F4675" s="1">
        <f>IFERROR(VLOOKUP(1204,'PEDIDO 58'!$C$2:$E$230,3,0),0)</f>
        <v>0</v>
      </c>
      <c r="G4675" s="18">
        <f t="shared" si="148"/>
        <v>0</v>
      </c>
    </row>
    <row r="4676" spans="1:7" ht="15.75" x14ac:dyDescent="0.25">
      <c r="A4676" s="15">
        <f>'PEDIDO 58'!$B$2</f>
        <v>0</v>
      </c>
      <c r="B4676" s="12" t="s">
        <v>456</v>
      </c>
      <c r="C4676" s="1">
        <f>IFERROR(VLOOKUP(1205,'PEDIDO 58'!$C$2:$E$230,3,0),0)</f>
        <v>0</v>
      </c>
      <c r="D4676" s="1">
        <f>IFERROR(VLOOKUP(1206,'PEDIDO 58'!$C$2:$E$230,3,0),0)</f>
        <v>0</v>
      </c>
      <c r="E4676" s="1">
        <f>IFERROR(VLOOKUP(1207,'PEDIDO 58'!$C$2:$E$230,3,0),0)</f>
        <v>0</v>
      </c>
      <c r="F4676" s="1">
        <f>IFERROR(VLOOKUP(1208,'PEDIDO 58'!$C$2:$E$230,3,0),0)</f>
        <v>0</v>
      </c>
      <c r="G4676" s="18">
        <f t="shared" si="148"/>
        <v>0</v>
      </c>
    </row>
    <row r="4677" spans="1:7" ht="15.75" x14ac:dyDescent="0.25">
      <c r="A4677" s="15">
        <f>'PEDIDO 58'!$B$2</f>
        <v>0</v>
      </c>
      <c r="B4677" s="12" t="s">
        <v>457</v>
      </c>
      <c r="C4677" s="1">
        <f>IFERROR(VLOOKUP(1213,'PEDIDO 58'!$C$2:$E$230,3,0),0)</f>
        <v>0</v>
      </c>
      <c r="D4677" s="1">
        <f>IFERROR(VLOOKUP(1214,'PEDIDO 58'!$C$2:$E$230,3,0),0)</f>
        <v>0</v>
      </c>
      <c r="E4677" s="1">
        <f>IFERROR(VLOOKUP(1215,'PEDIDO 58'!$C$2:$E$230,3,0),0)</f>
        <v>0</v>
      </c>
      <c r="F4677" s="10">
        <f>IFERROR(VLOOKUP(1216,'PEDIDO 58'!$C$2:$E$230,3,0),0)</f>
        <v>0</v>
      </c>
      <c r="G4677" s="18">
        <f t="shared" si="148"/>
        <v>0</v>
      </c>
    </row>
    <row r="4678" spans="1:7" ht="15.75" x14ac:dyDescent="0.25">
      <c r="A4678" s="15">
        <f>'PEDIDO 58'!$B$2</f>
        <v>0</v>
      </c>
      <c r="B4678" s="12" t="s">
        <v>458</v>
      </c>
      <c r="C4678" s="1">
        <f>IFERROR(VLOOKUP(1209,'PEDIDO 58'!$C$2:$E$230,3,0),0)</f>
        <v>0</v>
      </c>
      <c r="D4678" s="1">
        <f>IFERROR(VLOOKUP(1210,'PEDIDO 58'!$C$2:$E$230,3,0),0)</f>
        <v>0</v>
      </c>
      <c r="E4678" s="1">
        <f>IFERROR(VLOOKUP(1211,'PEDIDO 58'!$C$2:$E$230,3,0),0)</f>
        <v>0</v>
      </c>
      <c r="F4678" s="1">
        <f>IFERROR(VLOOKUP(1212,'PEDIDO 58'!$C$2:$E$230,3,0),0)</f>
        <v>0</v>
      </c>
      <c r="G4678" s="18">
        <f t="shared" si="148"/>
        <v>0</v>
      </c>
    </row>
    <row r="4679" spans="1:7" ht="15.75" x14ac:dyDescent="0.25">
      <c r="A4679" s="15">
        <f>'PEDIDO 58'!$B$2</f>
        <v>0</v>
      </c>
      <c r="B4679" s="12" t="s">
        <v>459</v>
      </c>
      <c r="C4679" s="1">
        <f>IFERROR(VLOOKUP(1217,'PEDIDO 58'!$C$2:$E$230,3,0),0)</f>
        <v>0</v>
      </c>
      <c r="D4679" s="1">
        <f>IFERROR(VLOOKUP(1218,'PEDIDO 58'!$C$2:$E$230,3,0),0)</f>
        <v>0</v>
      </c>
      <c r="E4679" s="1">
        <f>IFERROR(VLOOKUP(1219,'PEDIDO 58'!$C$2:$E$230,3,0),0)</f>
        <v>0</v>
      </c>
      <c r="F4679" s="1">
        <f>IFERROR(VLOOKUP(1220,'PEDIDO 58'!$C$2:$E$230,3,0),0)</f>
        <v>0</v>
      </c>
      <c r="G4679" s="18">
        <f t="shared" si="148"/>
        <v>0</v>
      </c>
    </row>
    <row r="4680" spans="1:7" ht="15.75" x14ac:dyDescent="0.25">
      <c r="A4680" s="15">
        <f>'PEDIDO 58'!$B$2</f>
        <v>0</v>
      </c>
      <c r="B4680" s="12" t="s">
        <v>461</v>
      </c>
      <c r="C4680" s="1">
        <f>IFERROR(VLOOKUP(1225,'PEDIDO 58'!$C$2:$E$230,3,0),0)</f>
        <v>0</v>
      </c>
      <c r="D4680" s="1">
        <f>IFERROR(VLOOKUP(1226,'PEDIDO 58'!$C$2:$E$230,3,0),0)</f>
        <v>0</v>
      </c>
      <c r="E4680" s="1">
        <f>IFERROR(VLOOKUP(1227,'PEDIDO 58'!$C$2:$E$230,3,0),0)</f>
        <v>0</v>
      </c>
      <c r="F4680" s="1">
        <f>IFERROR(VLOOKUP(1228,'PEDIDO 58'!$C$2:$E$230,3,0),0)</f>
        <v>0</v>
      </c>
      <c r="G4680" s="18">
        <f t="shared" si="148"/>
        <v>0</v>
      </c>
    </row>
    <row r="4681" spans="1:7" ht="15.75" x14ac:dyDescent="0.25">
      <c r="A4681" s="15">
        <f>'PEDIDO 58'!$B$2</f>
        <v>0</v>
      </c>
      <c r="B4681" s="12" t="s">
        <v>462</v>
      </c>
      <c r="C4681" s="1">
        <f>IFERROR(VLOOKUP(1221,'PEDIDO 58'!$C$2:$E$230,3,0),0)</f>
        <v>0</v>
      </c>
      <c r="D4681" s="1">
        <f>IFERROR(VLOOKUP(1222,'PEDIDO 58'!$C$2:$E$230,3,0),0)</f>
        <v>0</v>
      </c>
      <c r="E4681" s="1">
        <f>IFERROR(VLOOKUP(1223,'PEDIDO 58'!$C$2:$E$230,3,0),0)</f>
        <v>0</v>
      </c>
      <c r="F4681" s="1">
        <f>IFERROR(VLOOKUP(1224,'PEDIDO 58'!$C$2:$E$230,3,0),0)</f>
        <v>0</v>
      </c>
      <c r="G4681" s="18">
        <f t="shared" si="148"/>
        <v>0</v>
      </c>
    </row>
    <row r="4682" spans="1:7" ht="15.75" x14ac:dyDescent="0.25">
      <c r="A4682" s="15">
        <f>'PEDIDO 58'!$B$2</f>
        <v>0</v>
      </c>
      <c r="B4682" s="12" t="s">
        <v>460</v>
      </c>
      <c r="C4682" s="1">
        <f>IFERROR(VLOOKUP(1229,'PEDIDO 58'!$C$2:$E$230,3,0),0)</f>
        <v>0</v>
      </c>
      <c r="D4682" s="1">
        <f>IFERROR(VLOOKUP(1230,'PEDIDO 58'!$C$2:$E$230,3,0),0)</f>
        <v>0</v>
      </c>
      <c r="E4682" s="1">
        <f>IFERROR(VLOOKUP(1231,'PEDIDO 58'!$C$2:$E$230,3,0),0)</f>
        <v>0</v>
      </c>
      <c r="F4682" s="1">
        <f>IFERROR(VLOOKUP(1232,'PEDIDO 58'!$C$2:$E$230,3,0),0)</f>
        <v>0</v>
      </c>
      <c r="G4682" s="18">
        <f t="shared" si="148"/>
        <v>0</v>
      </c>
    </row>
    <row r="4683" spans="1:7" ht="15.75" x14ac:dyDescent="0.25">
      <c r="A4683" s="15">
        <f>'PEDIDO 58'!$B$2</f>
        <v>0</v>
      </c>
      <c r="B4683" s="12" t="s">
        <v>463</v>
      </c>
      <c r="C4683" s="1">
        <f>IFERROR(VLOOKUP(1233,'PEDIDO 58'!$C$2:$E$230,3,0),0)</f>
        <v>0</v>
      </c>
      <c r="D4683" s="1">
        <f>IFERROR(VLOOKUP(1234,'PEDIDO 58'!$C$2:$E$230,3,0),0)</f>
        <v>0</v>
      </c>
      <c r="E4683" s="1">
        <f>IFERROR(VLOOKUP(1235,'PEDIDO 58'!$C$2:$E$230,3,0),0)</f>
        <v>0</v>
      </c>
      <c r="F4683" s="1">
        <f>IFERROR(VLOOKUP(1236,'PEDIDO 58'!$C$2:$E$230,3,0),0)</f>
        <v>0</v>
      </c>
      <c r="G4683" s="18">
        <f t="shared" ref="G4683:G4696" si="149">SUM(C4683+D4683+E4683+F4683)</f>
        <v>0</v>
      </c>
    </row>
    <row r="4684" spans="1:7" ht="15.75" x14ac:dyDescent="0.25">
      <c r="A4684" s="15">
        <f>'PEDIDO 58'!$B$2</f>
        <v>0</v>
      </c>
      <c r="B4684" s="12" t="s">
        <v>464</v>
      </c>
      <c r="C4684" s="1">
        <f>IFERROR(VLOOKUP(1237,'PEDIDO 58'!$C$2:$E$230,3,0),0)</f>
        <v>0</v>
      </c>
      <c r="D4684" s="1">
        <f>IFERROR(VLOOKUP(1238,'PEDIDO 58'!$C$2:$E$230,3,0),0)</f>
        <v>0</v>
      </c>
      <c r="E4684" s="1">
        <f>IFERROR(VLOOKUP(1239,'PEDIDO 58'!$C$2:$E$230,3,0),0)</f>
        <v>0</v>
      </c>
      <c r="F4684" s="1">
        <f>IFERROR(VLOOKUP(1240,'PEDIDO 58'!$C$2:$E$230,3,0),0)</f>
        <v>0</v>
      </c>
      <c r="G4684" s="18">
        <f t="shared" si="149"/>
        <v>0</v>
      </c>
    </row>
    <row r="4685" spans="1:7" ht="15.75" x14ac:dyDescent="0.25">
      <c r="A4685" s="15">
        <f>'PEDIDO 58'!$B$2</f>
        <v>0</v>
      </c>
      <c r="B4685" s="12" t="s">
        <v>465</v>
      </c>
      <c r="C4685" s="1">
        <f>IFERROR(VLOOKUP(1241,'PEDIDO 58'!$C$2:$E$230,3,0),0)</f>
        <v>0</v>
      </c>
      <c r="D4685" s="1">
        <f>IFERROR(VLOOKUP(1242,'PEDIDO 58'!$C$2:$E$230,3,0),0)</f>
        <v>0</v>
      </c>
      <c r="E4685" s="1">
        <f>IFERROR(VLOOKUP(1243,'PEDIDO 58'!$C$2:$E$230,3,0),0)</f>
        <v>0</v>
      </c>
      <c r="F4685" s="1">
        <f>IFERROR(VLOOKUP(1244,'PEDIDO 58'!$C$2:$E$230,3,0),0)</f>
        <v>0</v>
      </c>
      <c r="G4685" s="18">
        <f t="shared" si="149"/>
        <v>0</v>
      </c>
    </row>
    <row r="4686" spans="1:7" ht="15.75" x14ac:dyDescent="0.25">
      <c r="A4686" s="15">
        <f>'PEDIDO 58'!$B$2</f>
        <v>0</v>
      </c>
      <c r="B4686" s="12" t="s">
        <v>466</v>
      </c>
      <c r="C4686" s="1">
        <f>IFERROR(VLOOKUP(1245,'PEDIDO 58'!$C$2:$E$230,3,0),0)</f>
        <v>0</v>
      </c>
      <c r="D4686" s="1">
        <f>IFERROR(VLOOKUP(1246,'PEDIDO 58'!$C$2:$E$230,3,0),0)</f>
        <v>0</v>
      </c>
      <c r="E4686" s="1">
        <f>IFERROR(VLOOKUP(1247,'PEDIDO 58'!$C$2:$E$230,3,0),0)</f>
        <v>0</v>
      </c>
      <c r="F4686" s="1">
        <f>IFERROR(VLOOKUP(1248,'PEDIDO 58'!$C$2:$E$230,3,0),0)</f>
        <v>0</v>
      </c>
      <c r="G4686" s="18">
        <f t="shared" si="149"/>
        <v>0</v>
      </c>
    </row>
    <row r="4687" spans="1:7" ht="15.75" x14ac:dyDescent="0.25">
      <c r="A4687" s="15">
        <f>'PEDIDO 58'!$B$2</f>
        <v>0</v>
      </c>
      <c r="B4687" s="12" t="s">
        <v>467</v>
      </c>
      <c r="C4687" s="1">
        <f>IFERROR(VLOOKUP(25714,'PEDIDO 58'!$C$2:$E$230,3,0),0)</f>
        <v>0</v>
      </c>
      <c r="D4687" s="1"/>
      <c r="E4687" s="1"/>
      <c r="F4687" s="1"/>
      <c r="G4687" s="18">
        <f t="shared" si="149"/>
        <v>0</v>
      </c>
    </row>
    <row r="4688" spans="1:7" ht="15.75" x14ac:dyDescent="0.25">
      <c r="A4688" s="15">
        <f>'PEDIDO 58'!$B$2</f>
        <v>0</v>
      </c>
      <c r="B4688" s="12" t="s">
        <v>468</v>
      </c>
      <c r="C4688" s="1">
        <f>IFERROR(VLOOKUP(25712,'PEDIDO 58'!$C$2:$E$230,3,0),0)</f>
        <v>0</v>
      </c>
      <c r="D4688" s="1"/>
      <c r="E4688" s="1"/>
      <c r="F4688" s="1"/>
      <c r="G4688" s="18">
        <f t="shared" si="149"/>
        <v>0</v>
      </c>
    </row>
    <row r="4689" spans="1:7" ht="15.75" x14ac:dyDescent="0.25">
      <c r="A4689" s="15">
        <f>'PEDIDO 58'!$B$2</f>
        <v>0</v>
      </c>
      <c r="B4689" s="12" t="s">
        <v>469</v>
      </c>
      <c r="C4689" s="1">
        <f>IFERROR(VLOOKUP(25713,'PEDIDO 58'!$C$2:$E$230,3,0),0)</f>
        <v>0</v>
      </c>
      <c r="D4689" s="1"/>
      <c r="E4689" s="1"/>
      <c r="F4689" s="1"/>
      <c r="G4689" s="18">
        <f t="shared" si="149"/>
        <v>0</v>
      </c>
    </row>
    <row r="4690" spans="1:7" ht="15.75" x14ac:dyDescent="0.25">
      <c r="A4690" s="15">
        <f>'PEDIDO 58'!$B$2</f>
        <v>0</v>
      </c>
      <c r="B4690" s="12" t="s">
        <v>470</v>
      </c>
      <c r="C4690" s="1">
        <f>IFERROR(VLOOKUP(1260,'PEDIDO 58'!$C$2:$E$230,3,0),0)</f>
        <v>0</v>
      </c>
      <c r="D4690" s="1"/>
      <c r="E4690" s="1"/>
      <c r="F4690" s="1"/>
      <c r="G4690" s="18">
        <f t="shared" si="149"/>
        <v>0</v>
      </c>
    </row>
    <row r="4691" spans="1:7" ht="15.75" x14ac:dyDescent="0.25">
      <c r="A4691" s="15">
        <f>'PEDIDO 58'!$B$2</f>
        <v>0</v>
      </c>
      <c r="B4691" s="12" t="s">
        <v>471</v>
      </c>
      <c r="C4691" s="1">
        <f>IFERROR(VLOOKUP(1261,'PEDIDO 58'!$C$2:$E$230,3,0),0)</f>
        <v>0</v>
      </c>
      <c r="D4691" s="1"/>
      <c r="E4691" s="1"/>
      <c r="F4691" s="1"/>
      <c r="G4691" s="18">
        <f t="shared" si="149"/>
        <v>0</v>
      </c>
    </row>
    <row r="4692" spans="1:7" ht="15.75" x14ac:dyDescent="0.25">
      <c r="A4692" s="15">
        <f>'PEDIDO 58'!$B$2</f>
        <v>0</v>
      </c>
      <c r="B4692" s="12" t="s">
        <v>472</v>
      </c>
      <c r="C4692" s="1">
        <f>IFERROR(VLOOKUP(1262,'PEDIDO 58'!$C$2:$E$230,3,0),0)</f>
        <v>0</v>
      </c>
      <c r="D4692" s="1"/>
      <c r="E4692" s="1"/>
      <c r="F4692" s="1"/>
      <c r="G4692" s="18">
        <f t="shared" si="149"/>
        <v>0</v>
      </c>
    </row>
    <row r="4693" spans="1:7" ht="15.75" x14ac:dyDescent="0.25">
      <c r="A4693" s="15">
        <f>'PEDIDO 58'!$B$2</f>
        <v>0</v>
      </c>
      <c r="B4693" s="12" t="s">
        <v>473</v>
      </c>
      <c r="C4693" s="1">
        <f>IFERROR(VLOOKUP(1263,'PEDIDO 58'!$C$2:$E$230,3,0),0)</f>
        <v>0</v>
      </c>
      <c r="D4693" s="1"/>
      <c r="E4693" s="1"/>
      <c r="F4693" s="1"/>
      <c r="G4693" s="18">
        <f t="shared" si="149"/>
        <v>0</v>
      </c>
    </row>
    <row r="4694" spans="1:7" ht="15.75" x14ac:dyDescent="0.25">
      <c r="A4694" s="15">
        <f>'PEDIDO 58'!$B$2</f>
        <v>0</v>
      </c>
      <c r="B4694" s="12" t="s">
        <v>474</v>
      </c>
      <c r="C4694" s="1">
        <f>IFERROR(VLOOKUP(1264,'PEDIDO 58'!$C$2:$E$230,3,0),0)</f>
        <v>0</v>
      </c>
      <c r="D4694" s="1"/>
      <c r="E4694" s="1"/>
      <c r="F4694" s="1"/>
      <c r="G4694" s="18">
        <f t="shared" si="149"/>
        <v>0</v>
      </c>
    </row>
    <row r="4695" spans="1:7" ht="15.75" x14ac:dyDescent="0.25">
      <c r="A4695" s="15">
        <f>'PEDIDO 58'!$B$2</f>
        <v>0</v>
      </c>
      <c r="B4695" s="12" t="s">
        <v>475</v>
      </c>
      <c r="C4695" s="1">
        <f>IFERROR(VLOOKUP(1265,'PEDIDO 58'!$C$2:$E$230,3,0),0)</f>
        <v>0</v>
      </c>
      <c r="D4695" s="1"/>
      <c r="E4695" s="1"/>
      <c r="F4695" s="1"/>
      <c r="G4695" s="18">
        <f t="shared" si="149"/>
        <v>0</v>
      </c>
    </row>
    <row r="4696" spans="1:7" ht="15.75" x14ac:dyDescent="0.25">
      <c r="A4696" s="15">
        <f>'PEDIDO 58'!$B$2</f>
        <v>0</v>
      </c>
      <c r="B4696" s="12" t="s">
        <v>476</v>
      </c>
      <c r="C4696" s="1">
        <f>IFERROR(VLOOKUP(1266,'PEDIDO 58'!$C$2:$E$230,3,0),0)</f>
        <v>0</v>
      </c>
      <c r="D4696" s="1"/>
      <c r="E4696" s="1"/>
      <c r="F4696" s="1"/>
      <c r="G4696" s="18">
        <f t="shared" si="149"/>
        <v>0</v>
      </c>
    </row>
    <row r="4697" spans="1:7" ht="15.75" x14ac:dyDescent="0.25">
      <c r="A4697" s="15">
        <f>'PEDIDO 58'!$B$2</f>
        <v>0</v>
      </c>
      <c r="B4697" s="12" t="s">
        <v>477</v>
      </c>
      <c r="C4697" s="1">
        <f>IFERROR(VLOOKUP(1268,'PEDIDO 58'!$C$2:$E$230,3,0),0)</f>
        <v>0</v>
      </c>
      <c r="D4697" s="1">
        <f>IFERROR(VLOOKUP(1269,'PEDIDO 58'!$C$2:$E$230,3,0),0)</f>
        <v>0</v>
      </c>
      <c r="E4697" s="1">
        <f>IFERROR(VLOOKUP(1270,'PEDIDO 58'!$C$2:$E$230,3,0),0)</f>
        <v>0</v>
      </c>
      <c r="F4697" s="1">
        <f>IFERROR(VLOOKUP(1271,'PEDIDO 58'!$C$2:$E$230,3,0),0)</f>
        <v>0</v>
      </c>
      <c r="G4697" s="18">
        <f t="shared" ref="G4697" si="150">SUM(C4697+D4697+E4697+F4697)</f>
        <v>0</v>
      </c>
    </row>
    <row r="4700" spans="1:7" ht="15.75" x14ac:dyDescent="0.25">
      <c r="A4700" s="15">
        <f>'PEDIDO 59'!$B$2</f>
        <v>0</v>
      </c>
      <c r="B4700" s="12" t="s">
        <v>399</v>
      </c>
      <c r="C4700" s="1">
        <f>IFERROR(VLOOKUP(1,'PEDIDO 59'!$C$2:$E$230,3,0),0)</f>
        <v>0</v>
      </c>
      <c r="D4700" s="1">
        <f>IFERROR(VLOOKUP(2,'PEDIDO 59'!$C$2:$E$230,3,0),0)</f>
        <v>0</v>
      </c>
      <c r="E4700" s="1">
        <f>IFERROR(VLOOKUP(3,'PEDIDO 59'!$C$2:$E$230,3,0),0)</f>
        <v>0</v>
      </c>
      <c r="F4700" s="1">
        <f>IFERROR(VLOOKUP(282,'PEDIDO 59'!$C$2:$E$230,3,0),0)</f>
        <v>0</v>
      </c>
      <c r="G4700" s="18">
        <f t="shared" ref="G4700:G4763" si="151">SUM(C4700+D4700+E4700+F4700)</f>
        <v>0</v>
      </c>
    </row>
    <row r="4701" spans="1:7" ht="15.75" x14ac:dyDescent="0.25">
      <c r="A4701" s="15">
        <f>'PEDIDO 59'!$B$2</f>
        <v>0</v>
      </c>
      <c r="B4701" s="12" t="s">
        <v>400</v>
      </c>
      <c r="C4701" s="1">
        <f>IFERROR(VLOOKUP(5,'PEDIDO 59'!$C$2:$E$230,3,0),0)</f>
        <v>0</v>
      </c>
      <c r="D4701" s="1">
        <f>IFERROR(VLOOKUP(6,'PEDIDO 59'!$C$2:$E$230,3,0),0)</f>
        <v>0</v>
      </c>
      <c r="E4701" s="1">
        <f>IFERROR(VLOOKUP(7,'PEDIDO 59'!$C$2:$E$230,3,0),0)</f>
        <v>0</v>
      </c>
      <c r="F4701" s="1">
        <f>IFERROR(VLOOKUP(258,'PEDIDO 59'!$C$2:$E$230,3,0),0)</f>
        <v>0</v>
      </c>
      <c r="G4701" s="18">
        <f t="shared" si="151"/>
        <v>0</v>
      </c>
    </row>
    <row r="4702" spans="1:7" ht="15.75" x14ac:dyDescent="0.25">
      <c r="A4702" s="15">
        <f>'PEDIDO 59'!$B$2</f>
        <v>0</v>
      </c>
      <c r="B4702" s="12" t="s">
        <v>401</v>
      </c>
      <c r="C4702" s="1">
        <f>IFERROR(VLOOKUP(13,'PEDIDO 59'!$C$2:$E$230,3,0),0)</f>
        <v>0</v>
      </c>
      <c r="D4702" s="1">
        <f>IFERROR(VLOOKUP(14,'PEDIDO 59'!$C$2:$E$230,3,0),0)</f>
        <v>0</v>
      </c>
      <c r="E4702" s="1">
        <f>IFERROR(VLOOKUP(15,'PEDIDO 59'!$C$2:$E$230,3,0),0)</f>
        <v>0</v>
      </c>
      <c r="F4702" s="1">
        <f>IFERROR(VLOOKUP(289,'PEDIDO 59'!$C$2:$E$230,3,0),0)</f>
        <v>0</v>
      </c>
      <c r="G4702" s="18">
        <f t="shared" si="151"/>
        <v>0</v>
      </c>
    </row>
    <row r="4703" spans="1:7" ht="15.75" x14ac:dyDescent="0.25">
      <c r="A4703" s="15">
        <f>'PEDIDO 59'!$B$2</f>
        <v>0</v>
      </c>
      <c r="B4703" s="12" t="s">
        <v>402</v>
      </c>
      <c r="C4703" s="1">
        <f>IFERROR(VLOOKUP(267,'PEDIDO 59'!$C$2:$E$230,3,0),0)</f>
        <v>0</v>
      </c>
      <c r="D4703" s="1">
        <f>IFERROR(VLOOKUP(268,'PEDIDO 59'!$C$2:$E$230,3,0),0)</f>
        <v>0</v>
      </c>
      <c r="E4703" s="1">
        <f>IFERROR(VLOOKUP(270,'PEDIDO 59'!$C$2:$E$230,3,0),0)</f>
        <v>0</v>
      </c>
      <c r="F4703" s="1">
        <f>IFERROR(VLOOKUP(269,'PEDIDO 59'!$C$2:$E$230,3,0),0)</f>
        <v>0</v>
      </c>
      <c r="G4703" s="18">
        <f t="shared" si="151"/>
        <v>0</v>
      </c>
    </row>
    <row r="4704" spans="1:7" ht="15.75" x14ac:dyDescent="0.25">
      <c r="A4704" s="15">
        <f>'PEDIDO 59'!$B$2</f>
        <v>0</v>
      </c>
      <c r="B4704" s="12" t="s">
        <v>403</v>
      </c>
      <c r="C4704" s="1">
        <f>IFERROR(VLOOKUP(17,'PEDIDO 59'!$C$2:$E$230,3,0),0)</f>
        <v>0</v>
      </c>
      <c r="D4704" s="1">
        <f>IFERROR(VLOOKUP(18,'PEDIDO 59'!$C$2:$E$230,3,0),0)</f>
        <v>0</v>
      </c>
      <c r="E4704" s="1">
        <f>IFERROR(VLOOKUP(19,'PEDIDO 59'!$C$2:$E$230,3,0),0)</f>
        <v>0</v>
      </c>
      <c r="F4704" s="1">
        <f>IFERROR(VLOOKUP(290,'PEDIDO 59'!$C$2:$E$230,3,0),0)</f>
        <v>0</v>
      </c>
      <c r="G4704" s="18">
        <f t="shared" si="151"/>
        <v>0</v>
      </c>
    </row>
    <row r="4705" spans="1:7" ht="15.75" x14ac:dyDescent="0.25">
      <c r="A4705" s="15">
        <f>'PEDIDO 59'!$B$2</f>
        <v>0</v>
      </c>
      <c r="B4705" s="12" t="s">
        <v>404</v>
      </c>
      <c r="C4705" s="1">
        <f>IFERROR(VLOOKUP(23,'PEDIDO 59'!$C$2:$E$230,3,0),0)</f>
        <v>0</v>
      </c>
      <c r="D4705" s="1">
        <f>IFERROR(VLOOKUP(24,'PEDIDO 59'!$C$2:$E$230,3,0),0)</f>
        <v>0</v>
      </c>
      <c r="E4705" s="1">
        <f>IFERROR(VLOOKUP(25,'PEDIDO 59'!$C$2:$E$230,3,0),0)</f>
        <v>0</v>
      </c>
      <c r="F4705" s="1">
        <f>IFERROR(VLOOKUP(291,'PEDIDO 59'!$C$2:$E$230,3,0),0)</f>
        <v>0</v>
      </c>
      <c r="G4705" s="18">
        <f t="shared" si="151"/>
        <v>0</v>
      </c>
    </row>
    <row r="4706" spans="1:7" ht="15.75" x14ac:dyDescent="0.25">
      <c r="A4706" s="15">
        <f>'PEDIDO 59'!$B$2</f>
        <v>0</v>
      </c>
      <c r="B4706" s="12" t="s">
        <v>405</v>
      </c>
      <c r="C4706" s="1">
        <f>IFERROR(VLOOKUP(27,'PEDIDO 59'!$C$2:$E$230,3,0),0)</f>
        <v>0</v>
      </c>
      <c r="D4706" s="1">
        <f>IFERROR(VLOOKUP(28,'PEDIDO 59'!$C$2:$E$230,3,0),0)</f>
        <v>0</v>
      </c>
      <c r="E4706" s="1">
        <f>IFERROR(VLOOKUP(29,'PEDIDO 59'!$C$2:$E$230,3,0),0)</f>
        <v>0</v>
      </c>
      <c r="F4706" s="1">
        <f>IFERROR(VLOOKUP(292,'PEDIDO 59'!$C$2:$E$230,3,0),0)</f>
        <v>0</v>
      </c>
      <c r="G4706" s="18">
        <f t="shared" si="151"/>
        <v>0</v>
      </c>
    </row>
    <row r="4707" spans="1:7" ht="15.75" x14ac:dyDescent="0.25">
      <c r="A4707" s="15">
        <f>'PEDIDO 59'!$B$2</f>
        <v>0</v>
      </c>
      <c r="B4707" s="12" t="s">
        <v>406</v>
      </c>
      <c r="C4707" s="1">
        <f>IFERROR(VLOOKUP(227,'PEDIDO 59'!$C$2:$E$230,3,0),0)</f>
        <v>0</v>
      </c>
      <c r="D4707" s="1">
        <f>IFERROR(VLOOKUP(228,'PEDIDO 59'!$C$2:$E$230,3,0),0)</f>
        <v>0</v>
      </c>
      <c r="E4707" s="1">
        <f>IFERROR(VLOOKUP(229,'PEDIDO 59'!$C$2:$E$230,3,0),0)</f>
        <v>0</v>
      </c>
      <c r="F4707" s="1">
        <f>IFERROR(VLOOKUP(230,'PEDIDO 59'!$C$2:$E$230,3,0),0)</f>
        <v>0</v>
      </c>
      <c r="G4707" s="18">
        <f t="shared" si="151"/>
        <v>0</v>
      </c>
    </row>
    <row r="4708" spans="1:7" ht="15.75" x14ac:dyDescent="0.25">
      <c r="A4708" s="15">
        <f>'PEDIDO 59'!$B$2</f>
        <v>0</v>
      </c>
      <c r="B4708" s="12" t="s">
        <v>407</v>
      </c>
      <c r="C4708" s="1">
        <f>IFERROR(VLOOKUP(231,'PEDIDO 59'!$C$2:$E$230,3,0),0)</f>
        <v>0</v>
      </c>
      <c r="D4708" s="1">
        <f>IFERROR(VLOOKUP(232,'PEDIDO 59'!$C$2:$E$230,3,0),0)</f>
        <v>0</v>
      </c>
      <c r="E4708" s="1">
        <f>IFERROR(VLOOKUP(234,'PEDIDO 59'!$C$2:$E$230,3,0),0)</f>
        <v>0</v>
      </c>
      <c r="F4708" s="1">
        <f>IFERROR(VLOOKUP(233,'PEDIDO 59'!$C$2:$E$230,3,0),0)</f>
        <v>0</v>
      </c>
      <c r="G4708" s="18">
        <f t="shared" si="151"/>
        <v>0</v>
      </c>
    </row>
    <row r="4709" spans="1:7" ht="15.75" x14ac:dyDescent="0.25">
      <c r="A4709" s="15">
        <f>'PEDIDO 59'!$B$2</f>
        <v>0</v>
      </c>
      <c r="B4709" s="12" t="s">
        <v>408</v>
      </c>
      <c r="C4709" s="1">
        <f>IFERROR(VLOOKUP(237,'PEDIDO 59'!$C$2:$E$230,3,0),0)</f>
        <v>0</v>
      </c>
      <c r="D4709" s="1">
        <f>IFERROR(VLOOKUP(238,'PEDIDO 59'!$C$2:$E$230,3,0),0)</f>
        <v>0</v>
      </c>
      <c r="E4709" s="1">
        <f>IFERROR(VLOOKUP(240,'PEDIDO 59'!$C$2:$E$230,3,0),0)</f>
        <v>0</v>
      </c>
      <c r="F4709" s="1">
        <f>IFERROR(VLOOKUP(239,'PEDIDO 59'!$C$2:$E$230,3,0),0)</f>
        <v>0</v>
      </c>
      <c r="G4709" s="18">
        <f t="shared" si="151"/>
        <v>0</v>
      </c>
    </row>
    <row r="4710" spans="1:7" ht="15.75" x14ac:dyDescent="0.25">
      <c r="A4710" s="15">
        <f>'PEDIDO 59'!$B$2</f>
        <v>0</v>
      </c>
      <c r="B4710" s="12" t="s">
        <v>409</v>
      </c>
      <c r="C4710" s="1">
        <f>IFERROR(VLOOKUP(25707,'PEDIDO 59'!$C$2:$E$230,3,0),0)</f>
        <v>0</v>
      </c>
      <c r="D4710" s="1">
        <f>IFERROR(VLOOKUP(25708,'PEDIDO 59'!$C$2:$E$230,3,0),0)</f>
        <v>0</v>
      </c>
      <c r="E4710" s="1">
        <f>IFERROR(VLOOKUP(25710,'PEDIDO 59'!$C$2:$E$230,3,0),0)</f>
        <v>0</v>
      </c>
      <c r="F4710" s="1">
        <f>IFERROR(VLOOKUP(25709,'PEDIDO 59'!$C$2:$E$230,3,0),0)</f>
        <v>0</v>
      </c>
      <c r="G4710" s="18">
        <f t="shared" si="151"/>
        <v>0</v>
      </c>
    </row>
    <row r="4711" spans="1:7" ht="15.75" x14ac:dyDescent="0.25">
      <c r="A4711" s="15">
        <f>'PEDIDO 59'!$B$2</f>
        <v>0</v>
      </c>
      <c r="B4711" s="12" t="s">
        <v>410</v>
      </c>
      <c r="C4711" s="1">
        <f>IFERROR(VLOOKUP(25711,'PEDIDO 59'!$C$2:$E$230,3,0),0)</f>
        <v>0</v>
      </c>
      <c r="D4711" s="1"/>
      <c r="E4711" s="1"/>
      <c r="F4711" s="1"/>
      <c r="G4711" s="18">
        <f t="shared" si="151"/>
        <v>0</v>
      </c>
    </row>
    <row r="4712" spans="1:7" ht="15.75" x14ac:dyDescent="0.25">
      <c r="A4712" s="15">
        <f>'PEDIDO 59'!$B$2</f>
        <v>0</v>
      </c>
      <c r="B4712" s="12" t="s">
        <v>411</v>
      </c>
      <c r="C4712" s="1">
        <f>IFERROR(VLOOKUP(35,'PEDIDO 59'!$C$2:$E$230,3,0),0)</f>
        <v>0</v>
      </c>
      <c r="D4712" s="1">
        <f>IFERROR(VLOOKUP(36,'PEDIDO 59'!$C$2:$E$230,3,0),0)</f>
        <v>0</v>
      </c>
      <c r="E4712" s="1">
        <f>IFERROR(VLOOKUP(37,'PEDIDO 59'!$C$2:$E$230,3,0),0)</f>
        <v>0</v>
      </c>
      <c r="F4712" s="1">
        <f>IFERROR(VLOOKUP(294,'PEDIDO 59'!$C$2:$E$230,3,0),0)</f>
        <v>0</v>
      </c>
      <c r="G4712" s="18">
        <f t="shared" si="151"/>
        <v>0</v>
      </c>
    </row>
    <row r="4713" spans="1:7" ht="15.75" x14ac:dyDescent="0.25">
      <c r="A4713" s="15">
        <f>'PEDIDO 59'!$B$2</f>
        <v>0</v>
      </c>
      <c r="B4713" s="12" t="s">
        <v>412</v>
      </c>
      <c r="C4713" s="1">
        <f>IFERROR(VLOOKUP(39,'PEDIDO 59'!$C$2:$E$230,3,0),0)</f>
        <v>0</v>
      </c>
      <c r="D4713" s="1">
        <f>IFERROR(VLOOKUP(40,'PEDIDO 59'!$C$2:$E$230,3,0),0)</f>
        <v>0</v>
      </c>
      <c r="E4713" s="1">
        <f>IFERROR(VLOOKUP(42,'PEDIDO 59'!$C$2:$E$230,3,0),0)</f>
        <v>0</v>
      </c>
      <c r="F4713" s="1">
        <f>IFERROR(VLOOKUP(295,'PEDIDO 59'!$C$2:$E$230,3,0),0)</f>
        <v>0</v>
      </c>
      <c r="G4713" s="18">
        <f t="shared" si="151"/>
        <v>0</v>
      </c>
    </row>
    <row r="4714" spans="1:7" ht="15.75" x14ac:dyDescent="0.25">
      <c r="A4714" s="15">
        <f>'PEDIDO 59'!$B$2</f>
        <v>0</v>
      </c>
      <c r="B4714" s="12" t="s">
        <v>413</v>
      </c>
      <c r="C4714" s="1">
        <f>IFERROR(VLOOKUP(44,'PEDIDO 59'!$C$2:$E$230,3,0),0)</f>
        <v>0</v>
      </c>
      <c r="D4714" s="1">
        <f>IFERROR(VLOOKUP(45,'PEDIDO 59'!$C$2:$E$230,3,0),0)</f>
        <v>0</v>
      </c>
      <c r="E4714" s="1">
        <f>IFERROR(VLOOKUP(46,'PEDIDO 59'!$C$2:$E$230,3,0),0)</f>
        <v>0</v>
      </c>
      <c r="F4714" s="1">
        <f>IFERROR(VLOOKUP(283,'PEDIDO 59'!$C$2:$E$230,3,0),0)</f>
        <v>0</v>
      </c>
      <c r="G4714" s="18">
        <f t="shared" si="151"/>
        <v>0</v>
      </c>
    </row>
    <row r="4715" spans="1:7" ht="15.75" x14ac:dyDescent="0.25">
      <c r="A4715" s="15">
        <f>'PEDIDO 59'!$B$2</f>
        <v>0</v>
      </c>
      <c r="B4715" s="12" t="s">
        <v>414</v>
      </c>
      <c r="C4715" s="1">
        <f>IFERROR(VLOOKUP(48,'PEDIDO 59'!$C$2:$E$230,3,0),0)</f>
        <v>0</v>
      </c>
      <c r="D4715" s="1">
        <f>IFERROR(VLOOKUP(49,'PEDIDO 59'!$C$2:$E$230,3,0),0)</f>
        <v>0</v>
      </c>
      <c r="E4715" s="1">
        <f>IFERROR(VLOOKUP(50,'PEDIDO 59'!$C$2:$E$230,3,0),0)</f>
        <v>0</v>
      </c>
      <c r="F4715" s="1">
        <f>IFERROR(VLOOKUP(298,'PEDIDO 59'!$C$2:$E$230,3,0),0)</f>
        <v>0</v>
      </c>
      <c r="G4715" s="18">
        <f t="shared" si="151"/>
        <v>0</v>
      </c>
    </row>
    <row r="4716" spans="1:7" ht="15.75" x14ac:dyDescent="0.25">
      <c r="A4716" s="15">
        <f>'PEDIDO 59'!$B$2</f>
        <v>0</v>
      </c>
      <c r="B4716" s="12" t="s">
        <v>415</v>
      </c>
      <c r="C4716" s="1">
        <f>IFERROR(VLOOKUP(52,'PEDIDO 59'!$C$2:$E$230,3,0),0)</f>
        <v>0</v>
      </c>
      <c r="D4716" s="1">
        <f>IFERROR(VLOOKUP(53,'PEDIDO 59'!$C$2:$E$230,3,0),0)</f>
        <v>0</v>
      </c>
      <c r="E4716" s="1">
        <f>IFERROR(VLOOKUP(54,'PEDIDO 59'!$C$2:$E$230,3,0),0)</f>
        <v>0</v>
      </c>
      <c r="F4716" s="1">
        <f>IFERROR(VLOOKUP(299,'PEDIDO 59'!$C$2:$E$230,3,0),0)</f>
        <v>0</v>
      </c>
      <c r="G4716" s="18">
        <f t="shared" si="151"/>
        <v>0</v>
      </c>
    </row>
    <row r="4717" spans="1:7" ht="15.75" x14ac:dyDescent="0.25">
      <c r="A4717" s="15">
        <f>'PEDIDO 59'!$B$2</f>
        <v>0</v>
      </c>
      <c r="B4717" s="12" t="s">
        <v>416</v>
      </c>
      <c r="C4717" s="1">
        <f>IFERROR(VLOOKUP(56,'PEDIDO 59'!$C$2:$E$230,3,0),0)</f>
        <v>0</v>
      </c>
      <c r="D4717" s="1">
        <f>IFERROR(VLOOKUP(61,'PEDIDO 59'!$C$2:$E$230,3,0),0)</f>
        <v>0</v>
      </c>
      <c r="E4717" s="1">
        <f>IFERROR(VLOOKUP(58,'PEDIDO 59'!$C$2:$E$230,3,0),0)</f>
        <v>0</v>
      </c>
      <c r="F4717" s="1">
        <f>IFERROR(VLOOKUP(300,'PEDIDO 59'!$C$2:$E$230,3,0),0)</f>
        <v>0</v>
      </c>
      <c r="G4717" s="18">
        <f t="shared" si="151"/>
        <v>0</v>
      </c>
    </row>
    <row r="4718" spans="1:7" ht="15.75" x14ac:dyDescent="0.25">
      <c r="A4718" s="15">
        <f>'PEDIDO 59'!$B$2</f>
        <v>0</v>
      </c>
      <c r="B4718" s="12" t="s">
        <v>417</v>
      </c>
      <c r="C4718" s="1">
        <f>IFERROR(VLOOKUP(60,'PEDIDO 59'!$C$2:$E$230,3,0),0)</f>
        <v>0</v>
      </c>
      <c r="D4718" s="1">
        <f>IFERROR(VLOOKUP(120,'PEDIDO 59'!$C$2:$E$230,3,0),0)</f>
        <v>0</v>
      </c>
      <c r="E4718" s="1">
        <f>IFERROR(VLOOKUP(62,'PEDIDO 59'!$C$2:$E$230,3,0),0)</f>
        <v>0</v>
      </c>
      <c r="F4718" s="1">
        <f>IFERROR(VLOOKUP(301,'PEDIDO 59'!$C$2:$E$230,3,0),0)</f>
        <v>0</v>
      </c>
      <c r="G4718" s="18">
        <f t="shared" si="151"/>
        <v>0</v>
      </c>
    </row>
    <row r="4719" spans="1:7" ht="15.75" x14ac:dyDescent="0.25">
      <c r="A4719" s="15">
        <f>'PEDIDO 59'!$B$2</f>
        <v>0</v>
      </c>
      <c r="B4719" s="12" t="s">
        <v>426</v>
      </c>
      <c r="C4719" s="1">
        <f>IFERROR(VLOOKUP(112,'PEDIDO 59'!$C$2:$E$230,3,0),0)</f>
        <v>0</v>
      </c>
      <c r="D4719" s="1">
        <f>IFERROR(VLOOKUP(113,'PEDIDO 59'!$C$2:$E$230,3,0),0)</f>
        <v>0</v>
      </c>
      <c r="E4719" s="1">
        <f>IFERROR(VLOOKUP(114,'PEDIDO 59'!$C$2:$E$230,3,0),0)</f>
        <v>0</v>
      </c>
      <c r="F4719" s="1">
        <f>IFERROR(VLOOKUP(296,'PEDIDO 59'!$C$2:$E$230,3,0),0)</f>
        <v>0</v>
      </c>
      <c r="G4719" s="18">
        <f t="shared" si="151"/>
        <v>0</v>
      </c>
    </row>
    <row r="4720" spans="1:7" ht="15.75" x14ac:dyDescent="0.25">
      <c r="A4720" s="15">
        <f>'PEDIDO 59'!$B$2</f>
        <v>0</v>
      </c>
      <c r="B4720" s="12" t="s">
        <v>427</v>
      </c>
      <c r="C4720" s="1">
        <f>IFERROR(VLOOKUP(116,'PEDIDO 59'!$C$2:$E$230,3,0),0)</f>
        <v>0</v>
      </c>
      <c r="D4720" s="1">
        <f>IFERROR(VLOOKUP(117,'PEDIDO 59'!$C$2:$E$230,3,0),0)</f>
        <v>0</v>
      </c>
      <c r="E4720" s="1">
        <f>IFERROR(VLOOKUP(118,'PEDIDO 59'!$C$2:$E$230,3,0),0)</f>
        <v>0</v>
      </c>
      <c r="F4720" s="1">
        <f>IFERROR(VLOOKUP(293,'PEDIDO 59'!$C$2:$E$230,3,0),0)</f>
        <v>0</v>
      </c>
      <c r="G4720" s="18">
        <f t="shared" si="151"/>
        <v>0</v>
      </c>
    </row>
    <row r="4721" spans="1:7" ht="15.75" x14ac:dyDescent="0.25">
      <c r="A4721" s="15">
        <f>'PEDIDO 59'!$B$2</f>
        <v>0</v>
      </c>
      <c r="B4721" s="12" t="s">
        <v>418</v>
      </c>
      <c r="C4721" s="1">
        <f>IFERROR(VLOOKUP(963,'PEDIDO 59'!$C$2:$E$230,3,0),0)</f>
        <v>0</v>
      </c>
      <c r="D4721" s="1">
        <f>IFERROR(VLOOKUP(965,'PEDIDO 59'!$C$2:$E$230,3,0),0)</f>
        <v>0</v>
      </c>
      <c r="E4721" s="1">
        <f>IFERROR(VLOOKUP(966,'PEDIDO 59'!$C$2:$E$230,3,0),0)</f>
        <v>0</v>
      </c>
      <c r="F4721" s="1">
        <f>IFERROR(VLOOKUP(964,'PEDIDO 59'!$C$2:$E$230,3,0),0)</f>
        <v>0</v>
      </c>
      <c r="G4721" s="18">
        <f t="shared" si="151"/>
        <v>0</v>
      </c>
    </row>
    <row r="4722" spans="1:7" ht="15.75" x14ac:dyDescent="0.25">
      <c r="A4722" s="15">
        <f>'PEDIDO 59'!$B$2</f>
        <v>0</v>
      </c>
      <c r="B4722" s="12" t="s">
        <v>419</v>
      </c>
      <c r="C4722" s="1">
        <f>IFERROR(VLOOKUP(2042,'PEDIDO 59'!$C$2:$E$230,3,0),0)</f>
        <v>0</v>
      </c>
      <c r="D4722" s="1">
        <f>IFERROR(VLOOKUP(2041,'PEDIDO 59'!$C$2:$E$230,3,0),0)</f>
        <v>0</v>
      </c>
      <c r="E4722" s="1">
        <f>IFERROR(VLOOKUP(2043,'PEDIDO 59'!$C$2:$E$230,3,0),0)</f>
        <v>0</v>
      </c>
      <c r="F4722" s="1">
        <f>IFERROR(VLOOKUP(2040,'PEDIDO 59'!$C$2:$E$230,3,0),0)</f>
        <v>0</v>
      </c>
      <c r="G4722" s="18">
        <f t="shared" si="151"/>
        <v>0</v>
      </c>
    </row>
    <row r="4723" spans="1:7" ht="15.75" x14ac:dyDescent="0.25">
      <c r="A4723" s="15">
        <f>'PEDIDO 59'!$B$2</f>
        <v>0</v>
      </c>
      <c r="B4723" s="12" t="s">
        <v>420</v>
      </c>
      <c r="C4723" s="1">
        <f>IFERROR(VLOOKUP(2045,'PEDIDO 59'!$C$2:$E$230,3,0),0)</f>
        <v>0</v>
      </c>
      <c r="D4723" s="1">
        <f>IFERROR(VLOOKUP(2046,'PEDIDO 59'!$C$2:$E$230,3,0),0)</f>
        <v>0</v>
      </c>
      <c r="E4723" s="1">
        <f>IFERROR(VLOOKUP(2047,'PEDIDO 59'!$C$2:$E$230,3,0),0)</f>
        <v>0</v>
      </c>
      <c r="F4723" s="1">
        <f>IFERROR(VLOOKUP(2048,'PEDIDO 59'!$C$2:$E$230,3,0),0)</f>
        <v>0</v>
      </c>
      <c r="G4723" s="18">
        <f t="shared" si="151"/>
        <v>0</v>
      </c>
    </row>
    <row r="4724" spans="1:7" ht="15.75" x14ac:dyDescent="0.25">
      <c r="A4724" s="15">
        <f>'PEDIDO 59'!$B$2</f>
        <v>0</v>
      </c>
      <c r="B4724" s="12" t="s">
        <v>421</v>
      </c>
      <c r="C4724" s="1">
        <f>IFERROR(VLOOKUP(2050,'PEDIDO 59'!$C$2:$E$230,3,0),0)</f>
        <v>0</v>
      </c>
      <c r="D4724" s="1">
        <f>IFERROR(VLOOKUP(2051,'PEDIDO 59'!$C$2:$E$230,3,0),0)</f>
        <v>0</v>
      </c>
      <c r="E4724" s="1">
        <f>IFERROR(VLOOKUP(2052,'PEDIDO 59'!$C$2:$E$230,3,0),0)</f>
        <v>0</v>
      </c>
      <c r="F4724" s="1">
        <f>IFERROR(VLOOKUP(2053,'PEDIDO 59'!$C$2:$E$230,3,0),0)</f>
        <v>0</v>
      </c>
      <c r="G4724" s="18">
        <f t="shared" si="151"/>
        <v>0</v>
      </c>
    </row>
    <row r="4725" spans="1:7" ht="15.75" x14ac:dyDescent="0.25">
      <c r="A4725" s="15">
        <f>'PEDIDO 59'!$B$2</f>
        <v>0</v>
      </c>
      <c r="B4725" s="12" t="s">
        <v>422</v>
      </c>
      <c r="C4725" s="1">
        <f>IFERROR(VLOOKUP(216,'PEDIDO 59'!$C$2:$E$230,3,0),0)</f>
        <v>0</v>
      </c>
      <c r="D4725" s="1">
        <f>IFERROR(VLOOKUP(217,'PEDIDO 59'!$C$2:$E$230,3,0),0)</f>
        <v>0</v>
      </c>
      <c r="E4725" s="1">
        <f>IFERROR(VLOOKUP(218,'PEDIDO 59'!$C$2:$E$230,3,0),0)</f>
        <v>0</v>
      </c>
      <c r="F4725" s="1">
        <f>IFERROR(VLOOKUP(305,'PEDIDO 59'!$C$2:$E$230,3,0),0)</f>
        <v>0</v>
      </c>
      <c r="G4725" s="18">
        <f t="shared" si="151"/>
        <v>0</v>
      </c>
    </row>
    <row r="4726" spans="1:7" ht="15.75" x14ac:dyDescent="0.25">
      <c r="A4726" s="15">
        <f>'PEDIDO 59'!$B$2</f>
        <v>0</v>
      </c>
      <c r="B4726" s="12" t="s">
        <v>423</v>
      </c>
      <c r="C4726" s="1">
        <f>IFERROR(VLOOKUP(100,'PEDIDO 59'!$C$2:$E$230,3,0),0)</f>
        <v>0</v>
      </c>
      <c r="D4726" s="1">
        <f>IFERROR(VLOOKUP(101,'PEDIDO 59'!$C$2:$E$230,3,0),0)</f>
        <v>0</v>
      </c>
      <c r="E4726" s="1">
        <f>IFERROR(VLOOKUP(102,'PEDIDO 59'!$C$2:$E$230,3,0),0)</f>
        <v>0</v>
      </c>
      <c r="F4726" s="1">
        <f>IFERROR(VLOOKUP(306,'PEDIDO 59'!$C$2:$E$230,3,0),0)</f>
        <v>0</v>
      </c>
      <c r="G4726" s="18">
        <f t="shared" si="151"/>
        <v>0</v>
      </c>
    </row>
    <row r="4727" spans="1:7" ht="15.75" x14ac:dyDescent="0.25">
      <c r="A4727" s="15">
        <f>'PEDIDO 59'!$B$2</f>
        <v>0</v>
      </c>
      <c r="B4727" s="12" t="s">
        <v>424</v>
      </c>
      <c r="C4727" s="1">
        <f>IFERROR(VLOOKUP(104,'PEDIDO 59'!$C$2:$E$230,3,0),0)</f>
        <v>0</v>
      </c>
      <c r="D4727" s="1">
        <f>IFERROR(VLOOKUP(105,'PEDIDO 59'!$C$2:$E$230,3,0),0)</f>
        <v>0</v>
      </c>
      <c r="E4727" s="1">
        <f>IFERROR(VLOOKUP(106,'PEDIDO 59'!$C$2:$E$230,3,0),0)</f>
        <v>0</v>
      </c>
      <c r="F4727" s="1">
        <f>IFERROR(VLOOKUP(307,'PEDIDO 59'!$C$2:$E$230,3,0),0)</f>
        <v>0</v>
      </c>
      <c r="G4727" s="18">
        <f t="shared" si="151"/>
        <v>0</v>
      </c>
    </row>
    <row r="4728" spans="1:7" ht="15.75" x14ac:dyDescent="0.25">
      <c r="A4728" s="15">
        <f>'PEDIDO 59'!$B$2</f>
        <v>0</v>
      </c>
      <c r="B4728" s="12" t="s">
        <v>425</v>
      </c>
      <c r="C4728" s="1">
        <f>IFERROR(VLOOKUP(400,'PEDIDO 59'!$C$2:$E$230,3,0),0)</f>
        <v>0</v>
      </c>
      <c r="D4728" s="1">
        <f>IFERROR(VLOOKUP(401,'PEDIDO 59'!$C$2:$E$230,3,0),0)</f>
        <v>0</v>
      </c>
      <c r="E4728" s="1">
        <f>IFERROR(VLOOKUP(402,'PEDIDO 59'!$C$2:$E$230,3,0),0)</f>
        <v>0</v>
      </c>
      <c r="F4728" s="1">
        <f>IFERROR(VLOOKUP(403,'PEDIDO 59'!$C$2:$E$230,3,0),0)</f>
        <v>0</v>
      </c>
      <c r="G4728" s="18">
        <f t="shared" si="151"/>
        <v>0</v>
      </c>
    </row>
    <row r="4729" spans="1:7" ht="15.75" x14ac:dyDescent="0.25">
      <c r="A4729" s="15">
        <f>'PEDIDO 59'!$B$2</f>
        <v>0</v>
      </c>
      <c r="B4729" s="12" t="s">
        <v>428</v>
      </c>
      <c r="C4729" s="1">
        <f>IFERROR(VLOOKUP(22,'PEDIDO 59'!$C$2:$E$230,3,0),0)</f>
        <v>0</v>
      </c>
      <c r="D4729" s="1"/>
      <c r="E4729" s="1"/>
      <c r="F4729" s="1"/>
      <c r="G4729" s="18">
        <f t="shared" si="151"/>
        <v>0</v>
      </c>
    </row>
    <row r="4730" spans="1:7" ht="15.75" x14ac:dyDescent="0.25">
      <c r="A4730" s="15">
        <f>'PEDIDO 59'!$B$2</f>
        <v>0</v>
      </c>
      <c r="B4730" s="12" t="s">
        <v>429</v>
      </c>
      <c r="C4730" s="1">
        <f>IFERROR(VLOOKUP(21,'PEDIDO 59'!$C$2:$E$230,3,0),0)</f>
        <v>0</v>
      </c>
      <c r="D4730" s="1"/>
      <c r="E4730" s="1"/>
      <c r="F4730" s="1"/>
      <c r="G4730" s="18">
        <f t="shared" si="151"/>
        <v>0</v>
      </c>
    </row>
    <row r="4731" spans="1:7" ht="15.75" x14ac:dyDescent="0.25">
      <c r="A4731" s="15">
        <f>'PEDIDO 59'!$B$2</f>
        <v>0</v>
      </c>
      <c r="B4731" s="12" t="s">
        <v>430</v>
      </c>
      <c r="C4731" s="1">
        <f>IFERROR(VLOOKUP(1125,'PEDIDO 59'!$C$2:$E$230,3,0),0)</f>
        <v>0</v>
      </c>
      <c r="D4731" s="1">
        <f>IFERROR(VLOOKUP(1126,'PEDIDO 59'!$C$2:$E$230,3,0),0)</f>
        <v>0</v>
      </c>
      <c r="E4731" s="1">
        <f>IFERROR(VLOOKUP(1127,'PEDIDO 59'!$C$2:$E$230,3,0),0)</f>
        <v>0</v>
      </c>
      <c r="F4731" s="1">
        <f>IFERROR(VLOOKUP(1128,'PEDIDO 59'!$C$2:$E$230,3,0),0)</f>
        <v>0</v>
      </c>
      <c r="G4731" s="18">
        <f t="shared" si="151"/>
        <v>0</v>
      </c>
    </row>
    <row r="4732" spans="1:7" ht="15.75" x14ac:dyDescent="0.25">
      <c r="A4732" s="15">
        <f>'PEDIDO 59'!$B$2</f>
        <v>0</v>
      </c>
      <c r="B4732" s="12" t="s">
        <v>431</v>
      </c>
      <c r="C4732" s="1">
        <f>IFERROR(VLOOKUP(1133,'PEDIDO 59'!$C$2:$E$230,3,0),0)</f>
        <v>0</v>
      </c>
      <c r="D4732" s="1">
        <f>IFERROR(VLOOKUP(1134,'PEDIDO 59'!$C$2:$E$230,3,0),0)</f>
        <v>0</v>
      </c>
      <c r="E4732" s="1">
        <f>IFERROR(VLOOKUP(1135,'PEDIDO 59'!$C$2:$E$230,3,0),0)</f>
        <v>0</v>
      </c>
      <c r="F4732" s="1">
        <f>IFERROR(VLOOKUP(1136,'PEDIDO 59'!$C$2:$E$230,3,0),0)</f>
        <v>0</v>
      </c>
      <c r="G4732" s="18">
        <f t="shared" si="151"/>
        <v>0</v>
      </c>
    </row>
    <row r="4733" spans="1:7" ht="15.75" x14ac:dyDescent="0.25">
      <c r="A4733" s="15">
        <f>'PEDIDO 59'!$B$2</f>
        <v>0</v>
      </c>
      <c r="B4733" s="12" t="s">
        <v>432</v>
      </c>
      <c r="C4733" s="1">
        <f>IFERROR(VLOOKUP(1105,'PEDIDO 59'!$C$2:$E$230,3,0),0)</f>
        <v>0</v>
      </c>
      <c r="D4733" s="1">
        <f>IFERROR(VLOOKUP(1106,'PEDIDO 59'!$C$2:$E$230,3,0),0)</f>
        <v>0</v>
      </c>
      <c r="E4733" s="1">
        <f>IFERROR(VLOOKUP(1107,'PEDIDO 59'!$C$2:$E$230,3,0),0)</f>
        <v>0</v>
      </c>
      <c r="F4733" s="1">
        <f>IFERROR(VLOOKUP(1108,'PEDIDO 59'!$C$2:$E$230,3,0),0)</f>
        <v>0</v>
      </c>
      <c r="G4733" s="18">
        <f t="shared" si="151"/>
        <v>0</v>
      </c>
    </row>
    <row r="4734" spans="1:7" ht="15.75" x14ac:dyDescent="0.25">
      <c r="A4734" s="15">
        <f>'PEDIDO 59'!$B$2</f>
        <v>0</v>
      </c>
      <c r="B4734" s="12" t="s">
        <v>433</v>
      </c>
      <c r="C4734" s="1">
        <f>IFERROR(VLOOKUP(1109,'PEDIDO 59'!$C$2:$E$230,3,0),0)</f>
        <v>0</v>
      </c>
      <c r="D4734" s="1">
        <f>IFERROR(VLOOKUP(1110,'PEDIDO 59'!$C$2:$E$230,3,0),0)</f>
        <v>0</v>
      </c>
      <c r="E4734" s="1">
        <f>IFERROR(VLOOKUP(1111,'PEDIDO 59'!$C$2:$E$230,3,0),0)</f>
        <v>0</v>
      </c>
      <c r="F4734" s="1">
        <f>IFERROR(VLOOKUP(1112,'PEDIDO 59'!$C$2:$E$230,3,0),0)</f>
        <v>0</v>
      </c>
      <c r="G4734" s="18">
        <f t="shared" si="151"/>
        <v>0</v>
      </c>
    </row>
    <row r="4735" spans="1:7" ht="15.75" x14ac:dyDescent="0.25">
      <c r="A4735" s="15">
        <f>'PEDIDO 59'!$B$2</f>
        <v>0</v>
      </c>
      <c r="B4735" s="12" t="s">
        <v>434</v>
      </c>
      <c r="C4735" s="1">
        <f>IFERROR(VLOOKUP(1113,'PEDIDO 59'!$C$2:$E$230,3,0),0)</f>
        <v>0</v>
      </c>
      <c r="D4735" s="1">
        <f>IFERROR(VLOOKUP(1114,'PEDIDO 59'!$C$2:$E$230,3,0),0)</f>
        <v>0</v>
      </c>
      <c r="E4735" s="1">
        <f>IFERROR(VLOOKUP(1115,'PEDIDO 59'!$C$2:$E$230,3,0),0)</f>
        <v>0</v>
      </c>
      <c r="F4735" s="1">
        <f>IFERROR(VLOOKUP(1116,'PEDIDO 59'!$C$2:$E$230,3,0),0)</f>
        <v>0</v>
      </c>
      <c r="G4735" s="18">
        <f t="shared" si="151"/>
        <v>0</v>
      </c>
    </row>
    <row r="4736" spans="1:7" ht="15.75" x14ac:dyDescent="0.25">
      <c r="A4736" s="15">
        <f>'PEDIDO 59'!$B$2</f>
        <v>0</v>
      </c>
      <c r="B4736" s="12" t="s">
        <v>435</v>
      </c>
      <c r="C4736" s="1">
        <f>IFERROR(VLOOKUP(1117,'PEDIDO 59'!$C$2:$E$230,3,0),0)</f>
        <v>0</v>
      </c>
      <c r="D4736" s="1">
        <f>IFERROR(VLOOKUP(1118,'PEDIDO 59'!$C$2:$E$230,3,0),0)</f>
        <v>0</v>
      </c>
      <c r="E4736" s="1">
        <f>IFERROR(VLOOKUP(1119,'PEDIDO 59'!$C$2:$E$230,3,0),0)</f>
        <v>0</v>
      </c>
      <c r="F4736" s="1">
        <f>IFERROR(VLOOKUP(1120,'PEDIDO 59'!$C$2:$E$230,3,0),0)</f>
        <v>0</v>
      </c>
      <c r="G4736" s="18">
        <f t="shared" si="151"/>
        <v>0</v>
      </c>
    </row>
    <row r="4737" spans="1:7" ht="15.75" x14ac:dyDescent="0.25">
      <c r="A4737" s="15">
        <f>'PEDIDO 59'!$B$2</f>
        <v>0</v>
      </c>
      <c r="B4737" s="12" t="s">
        <v>436</v>
      </c>
      <c r="C4737" s="1">
        <f>IFERROR(VLOOKUP(1121,'PEDIDO 59'!$C$2:$E$230,3,0),0)</f>
        <v>0</v>
      </c>
      <c r="D4737" s="1">
        <f>IFERROR(VLOOKUP(1122,'PEDIDO 59'!$C$2:$E$230,3,0),0)</f>
        <v>0</v>
      </c>
      <c r="E4737" s="1">
        <f>IFERROR(VLOOKUP(1123,'PEDIDO 59'!$C$2:$E$230,3,0),0)</f>
        <v>0</v>
      </c>
      <c r="F4737" s="1">
        <f>IFERROR(VLOOKUP(1124,'PEDIDO 59'!$C$2:$E$230,3,0),0)</f>
        <v>0</v>
      </c>
      <c r="G4737" s="18">
        <f t="shared" si="151"/>
        <v>0</v>
      </c>
    </row>
    <row r="4738" spans="1:7" ht="15.75" x14ac:dyDescent="0.25">
      <c r="A4738" s="15">
        <f>'PEDIDO 59'!$B$2</f>
        <v>0</v>
      </c>
      <c r="B4738" s="12" t="s">
        <v>437</v>
      </c>
      <c r="C4738" s="1">
        <f>IFERROR(VLOOKUP(1129,'PEDIDO 59'!$C$2:$E$230,3,0),0)</f>
        <v>0</v>
      </c>
      <c r="D4738" s="1">
        <f>IFERROR(VLOOKUP(1130,'PEDIDO 59'!$C$2:$E$230,3,0),0)</f>
        <v>0</v>
      </c>
      <c r="E4738" s="1">
        <f>IFERROR(VLOOKUP(1131,'PEDIDO 59'!$C$2:$E$230,3,0),0)</f>
        <v>0</v>
      </c>
      <c r="F4738" s="1">
        <f>IFERROR(VLOOKUP(1132,'PEDIDO 59'!$C$2:$E$230,3,0),0)</f>
        <v>0</v>
      </c>
      <c r="G4738" s="18">
        <f t="shared" si="151"/>
        <v>0</v>
      </c>
    </row>
    <row r="4739" spans="1:7" ht="15.75" x14ac:dyDescent="0.25">
      <c r="A4739" s="15">
        <f>'PEDIDO 59'!$B$2</f>
        <v>0</v>
      </c>
      <c r="B4739" s="12" t="s">
        <v>438</v>
      </c>
      <c r="C4739" s="1">
        <f>IFERROR(VLOOKUP(1137,'PEDIDO 59'!$C$2:$E$230,3,0),0)</f>
        <v>0</v>
      </c>
      <c r="D4739" s="1">
        <f>IFERROR(VLOOKUP(1138,'PEDIDO 59'!$C$2:$E$230,3,0),0)</f>
        <v>0</v>
      </c>
      <c r="E4739" s="1">
        <f>IFERROR(VLOOKUP(1139,'PEDIDO 59'!$C$2:$E$230,3,0),0)</f>
        <v>0</v>
      </c>
      <c r="F4739" s="1">
        <f>IFERROR(VLOOKUP(1140,'PEDIDO 59'!$C$2:$E$230,3,0),0)</f>
        <v>0</v>
      </c>
      <c r="G4739" s="18">
        <f t="shared" si="151"/>
        <v>0</v>
      </c>
    </row>
    <row r="4740" spans="1:7" ht="15.75" x14ac:dyDescent="0.25">
      <c r="A4740" s="15">
        <f>'PEDIDO 59'!$B$2</f>
        <v>0</v>
      </c>
      <c r="B4740" s="12" t="s">
        <v>439</v>
      </c>
      <c r="C4740" s="1">
        <f>IFERROR(VLOOKUP(1141,'PEDIDO 59'!$C$2:$E$230,3,0),0)</f>
        <v>0</v>
      </c>
      <c r="D4740" s="1">
        <f>IFERROR(VLOOKUP(1142,'PEDIDO 59'!$C$2:$E$230,3,0),0)</f>
        <v>0</v>
      </c>
      <c r="E4740" s="1">
        <f>IFERROR(VLOOKUP(1143,'PEDIDO 59'!$C$2:$E$230,3,0),0)</f>
        <v>0</v>
      </c>
      <c r="F4740" s="1">
        <f>IFERROR(VLOOKUP(1144,'PEDIDO 59'!$C$2:$E$230,3,0),0)</f>
        <v>0</v>
      </c>
      <c r="G4740" s="18">
        <f t="shared" si="151"/>
        <v>0</v>
      </c>
    </row>
    <row r="4741" spans="1:7" ht="15.75" x14ac:dyDescent="0.25">
      <c r="A4741" s="15">
        <f>'PEDIDO 59'!$B$2</f>
        <v>0</v>
      </c>
      <c r="B4741" s="12" t="s">
        <v>440</v>
      </c>
      <c r="C4741" s="1">
        <f>IFERROR(VLOOKUP(1145,'PEDIDO 59'!$C$2:$E$230,3,0),0)</f>
        <v>0</v>
      </c>
      <c r="D4741" s="1">
        <f>IFERROR(VLOOKUP(1146,'PEDIDO 59'!$C$2:$E$230,3,0),0)</f>
        <v>0</v>
      </c>
      <c r="E4741" s="1">
        <f>IFERROR(VLOOKUP(1147,'PEDIDO 59'!$C$2:$E$230,3,0),0)</f>
        <v>0</v>
      </c>
      <c r="F4741" s="1">
        <f>IFERROR(VLOOKUP(1148,'PEDIDO 59'!$C$2:$E$230,3,0),0)</f>
        <v>0</v>
      </c>
      <c r="G4741" s="18">
        <f t="shared" si="151"/>
        <v>0</v>
      </c>
    </row>
    <row r="4742" spans="1:7" ht="15.75" x14ac:dyDescent="0.25">
      <c r="A4742" s="15">
        <f>'PEDIDO 59'!$B$2</f>
        <v>0</v>
      </c>
      <c r="B4742" s="12" t="s">
        <v>441</v>
      </c>
      <c r="C4742" s="1">
        <f>IFERROR(VLOOKUP(1149,'PEDIDO 59'!$C$2:$E$230,3,0),0)</f>
        <v>0</v>
      </c>
      <c r="D4742" s="1">
        <f>IFERROR(VLOOKUP(1150,'PEDIDO 59'!$C$2:$E$230,3,0),0)</f>
        <v>0</v>
      </c>
      <c r="E4742" s="1">
        <f>IFERROR(VLOOKUP(1151,'PEDIDO 59'!$C$2:$E$230,3,0),0)</f>
        <v>0</v>
      </c>
      <c r="F4742" s="1">
        <f>IFERROR(VLOOKUP(1152,'PEDIDO 59'!$C$2:$E$230,3,0),0)</f>
        <v>0</v>
      </c>
      <c r="G4742" s="18">
        <f t="shared" si="151"/>
        <v>0</v>
      </c>
    </row>
    <row r="4743" spans="1:7" ht="15.75" x14ac:dyDescent="0.25">
      <c r="A4743" s="15">
        <f>'PEDIDO 59'!$B$2</f>
        <v>0</v>
      </c>
      <c r="B4743" s="12" t="s">
        <v>442</v>
      </c>
      <c r="C4743" s="1">
        <f>IFERROR(VLOOKUP(1153,'PEDIDO 59'!$C$2:$E$230,3,0),0)</f>
        <v>0</v>
      </c>
      <c r="D4743" s="1">
        <f>IFERROR(VLOOKUP(1154,'PEDIDO 59'!$C$2:$E$230,3,0),0)</f>
        <v>0</v>
      </c>
      <c r="E4743" s="1">
        <f>IFERROR(VLOOKUP(1155,'PEDIDO 59'!$C$2:$E$230,3,0),0)</f>
        <v>0</v>
      </c>
      <c r="F4743" s="1">
        <f>IFERROR(VLOOKUP(1156,'PEDIDO 59'!$C$2:$E$230,3,0),0)</f>
        <v>0</v>
      </c>
      <c r="G4743" s="18">
        <f t="shared" si="151"/>
        <v>0</v>
      </c>
    </row>
    <row r="4744" spans="1:7" ht="15.75" x14ac:dyDescent="0.25">
      <c r="A4744" s="15">
        <f>'PEDIDO 59'!$B$2</f>
        <v>0</v>
      </c>
      <c r="B4744" s="12" t="s">
        <v>443</v>
      </c>
      <c r="C4744" s="1">
        <f>IFERROR(VLOOKUP(1157,'PEDIDO 59'!$C$2:$E$230,3,0),0)</f>
        <v>0</v>
      </c>
      <c r="D4744" s="1">
        <f>IFERROR(VLOOKUP(1158,'PEDIDO 59'!$C$2:$E$230,3,0),0)</f>
        <v>0</v>
      </c>
      <c r="E4744" s="1">
        <f>IFERROR(VLOOKUP(1159,'PEDIDO 59'!$C$2:$E$230,3,0),0)</f>
        <v>0</v>
      </c>
      <c r="F4744" s="1">
        <f>IFERROR(VLOOKUP(1160,'PEDIDO 59'!$C$2:$E$230,3,0),0)</f>
        <v>0</v>
      </c>
      <c r="G4744" s="18">
        <f t="shared" si="151"/>
        <v>0</v>
      </c>
    </row>
    <row r="4745" spans="1:7" ht="15.75" x14ac:dyDescent="0.25">
      <c r="A4745" s="15">
        <f>'PEDIDO 59'!$B$2</f>
        <v>0</v>
      </c>
      <c r="B4745" s="12" t="s">
        <v>444</v>
      </c>
      <c r="C4745" s="1">
        <f>IFERROR(VLOOKUP(1161,'PEDIDO 59'!$C$2:$E$230,3,0),0)</f>
        <v>0</v>
      </c>
      <c r="D4745" s="1">
        <f>IFERROR(VLOOKUP(1162,'PEDIDO 59'!$C$2:$E$230,3,0),0)</f>
        <v>0</v>
      </c>
      <c r="E4745" s="1">
        <f>IFERROR(VLOOKUP(1163,'PEDIDO 59'!$C$2:$E$230,3,0),0)</f>
        <v>0</v>
      </c>
      <c r="F4745" s="1">
        <f>IFERROR(VLOOKUP(1164,'PEDIDO 59'!$C$2:$E$230,3,0),0)</f>
        <v>0</v>
      </c>
      <c r="G4745" s="18">
        <f t="shared" si="151"/>
        <v>0</v>
      </c>
    </row>
    <row r="4746" spans="1:7" ht="15.75" x14ac:dyDescent="0.25">
      <c r="A4746" s="15">
        <f>'PEDIDO 59'!$B$2</f>
        <v>0</v>
      </c>
      <c r="B4746" s="12" t="s">
        <v>445</v>
      </c>
      <c r="C4746" s="1">
        <f>IFERROR(VLOOKUP(1165,'PEDIDO 59'!$C$2:$E$230,3,0),0)</f>
        <v>0</v>
      </c>
      <c r="D4746" s="1">
        <f>IFERROR(VLOOKUP(1166,'PEDIDO 59'!$C$2:$E$230,3,0),0)</f>
        <v>0</v>
      </c>
      <c r="E4746" s="1">
        <f>IFERROR(VLOOKUP(1167,'PEDIDO 59'!$C$2:$E$230,3,0),0)</f>
        <v>0</v>
      </c>
      <c r="F4746" s="1">
        <f>IFERROR(VLOOKUP(1168,'PEDIDO 59'!$C$2:$E$230,3,0),0)</f>
        <v>0</v>
      </c>
      <c r="G4746" s="18">
        <f t="shared" si="151"/>
        <v>0</v>
      </c>
    </row>
    <row r="4747" spans="1:7" ht="15.75" x14ac:dyDescent="0.25">
      <c r="A4747" s="15">
        <f>'PEDIDO 59'!$B$2</f>
        <v>0</v>
      </c>
      <c r="B4747" s="12" t="s">
        <v>446</v>
      </c>
      <c r="C4747" s="1">
        <f>IFERROR(VLOOKUP(1169,'PEDIDO 59'!$C$2:$E$230,3,0),0)</f>
        <v>0</v>
      </c>
      <c r="D4747" s="1">
        <f>IFERROR(VLOOKUP(1170,'PEDIDO 59'!$C$2:$E$230,3,0),0)</f>
        <v>0</v>
      </c>
      <c r="E4747" s="1">
        <f>IFERROR(VLOOKUP(1171,'PEDIDO 59'!$C$2:$E$230,3,0),0)</f>
        <v>0</v>
      </c>
      <c r="F4747" s="1">
        <f>IFERROR(VLOOKUP(1172,'PEDIDO 59'!$C$2:$E$230,3,0),0)</f>
        <v>0</v>
      </c>
      <c r="G4747" s="18">
        <f t="shared" si="151"/>
        <v>0</v>
      </c>
    </row>
    <row r="4748" spans="1:7" ht="15.75" x14ac:dyDescent="0.25">
      <c r="A4748" s="15">
        <f>'PEDIDO 59'!$B$2</f>
        <v>0</v>
      </c>
      <c r="B4748" s="12" t="s">
        <v>447</v>
      </c>
      <c r="C4748" s="1">
        <f>IFERROR(VLOOKUP(1173,'PEDIDO 59'!$C$2:$E$230,3,0),0)</f>
        <v>0</v>
      </c>
      <c r="D4748" s="1">
        <f>IFERROR(VLOOKUP(1174,'PEDIDO 59'!$C$2:$E$230,3,0),0)</f>
        <v>0</v>
      </c>
      <c r="E4748" s="1">
        <f>IFERROR(VLOOKUP(1175,'PEDIDO 59'!$C$2:$E$230,3,0),0)</f>
        <v>0</v>
      </c>
      <c r="F4748" s="1">
        <f>IFERROR(VLOOKUP(1176,'PEDIDO 59'!$C$2:$E$230,3,0),0)</f>
        <v>0</v>
      </c>
      <c r="G4748" s="18">
        <f t="shared" si="151"/>
        <v>0</v>
      </c>
    </row>
    <row r="4749" spans="1:7" ht="15.75" x14ac:dyDescent="0.25">
      <c r="A4749" s="15">
        <f>'PEDIDO 59'!$B$2</f>
        <v>0</v>
      </c>
      <c r="B4749" s="12" t="s">
        <v>448</v>
      </c>
      <c r="C4749" s="1">
        <f>IFERROR(VLOOKUP(1249,'PEDIDO 59'!$C$2:$E$230,3,0),0)</f>
        <v>0</v>
      </c>
      <c r="D4749" s="1">
        <f>IFERROR(VLOOKUP(1250,'PEDIDO 59'!$C$2:$E$230,3,0),0)</f>
        <v>0</v>
      </c>
      <c r="E4749" s="1">
        <f>IFERROR(VLOOKUP(1251,'PEDIDO 59'!$C$2:$E$230,3,0),0)</f>
        <v>0</v>
      </c>
      <c r="F4749" s="1">
        <f>IFERROR(VLOOKUP(1252,'PEDIDO 59'!$C$2:$E$230,3,0),0)</f>
        <v>0</v>
      </c>
      <c r="G4749" s="18">
        <f t="shared" si="151"/>
        <v>0</v>
      </c>
    </row>
    <row r="4750" spans="1:7" ht="15.75" x14ac:dyDescent="0.25">
      <c r="A4750" s="15">
        <f>'PEDIDO 59'!$B$2</f>
        <v>0</v>
      </c>
      <c r="B4750" s="12" t="s">
        <v>449</v>
      </c>
      <c r="C4750" s="1">
        <f>IFERROR(VLOOKUP(1177,'PEDIDO 59'!$C$2:$E$230,3,0),0)</f>
        <v>0</v>
      </c>
      <c r="D4750" s="1">
        <f>IFERROR(VLOOKUP(1178,'PEDIDO 59'!$C$2:$E$230,3,0),0)</f>
        <v>0</v>
      </c>
      <c r="E4750" s="1">
        <f>IFERROR(VLOOKUP(1179,'PEDIDO 59'!$C$2:$E$230,3,0),0)</f>
        <v>0</v>
      </c>
      <c r="F4750" s="1">
        <f>IFERROR(VLOOKUP(1180,'PEDIDO 59'!$C$2:$E$230,3,0),0)</f>
        <v>0</v>
      </c>
      <c r="G4750" s="18">
        <f t="shared" si="151"/>
        <v>0</v>
      </c>
    </row>
    <row r="4751" spans="1:7" ht="15.75" x14ac:dyDescent="0.25">
      <c r="A4751" s="15">
        <f>'PEDIDO 59'!$B$2</f>
        <v>0</v>
      </c>
      <c r="B4751" s="12" t="s">
        <v>450</v>
      </c>
      <c r="C4751" s="1">
        <f>IFERROR(VLOOKUP(1181,'PEDIDO 59'!$C$2:$E$230,3,0),0)</f>
        <v>0</v>
      </c>
      <c r="D4751" s="1">
        <f>IFERROR(VLOOKUP(1182,'PEDIDO 59'!$C$2:$E$230,3,0),0)</f>
        <v>0</v>
      </c>
      <c r="E4751" s="1">
        <f>IFERROR(VLOOKUP(1183,'PEDIDO 59'!$C$2:$E$230,3,0),0)</f>
        <v>0</v>
      </c>
      <c r="F4751" s="1">
        <f>IFERROR(VLOOKUP(1184,'PEDIDO 59'!$C$2:$E$230,3,0),0)</f>
        <v>0</v>
      </c>
      <c r="G4751" s="18">
        <f t="shared" si="151"/>
        <v>0</v>
      </c>
    </row>
    <row r="4752" spans="1:7" ht="15.75" x14ac:dyDescent="0.25">
      <c r="A4752" s="15">
        <f>'PEDIDO 59'!$B$2</f>
        <v>0</v>
      </c>
      <c r="B4752" s="12" t="s">
        <v>451</v>
      </c>
      <c r="C4752" s="1">
        <f>IFERROR(VLOOKUP(1185,'PEDIDO 59'!$C$2:$E$230,3,0),0)</f>
        <v>0</v>
      </c>
      <c r="D4752" s="1">
        <f>IFERROR(VLOOKUP(1186,'PEDIDO 59'!$C$2:$E$230,3,0),0)</f>
        <v>0</v>
      </c>
      <c r="E4752" s="1">
        <f>IFERROR(VLOOKUP(1187,'PEDIDO 59'!$C$2:$E$230,3,0),0)</f>
        <v>0</v>
      </c>
      <c r="F4752" s="1">
        <f>IFERROR(VLOOKUP(1188,'PEDIDO 59'!$C$2:$E$230,3,0),0)</f>
        <v>0</v>
      </c>
      <c r="G4752" s="18">
        <f t="shared" si="151"/>
        <v>0</v>
      </c>
    </row>
    <row r="4753" spans="1:7" ht="15.75" x14ac:dyDescent="0.25">
      <c r="A4753" s="15">
        <f>'PEDIDO 59'!$B$2</f>
        <v>0</v>
      </c>
      <c r="B4753" s="12" t="s">
        <v>452</v>
      </c>
      <c r="C4753" s="1">
        <f>IFERROR(VLOOKUP(1189,'PEDIDO 59'!$C$2:$E$230,3,0),0)</f>
        <v>0</v>
      </c>
      <c r="D4753" s="1">
        <f>IFERROR(VLOOKUP(1190,'PEDIDO 59'!$C$2:$E$230,3,0),0)</f>
        <v>0</v>
      </c>
      <c r="E4753" s="1">
        <f>IFERROR(VLOOKUP(1191,'PEDIDO 59'!$C$2:$E$230,3,0),0)</f>
        <v>0</v>
      </c>
      <c r="F4753" s="1">
        <f>IFERROR(VLOOKUP(1192,'PEDIDO 59'!$C$2:$E$230,3,0),0)</f>
        <v>0</v>
      </c>
      <c r="G4753" s="18">
        <f t="shared" si="151"/>
        <v>0</v>
      </c>
    </row>
    <row r="4754" spans="1:7" ht="15.75" x14ac:dyDescent="0.25">
      <c r="A4754" s="15">
        <f>'PEDIDO 59'!$B$2</f>
        <v>0</v>
      </c>
      <c r="B4754" s="12" t="s">
        <v>453</v>
      </c>
      <c r="C4754" s="1">
        <f>IFERROR(VLOOKUP(1193,'PEDIDO 59'!$C$2:$E$230,3,0),0)</f>
        <v>0</v>
      </c>
      <c r="D4754" s="1">
        <f>IFERROR(VLOOKUP(1194,'PEDIDO 59'!$C$2:$E$230,3,0),0)</f>
        <v>0</v>
      </c>
      <c r="E4754" s="1">
        <f>IFERROR(VLOOKUP(1195,'PEDIDO 59'!$C$2:$E$230,3,0),0)</f>
        <v>0</v>
      </c>
      <c r="F4754" s="1">
        <f>IFERROR(VLOOKUP(1196,'PEDIDO 59'!$C$2:$E$230,3,0),0)</f>
        <v>0</v>
      </c>
      <c r="G4754" s="18">
        <f t="shared" si="151"/>
        <v>0</v>
      </c>
    </row>
    <row r="4755" spans="1:7" ht="15.75" x14ac:dyDescent="0.25">
      <c r="A4755" s="15">
        <f>'PEDIDO 59'!$B$2</f>
        <v>0</v>
      </c>
      <c r="B4755" s="12" t="s">
        <v>454</v>
      </c>
      <c r="C4755" s="1">
        <f>IFERROR(VLOOKUP(1197,'PEDIDO 59'!$C$2:$E$230,3,0),0)</f>
        <v>0</v>
      </c>
      <c r="D4755" s="1">
        <f>IFERROR(VLOOKUP(1198,'PEDIDO 59'!$C$2:$E$230,3,0),0)</f>
        <v>0</v>
      </c>
      <c r="E4755" s="1">
        <f>IFERROR(VLOOKUP(1199,'PEDIDO 59'!$C$2:$E$230,3,0),0)</f>
        <v>0</v>
      </c>
      <c r="F4755" s="1">
        <f>IFERROR(VLOOKUP(1200,'PEDIDO 59'!$C$2:$E$230,3,0),0)</f>
        <v>0</v>
      </c>
      <c r="G4755" s="18">
        <f t="shared" si="151"/>
        <v>0</v>
      </c>
    </row>
    <row r="4756" spans="1:7" ht="15.75" x14ac:dyDescent="0.25">
      <c r="A4756" s="15">
        <f>'PEDIDO 59'!$B$2</f>
        <v>0</v>
      </c>
      <c r="B4756" s="12" t="s">
        <v>455</v>
      </c>
      <c r="C4756" s="1">
        <f>IFERROR(VLOOKUP(1201,'PEDIDO 59'!$C$2:$E$230,3,0),0)</f>
        <v>0</v>
      </c>
      <c r="D4756" s="1">
        <f>IFERROR(VLOOKUP(1202,'PEDIDO 59'!$C$2:$E$230,3,0),0)</f>
        <v>0</v>
      </c>
      <c r="E4756" s="1">
        <f>IFERROR(VLOOKUP(1203,'PEDIDO 59'!$C$2:$E$230,3,0),0)</f>
        <v>0</v>
      </c>
      <c r="F4756" s="1">
        <f>IFERROR(VLOOKUP(1204,'PEDIDO 59'!$C$2:$E$230,3,0),0)</f>
        <v>0</v>
      </c>
      <c r="G4756" s="18">
        <f t="shared" si="151"/>
        <v>0</v>
      </c>
    </row>
    <row r="4757" spans="1:7" ht="15.75" x14ac:dyDescent="0.25">
      <c r="A4757" s="15">
        <f>'PEDIDO 59'!$B$2</f>
        <v>0</v>
      </c>
      <c r="B4757" s="12" t="s">
        <v>456</v>
      </c>
      <c r="C4757" s="1">
        <f>IFERROR(VLOOKUP(1205,'PEDIDO 59'!$C$2:$E$230,3,0),0)</f>
        <v>0</v>
      </c>
      <c r="D4757" s="1">
        <f>IFERROR(VLOOKUP(1206,'PEDIDO 59'!$C$2:$E$230,3,0),0)</f>
        <v>0</v>
      </c>
      <c r="E4757" s="1">
        <f>IFERROR(VLOOKUP(1207,'PEDIDO 59'!$C$2:$E$230,3,0),0)</f>
        <v>0</v>
      </c>
      <c r="F4757" s="1">
        <f>IFERROR(VLOOKUP(1208,'PEDIDO 59'!$C$2:$E$230,3,0),0)</f>
        <v>0</v>
      </c>
      <c r="G4757" s="18">
        <f t="shared" si="151"/>
        <v>0</v>
      </c>
    </row>
    <row r="4758" spans="1:7" ht="15.75" x14ac:dyDescent="0.25">
      <c r="A4758" s="15">
        <f>'PEDIDO 59'!$B$2</f>
        <v>0</v>
      </c>
      <c r="B4758" s="12" t="s">
        <v>457</v>
      </c>
      <c r="C4758" s="1">
        <f>IFERROR(VLOOKUP(1213,'PEDIDO 59'!$C$2:$E$230,3,0),0)</f>
        <v>0</v>
      </c>
      <c r="D4758" s="1">
        <f>IFERROR(VLOOKUP(1214,'PEDIDO 59'!$C$2:$E$230,3,0),0)</f>
        <v>0</v>
      </c>
      <c r="E4758" s="1">
        <f>IFERROR(VLOOKUP(1215,'PEDIDO 59'!$C$2:$E$230,3,0),0)</f>
        <v>0</v>
      </c>
      <c r="F4758" s="10">
        <f>IFERROR(VLOOKUP(1216,'PEDIDO 59'!$C$2:$E$230,3,0),0)</f>
        <v>0</v>
      </c>
      <c r="G4758" s="18">
        <f t="shared" si="151"/>
        <v>0</v>
      </c>
    </row>
    <row r="4759" spans="1:7" ht="15.75" x14ac:dyDescent="0.25">
      <c r="A4759" s="15">
        <f>'PEDIDO 59'!$B$2</f>
        <v>0</v>
      </c>
      <c r="B4759" s="12" t="s">
        <v>458</v>
      </c>
      <c r="C4759" s="1">
        <f>IFERROR(VLOOKUP(1209,'PEDIDO 59'!$C$2:$E$230,3,0),0)</f>
        <v>0</v>
      </c>
      <c r="D4759" s="1">
        <f>IFERROR(VLOOKUP(1210,'PEDIDO 59'!$C$2:$E$230,3,0),0)</f>
        <v>0</v>
      </c>
      <c r="E4759" s="1">
        <f>IFERROR(VLOOKUP(1211,'PEDIDO 59'!$C$2:$E$230,3,0),0)</f>
        <v>0</v>
      </c>
      <c r="F4759" s="1">
        <f>IFERROR(VLOOKUP(1212,'PEDIDO 59'!$C$2:$E$230,3,0),0)</f>
        <v>0</v>
      </c>
      <c r="G4759" s="18">
        <f t="shared" si="151"/>
        <v>0</v>
      </c>
    </row>
    <row r="4760" spans="1:7" ht="15.75" x14ac:dyDescent="0.25">
      <c r="A4760" s="15">
        <f>'PEDIDO 59'!$B$2</f>
        <v>0</v>
      </c>
      <c r="B4760" s="12" t="s">
        <v>459</v>
      </c>
      <c r="C4760" s="1">
        <f>IFERROR(VLOOKUP(1217,'PEDIDO 59'!$C$2:$E$230,3,0),0)</f>
        <v>0</v>
      </c>
      <c r="D4760" s="1">
        <f>IFERROR(VLOOKUP(1218,'PEDIDO 59'!$C$2:$E$230,3,0),0)</f>
        <v>0</v>
      </c>
      <c r="E4760" s="1">
        <f>IFERROR(VLOOKUP(1219,'PEDIDO 59'!$C$2:$E$230,3,0),0)</f>
        <v>0</v>
      </c>
      <c r="F4760" s="1">
        <f>IFERROR(VLOOKUP(1220,'PEDIDO 59'!$C$2:$E$230,3,0),0)</f>
        <v>0</v>
      </c>
      <c r="G4760" s="18">
        <f t="shared" si="151"/>
        <v>0</v>
      </c>
    </row>
    <row r="4761" spans="1:7" ht="15.75" x14ac:dyDescent="0.25">
      <c r="A4761" s="15">
        <f>'PEDIDO 59'!$B$2</f>
        <v>0</v>
      </c>
      <c r="B4761" s="12" t="s">
        <v>461</v>
      </c>
      <c r="C4761" s="1">
        <f>IFERROR(VLOOKUP(1225,'PEDIDO 59'!$C$2:$E$230,3,0),0)</f>
        <v>0</v>
      </c>
      <c r="D4761" s="1">
        <f>IFERROR(VLOOKUP(1226,'PEDIDO 59'!$C$2:$E$230,3,0),0)</f>
        <v>0</v>
      </c>
      <c r="E4761" s="1">
        <f>IFERROR(VLOOKUP(1227,'PEDIDO 59'!$C$2:$E$230,3,0),0)</f>
        <v>0</v>
      </c>
      <c r="F4761" s="1">
        <f>IFERROR(VLOOKUP(1228,'PEDIDO 59'!$C$2:$E$230,3,0),0)</f>
        <v>0</v>
      </c>
      <c r="G4761" s="18">
        <f t="shared" si="151"/>
        <v>0</v>
      </c>
    </row>
    <row r="4762" spans="1:7" ht="15.75" x14ac:dyDescent="0.25">
      <c r="A4762" s="15">
        <f>'PEDIDO 59'!$B$2</f>
        <v>0</v>
      </c>
      <c r="B4762" s="12" t="s">
        <v>462</v>
      </c>
      <c r="C4762" s="1">
        <f>IFERROR(VLOOKUP(1221,'PEDIDO 59'!$C$2:$E$230,3,0),0)</f>
        <v>0</v>
      </c>
      <c r="D4762" s="1">
        <f>IFERROR(VLOOKUP(1222,'PEDIDO 59'!$C$2:$E$230,3,0),0)</f>
        <v>0</v>
      </c>
      <c r="E4762" s="1">
        <f>IFERROR(VLOOKUP(1223,'PEDIDO 59'!$C$2:$E$230,3,0),0)</f>
        <v>0</v>
      </c>
      <c r="F4762" s="1">
        <f>IFERROR(VLOOKUP(1224,'PEDIDO 59'!$C$2:$E$230,3,0),0)</f>
        <v>0</v>
      </c>
      <c r="G4762" s="18">
        <f t="shared" si="151"/>
        <v>0</v>
      </c>
    </row>
    <row r="4763" spans="1:7" ht="15.75" x14ac:dyDescent="0.25">
      <c r="A4763" s="15">
        <f>'PEDIDO 59'!$B$2</f>
        <v>0</v>
      </c>
      <c r="B4763" s="12" t="s">
        <v>460</v>
      </c>
      <c r="C4763" s="1">
        <f>IFERROR(VLOOKUP(1229,'PEDIDO 59'!$C$2:$E$230,3,0),0)</f>
        <v>0</v>
      </c>
      <c r="D4763" s="1">
        <f>IFERROR(VLOOKUP(1230,'PEDIDO 59'!$C$2:$E$230,3,0),0)</f>
        <v>0</v>
      </c>
      <c r="E4763" s="1">
        <f>IFERROR(VLOOKUP(1231,'PEDIDO 59'!$C$2:$E$230,3,0),0)</f>
        <v>0</v>
      </c>
      <c r="F4763" s="1">
        <f>IFERROR(VLOOKUP(1232,'PEDIDO 59'!$C$2:$E$230,3,0),0)</f>
        <v>0</v>
      </c>
      <c r="G4763" s="18">
        <f t="shared" si="151"/>
        <v>0</v>
      </c>
    </row>
    <row r="4764" spans="1:7" ht="15.75" x14ac:dyDescent="0.25">
      <c r="A4764" s="15">
        <f>'PEDIDO 59'!$B$2</f>
        <v>0</v>
      </c>
      <c r="B4764" s="12" t="s">
        <v>463</v>
      </c>
      <c r="C4764" s="1">
        <f>IFERROR(VLOOKUP(1233,'PEDIDO 59'!$C$2:$E$230,3,0),0)</f>
        <v>0</v>
      </c>
      <c r="D4764" s="1">
        <f>IFERROR(VLOOKUP(1234,'PEDIDO 59'!$C$2:$E$230,3,0),0)</f>
        <v>0</v>
      </c>
      <c r="E4764" s="1">
        <f>IFERROR(VLOOKUP(1235,'PEDIDO 59'!$C$2:$E$230,3,0),0)</f>
        <v>0</v>
      </c>
      <c r="F4764" s="1">
        <f>IFERROR(VLOOKUP(1236,'PEDIDO 59'!$C$2:$E$230,3,0),0)</f>
        <v>0</v>
      </c>
      <c r="G4764" s="18">
        <f t="shared" ref="G4764:G4777" si="152">SUM(C4764+D4764+E4764+F4764)</f>
        <v>0</v>
      </c>
    </row>
    <row r="4765" spans="1:7" ht="15.75" x14ac:dyDescent="0.25">
      <c r="A4765" s="15">
        <f>'PEDIDO 59'!$B$2</f>
        <v>0</v>
      </c>
      <c r="B4765" s="12" t="s">
        <v>464</v>
      </c>
      <c r="C4765" s="1">
        <f>IFERROR(VLOOKUP(1237,'PEDIDO 59'!$C$2:$E$230,3,0),0)</f>
        <v>0</v>
      </c>
      <c r="D4765" s="1">
        <f>IFERROR(VLOOKUP(1238,'PEDIDO 59'!$C$2:$E$230,3,0),0)</f>
        <v>0</v>
      </c>
      <c r="E4765" s="1">
        <f>IFERROR(VLOOKUP(1239,'PEDIDO 59'!$C$2:$E$230,3,0),0)</f>
        <v>0</v>
      </c>
      <c r="F4765" s="1">
        <f>IFERROR(VLOOKUP(1240,'PEDIDO 59'!$C$2:$E$230,3,0),0)</f>
        <v>0</v>
      </c>
      <c r="G4765" s="18">
        <f t="shared" si="152"/>
        <v>0</v>
      </c>
    </row>
    <row r="4766" spans="1:7" ht="15.75" x14ac:dyDescent="0.25">
      <c r="A4766" s="15">
        <f>'PEDIDO 59'!$B$2</f>
        <v>0</v>
      </c>
      <c r="B4766" s="12" t="s">
        <v>465</v>
      </c>
      <c r="C4766" s="1">
        <f>IFERROR(VLOOKUP(1241,'PEDIDO 59'!$C$2:$E$230,3,0),0)</f>
        <v>0</v>
      </c>
      <c r="D4766" s="1">
        <f>IFERROR(VLOOKUP(1242,'PEDIDO 59'!$C$2:$E$230,3,0),0)</f>
        <v>0</v>
      </c>
      <c r="E4766" s="1">
        <f>IFERROR(VLOOKUP(1243,'PEDIDO 59'!$C$2:$E$230,3,0),0)</f>
        <v>0</v>
      </c>
      <c r="F4766" s="1">
        <f>IFERROR(VLOOKUP(1244,'PEDIDO 59'!$C$2:$E$230,3,0),0)</f>
        <v>0</v>
      </c>
      <c r="G4766" s="18">
        <f t="shared" si="152"/>
        <v>0</v>
      </c>
    </row>
    <row r="4767" spans="1:7" ht="15.75" x14ac:dyDescent="0.25">
      <c r="A4767" s="15">
        <f>'PEDIDO 59'!$B$2</f>
        <v>0</v>
      </c>
      <c r="B4767" s="12" t="s">
        <v>466</v>
      </c>
      <c r="C4767" s="1">
        <f>IFERROR(VLOOKUP(1245,'PEDIDO 59'!$C$2:$E$230,3,0),0)</f>
        <v>0</v>
      </c>
      <c r="D4767" s="1">
        <f>IFERROR(VLOOKUP(1246,'PEDIDO 59'!$C$2:$E$230,3,0),0)</f>
        <v>0</v>
      </c>
      <c r="E4767" s="1">
        <f>IFERROR(VLOOKUP(1247,'PEDIDO 59'!$C$2:$E$230,3,0),0)</f>
        <v>0</v>
      </c>
      <c r="F4767" s="1">
        <f>IFERROR(VLOOKUP(1248,'PEDIDO 59'!$C$2:$E$230,3,0),0)</f>
        <v>0</v>
      </c>
      <c r="G4767" s="18">
        <f t="shared" si="152"/>
        <v>0</v>
      </c>
    </row>
    <row r="4768" spans="1:7" ht="15.75" x14ac:dyDescent="0.25">
      <c r="A4768" s="15">
        <f>'PEDIDO 59'!$B$2</f>
        <v>0</v>
      </c>
      <c r="B4768" s="12" t="s">
        <v>467</v>
      </c>
      <c r="C4768" s="1">
        <f>IFERROR(VLOOKUP(25714,'PEDIDO 59'!$C$2:$E$230,3,0),0)</f>
        <v>0</v>
      </c>
      <c r="D4768" s="1"/>
      <c r="E4768" s="1"/>
      <c r="F4768" s="1"/>
      <c r="G4768" s="18">
        <f t="shared" si="152"/>
        <v>0</v>
      </c>
    </row>
    <row r="4769" spans="1:7" ht="15.75" x14ac:dyDescent="0.25">
      <c r="A4769" s="15">
        <f>'PEDIDO 59'!$B$2</f>
        <v>0</v>
      </c>
      <c r="B4769" s="12" t="s">
        <v>468</v>
      </c>
      <c r="C4769" s="1">
        <f>IFERROR(VLOOKUP(25712,'PEDIDO 59'!$C$2:$E$230,3,0),0)</f>
        <v>0</v>
      </c>
      <c r="D4769" s="1"/>
      <c r="E4769" s="1"/>
      <c r="F4769" s="1"/>
      <c r="G4769" s="18">
        <f t="shared" si="152"/>
        <v>0</v>
      </c>
    </row>
    <row r="4770" spans="1:7" ht="15.75" x14ac:dyDescent="0.25">
      <c r="A4770" s="15">
        <f>'PEDIDO 59'!$B$2</f>
        <v>0</v>
      </c>
      <c r="B4770" s="12" t="s">
        <v>469</v>
      </c>
      <c r="C4770" s="1">
        <f>IFERROR(VLOOKUP(25713,'PEDIDO 59'!$C$2:$E$230,3,0),0)</f>
        <v>0</v>
      </c>
      <c r="D4770" s="1"/>
      <c r="E4770" s="1"/>
      <c r="F4770" s="1"/>
      <c r="G4770" s="18">
        <f t="shared" si="152"/>
        <v>0</v>
      </c>
    </row>
    <row r="4771" spans="1:7" ht="15.75" x14ac:dyDescent="0.25">
      <c r="A4771" s="15">
        <f>'PEDIDO 59'!$B$2</f>
        <v>0</v>
      </c>
      <c r="B4771" s="12" t="s">
        <v>470</v>
      </c>
      <c r="C4771" s="1">
        <f>IFERROR(VLOOKUP(1260,'PEDIDO 59'!$C$2:$E$230,3,0),0)</f>
        <v>0</v>
      </c>
      <c r="D4771" s="1"/>
      <c r="E4771" s="1"/>
      <c r="F4771" s="1"/>
      <c r="G4771" s="18">
        <f t="shared" si="152"/>
        <v>0</v>
      </c>
    </row>
    <row r="4772" spans="1:7" ht="15.75" x14ac:dyDescent="0.25">
      <c r="A4772" s="15">
        <f>'PEDIDO 59'!$B$2</f>
        <v>0</v>
      </c>
      <c r="B4772" s="12" t="s">
        <v>471</v>
      </c>
      <c r="C4772" s="1">
        <f>IFERROR(VLOOKUP(1261,'PEDIDO 59'!$C$2:$E$230,3,0),0)</f>
        <v>0</v>
      </c>
      <c r="D4772" s="1"/>
      <c r="E4772" s="1"/>
      <c r="F4772" s="1"/>
      <c r="G4772" s="18">
        <f t="shared" si="152"/>
        <v>0</v>
      </c>
    </row>
    <row r="4773" spans="1:7" ht="15.75" x14ac:dyDescent="0.25">
      <c r="A4773" s="15">
        <f>'PEDIDO 59'!$B$2</f>
        <v>0</v>
      </c>
      <c r="B4773" s="12" t="s">
        <v>472</v>
      </c>
      <c r="C4773" s="1">
        <f>IFERROR(VLOOKUP(1262,'PEDIDO 59'!$C$2:$E$230,3,0),0)</f>
        <v>0</v>
      </c>
      <c r="D4773" s="1"/>
      <c r="E4773" s="1"/>
      <c r="F4773" s="1"/>
      <c r="G4773" s="18">
        <f t="shared" si="152"/>
        <v>0</v>
      </c>
    </row>
    <row r="4774" spans="1:7" ht="15.75" x14ac:dyDescent="0.25">
      <c r="A4774" s="15">
        <f>'PEDIDO 59'!$B$2</f>
        <v>0</v>
      </c>
      <c r="B4774" s="12" t="s">
        <v>473</v>
      </c>
      <c r="C4774" s="1">
        <f>IFERROR(VLOOKUP(1263,'PEDIDO 59'!$C$2:$E$230,3,0),0)</f>
        <v>0</v>
      </c>
      <c r="D4774" s="1"/>
      <c r="E4774" s="1"/>
      <c r="F4774" s="1"/>
      <c r="G4774" s="18">
        <f t="shared" si="152"/>
        <v>0</v>
      </c>
    </row>
    <row r="4775" spans="1:7" ht="15.75" x14ac:dyDescent="0.25">
      <c r="A4775" s="15">
        <f>'PEDIDO 59'!$B$2</f>
        <v>0</v>
      </c>
      <c r="B4775" s="12" t="s">
        <v>474</v>
      </c>
      <c r="C4775" s="1">
        <f>IFERROR(VLOOKUP(1264,'PEDIDO 59'!$C$2:$E$230,3,0),0)</f>
        <v>0</v>
      </c>
      <c r="D4775" s="1"/>
      <c r="E4775" s="1"/>
      <c r="F4775" s="1"/>
      <c r="G4775" s="18">
        <f t="shared" si="152"/>
        <v>0</v>
      </c>
    </row>
    <row r="4776" spans="1:7" ht="15.75" x14ac:dyDescent="0.25">
      <c r="A4776" s="15">
        <f>'PEDIDO 59'!$B$2</f>
        <v>0</v>
      </c>
      <c r="B4776" s="12" t="s">
        <v>475</v>
      </c>
      <c r="C4776" s="1">
        <f>IFERROR(VLOOKUP(1265,'PEDIDO 59'!$C$2:$E$230,3,0),0)</f>
        <v>0</v>
      </c>
      <c r="D4776" s="1"/>
      <c r="E4776" s="1"/>
      <c r="F4776" s="1"/>
      <c r="G4776" s="18">
        <f t="shared" si="152"/>
        <v>0</v>
      </c>
    </row>
    <row r="4777" spans="1:7" ht="15.75" x14ac:dyDescent="0.25">
      <c r="A4777" s="15">
        <f>'PEDIDO 59'!$B$2</f>
        <v>0</v>
      </c>
      <c r="B4777" s="12" t="s">
        <v>476</v>
      </c>
      <c r="C4777" s="1">
        <f>IFERROR(VLOOKUP(1266,'PEDIDO 59'!$C$2:$E$230,3,0),0)</f>
        <v>0</v>
      </c>
      <c r="D4777" s="1"/>
      <c r="E4777" s="1"/>
      <c r="F4777" s="1"/>
      <c r="G4777" s="18">
        <f t="shared" si="152"/>
        <v>0</v>
      </c>
    </row>
    <row r="4778" spans="1:7" ht="15.75" x14ac:dyDescent="0.25">
      <c r="A4778" s="15">
        <f>'PEDIDO 59'!$B$2</f>
        <v>0</v>
      </c>
      <c r="B4778" s="12" t="s">
        <v>477</v>
      </c>
      <c r="C4778" s="1">
        <f>IFERROR(VLOOKUP(1268,'PEDIDO 59'!$C$2:$E$230,3,0),0)</f>
        <v>0</v>
      </c>
      <c r="D4778" s="1">
        <f>IFERROR(VLOOKUP(1269,'PEDIDO 59'!$C$2:$E$230,3,0),0)</f>
        <v>0</v>
      </c>
      <c r="E4778" s="1">
        <f>IFERROR(VLOOKUP(1270,'PEDIDO 59'!$C$2:$E$230,3,0),0)</f>
        <v>0</v>
      </c>
      <c r="F4778" s="1">
        <f>IFERROR(VLOOKUP(1271,'PEDIDO 59'!$C$2:$E$230,3,0),0)</f>
        <v>0</v>
      </c>
      <c r="G4778" s="18">
        <f t="shared" ref="G4778" si="153">SUM(C4778+D4778+E4778+F4778)</f>
        <v>0</v>
      </c>
    </row>
    <row r="4781" spans="1:7" ht="15.75" x14ac:dyDescent="0.25">
      <c r="A4781" s="15">
        <f>'PEDIDO 60'!$B$2</f>
        <v>0</v>
      </c>
      <c r="B4781" s="12" t="s">
        <v>399</v>
      </c>
      <c r="C4781" s="1">
        <f>IFERROR(VLOOKUP(1,'PEDIDO 60'!$C$2:$E$230,3,0),0)</f>
        <v>0</v>
      </c>
      <c r="D4781" s="1">
        <f>IFERROR(VLOOKUP(2,'PEDIDO 60'!$C$2:$E$230,3,0),0)</f>
        <v>0</v>
      </c>
      <c r="E4781" s="1">
        <f>IFERROR(VLOOKUP(3,'PEDIDO 60'!$C$2:$E$230,3,0),0)</f>
        <v>0</v>
      </c>
      <c r="F4781" s="1">
        <f>IFERROR(VLOOKUP(282,'PEDIDO 60'!$C$2:$E$230,3,0),0)</f>
        <v>0</v>
      </c>
      <c r="G4781" s="18">
        <f t="shared" ref="G4781:G4844" si="154">SUM(C4781+D4781+E4781+F4781)</f>
        <v>0</v>
      </c>
    </row>
    <row r="4782" spans="1:7" ht="15.75" x14ac:dyDescent="0.25">
      <c r="A4782" s="15">
        <f>'PEDIDO 60'!$B$2</f>
        <v>0</v>
      </c>
      <c r="B4782" s="12" t="s">
        <v>400</v>
      </c>
      <c r="C4782" s="1">
        <f>IFERROR(VLOOKUP(5,'PEDIDO 60'!$C$2:$E$230,3,0),0)</f>
        <v>0</v>
      </c>
      <c r="D4782" s="1">
        <f>IFERROR(VLOOKUP(6,'PEDIDO 60'!$C$2:$E$230,3,0),0)</f>
        <v>0</v>
      </c>
      <c r="E4782" s="1">
        <f>IFERROR(VLOOKUP(7,'PEDIDO 60'!$C$2:$E$230,3,0),0)</f>
        <v>0</v>
      </c>
      <c r="F4782" s="1">
        <f>IFERROR(VLOOKUP(258,'PEDIDO 60'!$C$2:$E$230,3,0),0)</f>
        <v>0</v>
      </c>
      <c r="G4782" s="18">
        <f t="shared" si="154"/>
        <v>0</v>
      </c>
    </row>
    <row r="4783" spans="1:7" ht="15.75" x14ac:dyDescent="0.25">
      <c r="A4783" s="15">
        <f>'PEDIDO 60'!$B$2</f>
        <v>0</v>
      </c>
      <c r="B4783" s="12" t="s">
        <v>401</v>
      </c>
      <c r="C4783" s="1">
        <f>IFERROR(VLOOKUP(13,'PEDIDO 60'!$C$2:$E$230,3,0),0)</f>
        <v>0</v>
      </c>
      <c r="D4783" s="1">
        <f>IFERROR(VLOOKUP(14,'PEDIDO 60'!$C$2:$E$230,3,0),0)</f>
        <v>0</v>
      </c>
      <c r="E4783" s="1">
        <f>IFERROR(VLOOKUP(15,'PEDIDO 60'!$C$2:$E$230,3,0),0)</f>
        <v>0</v>
      </c>
      <c r="F4783" s="1">
        <f>IFERROR(VLOOKUP(289,'PEDIDO 60'!$C$2:$E$230,3,0),0)</f>
        <v>0</v>
      </c>
      <c r="G4783" s="18">
        <f t="shared" si="154"/>
        <v>0</v>
      </c>
    </row>
    <row r="4784" spans="1:7" ht="15.75" x14ac:dyDescent="0.25">
      <c r="A4784" s="15">
        <f>'PEDIDO 60'!$B$2</f>
        <v>0</v>
      </c>
      <c r="B4784" s="12" t="s">
        <v>402</v>
      </c>
      <c r="C4784" s="1">
        <f>IFERROR(VLOOKUP(267,'PEDIDO 60'!$C$2:$E$230,3,0),0)</f>
        <v>0</v>
      </c>
      <c r="D4784" s="1">
        <f>IFERROR(VLOOKUP(268,'PEDIDO 60'!$C$2:$E$230,3,0),0)</f>
        <v>0</v>
      </c>
      <c r="E4784" s="1">
        <f>IFERROR(VLOOKUP(270,'PEDIDO 60'!$C$2:$E$230,3,0),0)</f>
        <v>0</v>
      </c>
      <c r="F4784" s="1">
        <f>IFERROR(VLOOKUP(269,'PEDIDO 60'!$C$2:$E$230,3,0),0)</f>
        <v>0</v>
      </c>
      <c r="G4784" s="18">
        <f t="shared" si="154"/>
        <v>0</v>
      </c>
    </row>
    <row r="4785" spans="1:7" ht="15.75" x14ac:dyDescent="0.25">
      <c r="A4785" s="15">
        <f>'PEDIDO 60'!$B$2</f>
        <v>0</v>
      </c>
      <c r="B4785" s="12" t="s">
        <v>403</v>
      </c>
      <c r="C4785" s="1">
        <f>IFERROR(VLOOKUP(17,'PEDIDO 60'!$C$2:$E$230,3,0),0)</f>
        <v>0</v>
      </c>
      <c r="D4785" s="1">
        <f>IFERROR(VLOOKUP(18,'PEDIDO 60'!$C$2:$E$230,3,0),0)</f>
        <v>0</v>
      </c>
      <c r="E4785" s="1">
        <f>IFERROR(VLOOKUP(19,'PEDIDO 60'!$C$2:$E$230,3,0),0)</f>
        <v>0</v>
      </c>
      <c r="F4785" s="1">
        <f>IFERROR(VLOOKUP(290,'PEDIDO 60'!$C$2:$E$230,3,0),0)</f>
        <v>0</v>
      </c>
      <c r="G4785" s="18">
        <f t="shared" si="154"/>
        <v>0</v>
      </c>
    </row>
    <row r="4786" spans="1:7" ht="15.75" x14ac:dyDescent="0.25">
      <c r="A4786" s="15">
        <f>'PEDIDO 60'!$B$2</f>
        <v>0</v>
      </c>
      <c r="B4786" s="12" t="s">
        <v>404</v>
      </c>
      <c r="C4786" s="1">
        <f>IFERROR(VLOOKUP(23,'PEDIDO 60'!$C$2:$E$230,3,0),0)</f>
        <v>0</v>
      </c>
      <c r="D4786" s="1">
        <f>IFERROR(VLOOKUP(24,'PEDIDO 60'!$C$2:$E$230,3,0),0)</f>
        <v>0</v>
      </c>
      <c r="E4786" s="1">
        <f>IFERROR(VLOOKUP(25,'PEDIDO 60'!$C$2:$E$230,3,0),0)</f>
        <v>0</v>
      </c>
      <c r="F4786" s="1">
        <f>IFERROR(VLOOKUP(291,'PEDIDO 60'!$C$2:$E$230,3,0),0)</f>
        <v>0</v>
      </c>
      <c r="G4786" s="18">
        <f t="shared" si="154"/>
        <v>0</v>
      </c>
    </row>
    <row r="4787" spans="1:7" ht="15.75" x14ac:dyDescent="0.25">
      <c r="A4787" s="15">
        <f>'PEDIDO 60'!$B$2</f>
        <v>0</v>
      </c>
      <c r="B4787" s="12" t="s">
        <v>405</v>
      </c>
      <c r="C4787" s="1">
        <f>IFERROR(VLOOKUP(27,'PEDIDO 60'!$C$2:$E$230,3,0),0)</f>
        <v>0</v>
      </c>
      <c r="D4787" s="1">
        <f>IFERROR(VLOOKUP(28,'PEDIDO 60'!$C$2:$E$230,3,0),0)</f>
        <v>0</v>
      </c>
      <c r="E4787" s="1">
        <f>IFERROR(VLOOKUP(29,'PEDIDO 60'!$C$2:$E$230,3,0),0)</f>
        <v>0</v>
      </c>
      <c r="F4787" s="1">
        <f>IFERROR(VLOOKUP(292,'PEDIDO 60'!$C$2:$E$230,3,0),0)</f>
        <v>0</v>
      </c>
      <c r="G4787" s="18">
        <f t="shared" si="154"/>
        <v>0</v>
      </c>
    </row>
    <row r="4788" spans="1:7" ht="15.75" x14ac:dyDescent="0.25">
      <c r="A4788" s="15">
        <f>'PEDIDO 60'!$B$2</f>
        <v>0</v>
      </c>
      <c r="B4788" s="12" t="s">
        <v>406</v>
      </c>
      <c r="C4788" s="1">
        <f>IFERROR(VLOOKUP(227,'PEDIDO 60'!$C$2:$E$230,3,0),0)</f>
        <v>0</v>
      </c>
      <c r="D4788" s="1">
        <f>IFERROR(VLOOKUP(228,'PEDIDO 60'!$C$2:$E$230,3,0),0)</f>
        <v>0</v>
      </c>
      <c r="E4788" s="1">
        <f>IFERROR(VLOOKUP(229,'PEDIDO 60'!$C$2:$E$230,3,0),0)</f>
        <v>0</v>
      </c>
      <c r="F4788" s="1">
        <f>IFERROR(VLOOKUP(230,'PEDIDO 60'!$C$2:$E$230,3,0),0)</f>
        <v>0</v>
      </c>
      <c r="G4788" s="18">
        <f t="shared" si="154"/>
        <v>0</v>
      </c>
    </row>
    <row r="4789" spans="1:7" ht="15.75" x14ac:dyDescent="0.25">
      <c r="A4789" s="15">
        <f>'PEDIDO 60'!$B$2</f>
        <v>0</v>
      </c>
      <c r="B4789" s="12" t="s">
        <v>407</v>
      </c>
      <c r="C4789" s="1">
        <f>IFERROR(VLOOKUP(231,'PEDIDO 60'!$C$2:$E$230,3,0),0)</f>
        <v>0</v>
      </c>
      <c r="D4789" s="1">
        <f>IFERROR(VLOOKUP(232,'PEDIDO 60'!$C$2:$E$230,3,0),0)</f>
        <v>0</v>
      </c>
      <c r="E4789" s="1">
        <f>IFERROR(VLOOKUP(234,'PEDIDO 60'!$C$2:$E$230,3,0),0)</f>
        <v>0</v>
      </c>
      <c r="F4789" s="1">
        <f>IFERROR(VLOOKUP(233,'PEDIDO 60'!$C$2:$E$230,3,0),0)</f>
        <v>0</v>
      </c>
      <c r="G4789" s="18">
        <f t="shared" si="154"/>
        <v>0</v>
      </c>
    </row>
    <row r="4790" spans="1:7" ht="15.75" x14ac:dyDescent="0.25">
      <c r="A4790" s="15">
        <f>'PEDIDO 60'!$B$2</f>
        <v>0</v>
      </c>
      <c r="B4790" s="12" t="s">
        <v>408</v>
      </c>
      <c r="C4790" s="1">
        <f>IFERROR(VLOOKUP(237,'PEDIDO 60'!$C$2:$E$230,3,0),0)</f>
        <v>0</v>
      </c>
      <c r="D4790" s="1">
        <f>IFERROR(VLOOKUP(238,'PEDIDO 60'!$C$2:$E$230,3,0),0)</f>
        <v>0</v>
      </c>
      <c r="E4790" s="1">
        <f>IFERROR(VLOOKUP(240,'PEDIDO 60'!$C$2:$E$230,3,0),0)</f>
        <v>0</v>
      </c>
      <c r="F4790" s="1">
        <f>IFERROR(VLOOKUP(239,'PEDIDO 60'!$C$2:$E$230,3,0),0)</f>
        <v>0</v>
      </c>
      <c r="G4790" s="18">
        <f t="shared" si="154"/>
        <v>0</v>
      </c>
    </row>
    <row r="4791" spans="1:7" ht="15.75" x14ac:dyDescent="0.25">
      <c r="A4791" s="15">
        <f>'PEDIDO 60'!$B$2</f>
        <v>0</v>
      </c>
      <c r="B4791" s="12" t="s">
        <v>409</v>
      </c>
      <c r="C4791" s="1">
        <f>IFERROR(VLOOKUP(25707,'PEDIDO 60'!$C$2:$E$230,3,0),0)</f>
        <v>0</v>
      </c>
      <c r="D4791" s="1">
        <f>IFERROR(VLOOKUP(25708,'PEDIDO 60'!$C$2:$E$230,3,0),0)</f>
        <v>0</v>
      </c>
      <c r="E4791" s="1">
        <f>IFERROR(VLOOKUP(25710,'PEDIDO 60'!$C$2:$E$230,3,0),0)</f>
        <v>0</v>
      </c>
      <c r="F4791" s="1">
        <f>IFERROR(VLOOKUP(25709,'PEDIDO 60'!$C$2:$E$230,3,0),0)</f>
        <v>0</v>
      </c>
      <c r="G4791" s="18">
        <f t="shared" si="154"/>
        <v>0</v>
      </c>
    </row>
    <row r="4792" spans="1:7" ht="15.75" x14ac:dyDescent="0.25">
      <c r="A4792" s="15">
        <f>'PEDIDO 60'!$B$2</f>
        <v>0</v>
      </c>
      <c r="B4792" s="12" t="s">
        <v>410</v>
      </c>
      <c r="C4792" s="1">
        <f>IFERROR(VLOOKUP(25711,'PEDIDO 60'!$C$2:$E$230,3,0),0)</f>
        <v>0</v>
      </c>
      <c r="D4792" s="1"/>
      <c r="E4792" s="1"/>
      <c r="F4792" s="1"/>
      <c r="G4792" s="18">
        <f t="shared" si="154"/>
        <v>0</v>
      </c>
    </row>
    <row r="4793" spans="1:7" ht="15.75" x14ac:dyDescent="0.25">
      <c r="A4793" s="15">
        <f>'PEDIDO 60'!$B$2</f>
        <v>0</v>
      </c>
      <c r="B4793" s="12" t="s">
        <v>411</v>
      </c>
      <c r="C4793" s="1">
        <f>IFERROR(VLOOKUP(35,'PEDIDO 60'!$C$2:$E$230,3,0),0)</f>
        <v>0</v>
      </c>
      <c r="D4793" s="1">
        <f>IFERROR(VLOOKUP(36,'PEDIDO 60'!$C$2:$E$230,3,0),0)</f>
        <v>0</v>
      </c>
      <c r="E4793" s="1">
        <f>IFERROR(VLOOKUP(37,'PEDIDO 60'!$C$2:$E$230,3,0),0)</f>
        <v>0</v>
      </c>
      <c r="F4793" s="1">
        <f>IFERROR(VLOOKUP(294,'PEDIDO 60'!$C$2:$E$230,3,0),0)</f>
        <v>0</v>
      </c>
      <c r="G4793" s="18">
        <f t="shared" si="154"/>
        <v>0</v>
      </c>
    </row>
    <row r="4794" spans="1:7" ht="15.75" x14ac:dyDescent="0.25">
      <c r="A4794" s="15">
        <f>'PEDIDO 60'!$B$2</f>
        <v>0</v>
      </c>
      <c r="B4794" s="12" t="s">
        <v>412</v>
      </c>
      <c r="C4794" s="1">
        <f>IFERROR(VLOOKUP(39,'PEDIDO 60'!$C$2:$E$230,3,0),0)</f>
        <v>0</v>
      </c>
      <c r="D4794" s="1">
        <f>IFERROR(VLOOKUP(40,'PEDIDO 60'!$C$2:$E$230,3,0),0)</f>
        <v>0</v>
      </c>
      <c r="E4794" s="1">
        <f>IFERROR(VLOOKUP(42,'PEDIDO 60'!$C$2:$E$230,3,0),0)</f>
        <v>0</v>
      </c>
      <c r="F4794" s="1">
        <f>IFERROR(VLOOKUP(295,'PEDIDO 60'!$C$2:$E$230,3,0),0)</f>
        <v>0</v>
      </c>
      <c r="G4794" s="18">
        <f t="shared" si="154"/>
        <v>0</v>
      </c>
    </row>
    <row r="4795" spans="1:7" ht="15.75" x14ac:dyDescent="0.25">
      <c r="A4795" s="15">
        <f>'PEDIDO 60'!$B$2</f>
        <v>0</v>
      </c>
      <c r="B4795" s="12" t="s">
        <v>413</v>
      </c>
      <c r="C4795" s="1">
        <f>IFERROR(VLOOKUP(44,'PEDIDO 60'!$C$2:$E$230,3,0),0)</f>
        <v>0</v>
      </c>
      <c r="D4795" s="1">
        <f>IFERROR(VLOOKUP(45,'PEDIDO 60'!$C$2:$E$230,3,0),0)</f>
        <v>0</v>
      </c>
      <c r="E4795" s="1">
        <f>IFERROR(VLOOKUP(46,'PEDIDO 60'!$C$2:$E$230,3,0),0)</f>
        <v>0</v>
      </c>
      <c r="F4795" s="1">
        <f>IFERROR(VLOOKUP(283,'PEDIDO 60'!$C$2:$E$230,3,0),0)</f>
        <v>0</v>
      </c>
      <c r="G4795" s="18">
        <f t="shared" si="154"/>
        <v>0</v>
      </c>
    </row>
    <row r="4796" spans="1:7" ht="15.75" x14ac:dyDescent="0.25">
      <c r="A4796" s="15">
        <f>'PEDIDO 60'!$B$2</f>
        <v>0</v>
      </c>
      <c r="B4796" s="12" t="s">
        <v>414</v>
      </c>
      <c r="C4796" s="1">
        <f>IFERROR(VLOOKUP(48,'PEDIDO 60'!$C$2:$E$230,3,0),0)</f>
        <v>0</v>
      </c>
      <c r="D4796" s="1">
        <f>IFERROR(VLOOKUP(49,'PEDIDO 60'!$C$2:$E$230,3,0),0)</f>
        <v>0</v>
      </c>
      <c r="E4796" s="1">
        <f>IFERROR(VLOOKUP(50,'PEDIDO 60'!$C$2:$E$230,3,0),0)</f>
        <v>0</v>
      </c>
      <c r="F4796" s="1">
        <f>IFERROR(VLOOKUP(298,'PEDIDO 60'!$C$2:$E$230,3,0),0)</f>
        <v>0</v>
      </c>
      <c r="G4796" s="18">
        <f t="shared" si="154"/>
        <v>0</v>
      </c>
    </row>
    <row r="4797" spans="1:7" ht="15.75" x14ac:dyDescent="0.25">
      <c r="A4797" s="15">
        <f>'PEDIDO 60'!$B$2</f>
        <v>0</v>
      </c>
      <c r="B4797" s="12" t="s">
        <v>415</v>
      </c>
      <c r="C4797" s="1">
        <f>IFERROR(VLOOKUP(52,'PEDIDO 60'!$C$2:$E$230,3,0),0)</f>
        <v>0</v>
      </c>
      <c r="D4797" s="1">
        <f>IFERROR(VLOOKUP(53,'PEDIDO 60'!$C$2:$E$230,3,0),0)</f>
        <v>0</v>
      </c>
      <c r="E4797" s="1">
        <f>IFERROR(VLOOKUP(54,'PEDIDO 60'!$C$2:$E$230,3,0),0)</f>
        <v>0</v>
      </c>
      <c r="F4797" s="1">
        <f>IFERROR(VLOOKUP(299,'PEDIDO 60'!$C$2:$E$230,3,0),0)</f>
        <v>0</v>
      </c>
      <c r="G4797" s="18">
        <f t="shared" si="154"/>
        <v>0</v>
      </c>
    </row>
    <row r="4798" spans="1:7" ht="15.75" x14ac:dyDescent="0.25">
      <c r="A4798" s="15">
        <f>'PEDIDO 60'!$B$2</f>
        <v>0</v>
      </c>
      <c r="B4798" s="12" t="s">
        <v>416</v>
      </c>
      <c r="C4798" s="1">
        <f>IFERROR(VLOOKUP(56,'PEDIDO 60'!$C$2:$E$230,3,0),0)</f>
        <v>0</v>
      </c>
      <c r="D4798" s="1">
        <f>IFERROR(VLOOKUP(61,'PEDIDO 60'!$C$2:$E$230,3,0),0)</f>
        <v>0</v>
      </c>
      <c r="E4798" s="1">
        <f>IFERROR(VLOOKUP(58,'PEDIDO 60'!$C$2:$E$230,3,0),0)</f>
        <v>0</v>
      </c>
      <c r="F4798" s="1">
        <f>IFERROR(VLOOKUP(300,'PEDIDO 60'!$C$2:$E$230,3,0),0)</f>
        <v>0</v>
      </c>
      <c r="G4798" s="18">
        <f t="shared" si="154"/>
        <v>0</v>
      </c>
    </row>
    <row r="4799" spans="1:7" ht="15.75" x14ac:dyDescent="0.25">
      <c r="A4799" s="15">
        <f>'PEDIDO 60'!$B$2</f>
        <v>0</v>
      </c>
      <c r="B4799" s="12" t="s">
        <v>417</v>
      </c>
      <c r="C4799" s="1">
        <f>IFERROR(VLOOKUP(60,'PEDIDO 60'!$C$2:$E$230,3,0),0)</f>
        <v>0</v>
      </c>
      <c r="D4799" s="1">
        <f>IFERROR(VLOOKUP(120,'PEDIDO 60'!$C$2:$E$230,3,0),0)</f>
        <v>0</v>
      </c>
      <c r="E4799" s="1">
        <f>IFERROR(VLOOKUP(62,'PEDIDO 60'!$C$2:$E$230,3,0),0)</f>
        <v>0</v>
      </c>
      <c r="F4799" s="1">
        <f>IFERROR(VLOOKUP(301,'PEDIDO 60'!$C$2:$E$230,3,0),0)</f>
        <v>0</v>
      </c>
      <c r="G4799" s="18">
        <f t="shared" si="154"/>
        <v>0</v>
      </c>
    </row>
    <row r="4800" spans="1:7" ht="15.75" x14ac:dyDescent="0.25">
      <c r="A4800" s="15">
        <f>'PEDIDO 60'!$B$2</f>
        <v>0</v>
      </c>
      <c r="B4800" s="12" t="s">
        <v>426</v>
      </c>
      <c r="C4800" s="1">
        <f>IFERROR(VLOOKUP(112,'PEDIDO 60'!$C$2:$E$230,3,0),0)</f>
        <v>0</v>
      </c>
      <c r="D4800" s="1">
        <f>IFERROR(VLOOKUP(113,'PEDIDO 60'!$C$2:$E$230,3,0),0)</f>
        <v>0</v>
      </c>
      <c r="E4800" s="1">
        <f>IFERROR(VLOOKUP(114,'PEDIDO 60'!$C$2:$E$230,3,0),0)</f>
        <v>0</v>
      </c>
      <c r="F4800" s="1">
        <f>IFERROR(VLOOKUP(296,'PEDIDO 60'!$C$2:$E$230,3,0),0)</f>
        <v>0</v>
      </c>
      <c r="G4800" s="18">
        <f t="shared" si="154"/>
        <v>0</v>
      </c>
    </row>
    <row r="4801" spans="1:7" ht="15.75" x14ac:dyDescent="0.25">
      <c r="A4801" s="15">
        <f>'PEDIDO 60'!$B$2</f>
        <v>0</v>
      </c>
      <c r="B4801" s="12" t="s">
        <v>427</v>
      </c>
      <c r="C4801" s="1">
        <f>IFERROR(VLOOKUP(116,'PEDIDO 60'!$C$2:$E$230,3,0),0)</f>
        <v>0</v>
      </c>
      <c r="D4801" s="1">
        <f>IFERROR(VLOOKUP(117,'PEDIDO 60'!$C$2:$E$230,3,0),0)</f>
        <v>0</v>
      </c>
      <c r="E4801" s="1">
        <f>IFERROR(VLOOKUP(118,'PEDIDO 60'!$C$2:$E$230,3,0),0)</f>
        <v>0</v>
      </c>
      <c r="F4801" s="1">
        <f>IFERROR(VLOOKUP(293,'PEDIDO 60'!$C$2:$E$230,3,0),0)</f>
        <v>0</v>
      </c>
      <c r="G4801" s="18">
        <f t="shared" si="154"/>
        <v>0</v>
      </c>
    </row>
    <row r="4802" spans="1:7" ht="15.75" x14ac:dyDescent="0.25">
      <c r="A4802" s="15">
        <f>'PEDIDO 60'!$B$2</f>
        <v>0</v>
      </c>
      <c r="B4802" s="12" t="s">
        <v>418</v>
      </c>
      <c r="C4802" s="1">
        <f>IFERROR(VLOOKUP(963,'PEDIDO 60'!$C$2:$E$230,3,0),0)</f>
        <v>0</v>
      </c>
      <c r="D4802" s="1">
        <f>IFERROR(VLOOKUP(965,'PEDIDO 60'!$C$2:$E$230,3,0),0)</f>
        <v>0</v>
      </c>
      <c r="E4802" s="1">
        <f>IFERROR(VLOOKUP(966,'PEDIDO 60'!$C$2:$E$230,3,0),0)</f>
        <v>0</v>
      </c>
      <c r="F4802" s="1">
        <f>IFERROR(VLOOKUP(964,'PEDIDO 60'!$C$2:$E$230,3,0),0)</f>
        <v>0</v>
      </c>
      <c r="G4802" s="18">
        <f t="shared" si="154"/>
        <v>0</v>
      </c>
    </row>
    <row r="4803" spans="1:7" ht="15.75" x14ac:dyDescent="0.25">
      <c r="A4803" s="15">
        <f>'PEDIDO 60'!$B$2</f>
        <v>0</v>
      </c>
      <c r="B4803" s="12" t="s">
        <v>419</v>
      </c>
      <c r="C4803" s="1">
        <f>IFERROR(VLOOKUP(2042,'PEDIDO 60'!$C$2:$E$230,3,0),0)</f>
        <v>0</v>
      </c>
      <c r="D4803" s="1">
        <f>IFERROR(VLOOKUP(2041,'PEDIDO 60'!$C$2:$E$230,3,0),0)</f>
        <v>0</v>
      </c>
      <c r="E4803" s="1">
        <f>IFERROR(VLOOKUP(2043,'PEDIDO 60'!$C$2:$E$230,3,0),0)</f>
        <v>0</v>
      </c>
      <c r="F4803" s="1">
        <f>IFERROR(VLOOKUP(2040,'PEDIDO 60'!$C$2:$E$230,3,0),0)</f>
        <v>0</v>
      </c>
      <c r="G4803" s="18">
        <f t="shared" si="154"/>
        <v>0</v>
      </c>
    </row>
    <row r="4804" spans="1:7" ht="15.75" x14ac:dyDescent="0.25">
      <c r="A4804" s="15">
        <f>'PEDIDO 60'!$B$2</f>
        <v>0</v>
      </c>
      <c r="B4804" s="12" t="s">
        <v>420</v>
      </c>
      <c r="C4804" s="1">
        <f>IFERROR(VLOOKUP(2045,'PEDIDO 60'!$C$2:$E$230,3,0),0)</f>
        <v>0</v>
      </c>
      <c r="D4804" s="1">
        <f>IFERROR(VLOOKUP(2046,'PEDIDO 60'!$C$2:$E$230,3,0),0)</f>
        <v>0</v>
      </c>
      <c r="E4804" s="1">
        <f>IFERROR(VLOOKUP(2047,'PEDIDO 60'!$C$2:$E$230,3,0),0)</f>
        <v>0</v>
      </c>
      <c r="F4804" s="1">
        <f>IFERROR(VLOOKUP(2048,'PEDIDO 60'!$C$2:$E$230,3,0),0)</f>
        <v>0</v>
      </c>
      <c r="G4804" s="18">
        <f t="shared" si="154"/>
        <v>0</v>
      </c>
    </row>
    <row r="4805" spans="1:7" ht="15.75" x14ac:dyDescent="0.25">
      <c r="A4805" s="15">
        <f>'PEDIDO 60'!$B$2</f>
        <v>0</v>
      </c>
      <c r="B4805" s="12" t="s">
        <v>421</v>
      </c>
      <c r="C4805" s="1">
        <f>IFERROR(VLOOKUP(2050,'PEDIDO 60'!$C$2:$E$230,3,0),0)</f>
        <v>0</v>
      </c>
      <c r="D4805" s="1">
        <f>IFERROR(VLOOKUP(2051,'PEDIDO 60'!$C$2:$E$230,3,0),0)</f>
        <v>0</v>
      </c>
      <c r="E4805" s="1">
        <f>IFERROR(VLOOKUP(2052,'PEDIDO 60'!$C$2:$E$230,3,0),0)</f>
        <v>0</v>
      </c>
      <c r="F4805" s="1">
        <f>IFERROR(VLOOKUP(2053,'PEDIDO 60'!$C$2:$E$230,3,0),0)</f>
        <v>0</v>
      </c>
      <c r="G4805" s="18">
        <f t="shared" si="154"/>
        <v>0</v>
      </c>
    </row>
    <row r="4806" spans="1:7" ht="15.75" x14ac:dyDescent="0.25">
      <c r="A4806" s="15">
        <f>'PEDIDO 60'!$B$2</f>
        <v>0</v>
      </c>
      <c r="B4806" s="12" t="s">
        <v>422</v>
      </c>
      <c r="C4806" s="1">
        <f>IFERROR(VLOOKUP(216,'PEDIDO 60'!$C$2:$E$230,3,0),0)</f>
        <v>0</v>
      </c>
      <c r="D4806" s="1">
        <f>IFERROR(VLOOKUP(217,'PEDIDO 60'!$C$2:$E$230,3,0),0)</f>
        <v>0</v>
      </c>
      <c r="E4806" s="1">
        <f>IFERROR(VLOOKUP(218,'PEDIDO 60'!$C$2:$E$230,3,0),0)</f>
        <v>0</v>
      </c>
      <c r="F4806" s="1">
        <f>IFERROR(VLOOKUP(305,'PEDIDO 60'!$C$2:$E$230,3,0),0)</f>
        <v>0</v>
      </c>
      <c r="G4806" s="18">
        <f t="shared" si="154"/>
        <v>0</v>
      </c>
    </row>
    <row r="4807" spans="1:7" ht="15.75" x14ac:dyDescent="0.25">
      <c r="A4807" s="15">
        <f>'PEDIDO 60'!$B$2</f>
        <v>0</v>
      </c>
      <c r="B4807" s="12" t="s">
        <v>423</v>
      </c>
      <c r="C4807" s="1">
        <f>IFERROR(VLOOKUP(100,'PEDIDO 60'!$C$2:$E$230,3,0),0)</f>
        <v>0</v>
      </c>
      <c r="D4807" s="1">
        <f>IFERROR(VLOOKUP(101,'PEDIDO 60'!$C$2:$E$230,3,0),0)</f>
        <v>0</v>
      </c>
      <c r="E4807" s="1">
        <f>IFERROR(VLOOKUP(102,'PEDIDO 60'!$C$2:$E$230,3,0),0)</f>
        <v>0</v>
      </c>
      <c r="F4807" s="1">
        <f>IFERROR(VLOOKUP(306,'PEDIDO 60'!$C$2:$E$230,3,0),0)</f>
        <v>0</v>
      </c>
      <c r="G4807" s="18">
        <f t="shared" si="154"/>
        <v>0</v>
      </c>
    </row>
    <row r="4808" spans="1:7" ht="15.75" x14ac:dyDescent="0.25">
      <c r="A4808" s="15">
        <f>'PEDIDO 60'!$B$2</f>
        <v>0</v>
      </c>
      <c r="B4808" s="12" t="s">
        <v>424</v>
      </c>
      <c r="C4808" s="1">
        <f>IFERROR(VLOOKUP(104,'PEDIDO 60'!$C$2:$E$230,3,0),0)</f>
        <v>0</v>
      </c>
      <c r="D4808" s="1">
        <f>IFERROR(VLOOKUP(105,'PEDIDO 60'!$C$2:$E$230,3,0),0)</f>
        <v>0</v>
      </c>
      <c r="E4808" s="1">
        <f>IFERROR(VLOOKUP(106,'PEDIDO 60'!$C$2:$E$230,3,0),0)</f>
        <v>0</v>
      </c>
      <c r="F4808" s="1">
        <f>IFERROR(VLOOKUP(307,'PEDIDO 60'!$C$2:$E$230,3,0),0)</f>
        <v>0</v>
      </c>
      <c r="G4808" s="18">
        <f t="shared" si="154"/>
        <v>0</v>
      </c>
    </row>
    <row r="4809" spans="1:7" ht="15.75" x14ac:dyDescent="0.25">
      <c r="A4809" s="15">
        <f>'PEDIDO 60'!$B$2</f>
        <v>0</v>
      </c>
      <c r="B4809" s="12" t="s">
        <v>425</v>
      </c>
      <c r="C4809" s="1">
        <f>IFERROR(VLOOKUP(400,'PEDIDO 60'!$C$2:$E$230,3,0),0)</f>
        <v>0</v>
      </c>
      <c r="D4809" s="1">
        <f>IFERROR(VLOOKUP(401,'PEDIDO 60'!$C$2:$E$230,3,0),0)</f>
        <v>0</v>
      </c>
      <c r="E4809" s="1">
        <f>IFERROR(VLOOKUP(402,'PEDIDO 60'!$C$2:$E$230,3,0),0)</f>
        <v>0</v>
      </c>
      <c r="F4809" s="1">
        <f>IFERROR(VLOOKUP(403,'PEDIDO 60'!$C$2:$E$230,3,0),0)</f>
        <v>0</v>
      </c>
      <c r="G4809" s="18">
        <f t="shared" si="154"/>
        <v>0</v>
      </c>
    </row>
    <row r="4810" spans="1:7" ht="15.75" x14ac:dyDescent="0.25">
      <c r="A4810" s="15">
        <f>'PEDIDO 60'!$B$2</f>
        <v>0</v>
      </c>
      <c r="B4810" s="12" t="s">
        <v>428</v>
      </c>
      <c r="C4810" s="1">
        <f>IFERROR(VLOOKUP(22,'PEDIDO 60'!$C$2:$E$230,3,0),0)</f>
        <v>0</v>
      </c>
      <c r="D4810" s="1"/>
      <c r="E4810" s="1"/>
      <c r="F4810" s="1"/>
      <c r="G4810" s="18">
        <f t="shared" si="154"/>
        <v>0</v>
      </c>
    </row>
    <row r="4811" spans="1:7" ht="15.75" x14ac:dyDescent="0.25">
      <c r="A4811" s="15">
        <f>'PEDIDO 60'!$B$2</f>
        <v>0</v>
      </c>
      <c r="B4811" s="12" t="s">
        <v>429</v>
      </c>
      <c r="C4811" s="1">
        <f>IFERROR(VLOOKUP(21,'PEDIDO 60'!$C$2:$E$230,3,0),0)</f>
        <v>0</v>
      </c>
      <c r="D4811" s="1"/>
      <c r="E4811" s="1"/>
      <c r="F4811" s="1"/>
      <c r="G4811" s="18">
        <f t="shared" si="154"/>
        <v>0</v>
      </c>
    </row>
    <row r="4812" spans="1:7" ht="15.75" x14ac:dyDescent="0.25">
      <c r="A4812" s="15">
        <f>'PEDIDO 60'!$B$2</f>
        <v>0</v>
      </c>
      <c r="B4812" s="12" t="s">
        <v>430</v>
      </c>
      <c r="C4812" s="1">
        <f>IFERROR(VLOOKUP(1125,'PEDIDO 60'!$C$2:$E$230,3,0),0)</f>
        <v>0</v>
      </c>
      <c r="D4812" s="1">
        <f>IFERROR(VLOOKUP(1126,'PEDIDO 60'!$C$2:$E$230,3,0),0)</f>
        <v>0</v>
      </c>
      <c r="E4812" s="1">
        <f>IFERROR(VLOOKUP(1127,'PEDIDO 60'!$C$2:$E$230,3,0),0)</f>
        <v>0</v>
      </c>
      <c r="F4812" s="1">
        <f>IFERROR(VLOOKUP(1128,'PEDIDO 60'!$C$2:$E$230,3,0),0)</f>
        <v>0</v>
      </c>
      <c r="G4812" s="18">
        <f t="shared" si="154"/>
        <v>0</v>
      </c>
    </row>
    <row r="4813" spans="1:7" ht="15.75" x14ac:dyDescent="0.25">
      <c r="A4813" s="15">
        <f>'PEDIDO 60'!$B$2</f>
        <v>0</v>
      </c>
      <c r="B4813" s="12" t="s">
        <v>431</v>
      </c>
      <c r="C4813" s="1">
        <f>IFERROR(VLOOKUP(1133,'PEDIDO 60'!$C$2:$E$230,3,0),0)</f>
        <v>0</v>
      </c>
      <c r="D4813" s="1">
        <f>IFERROR(VLOOKUP(1134,'PEDIDO 60'!$C$2:$E$230,3,0),0)</f>
        <v>0</v>
      </c>
      <c r="E4813" s="1">
        <f>IFERROR(VLOOKUP(1135,'PEDIDO 60'!$C$2:$E$230,3,0),0)</f>
        <v>0</v>
      </c>
      <c r="F4813" s="1">
        <f>IFERROR(VLOOKUP(1136,'PEDIDO 60'!$C$2:$E$230,3,0),0)</f>
        <v>0</v>
      </c>
      <c r="G4813" s="18">
        <f t="shared" si="154"/>
        <v>0</v>
      </c>
    </row>
    <row r="4814" spans="1:7" ht="15.75" x14ac:dyDescent="0.25">
      <c r="A4814" s="15">
        <f>'PEDIDO 60'!$B$2</f>
        <v>0</v>
      </c>
      <c r="B4814" s="12" t="s">
        <v>432</v>
      </c>
      <c r="C4814" s="1">
        <f>IFERROR(VLOOKUP(1105,'PEDIDO 60'!$C$2:$E$230,3,0),0)</f>
        <v>0</v>
      </c>
      <c r="D4814" s="1">
        <f>IFERROR(VLOOKUP(1106,'PEDIDO 60'!$C$2:$E$230,3,0),0)</f>
        <v>0</v>
      </c>
      <c r="E4814" s="1">
        <f>IFERROR(VLOOKUP(1107,'PEDIDO 60'!$C$2:$E$230,3,0),0)</f>
        <v>0</v>
      </c>
      <c r="F4814" s="1">
        <f>IFERROR(VLOOKUP(1108,'PEDIDO 60'!$C$2:$E$230,3,0),0)</f>
        <v>0</v>
      </c>
      <c r="G4814" s="18">
        <f t="shared" si="154"/>
        <v>0</v>
      </c>
    </row>
    <row r="4815" spans="1:7" ht="15.75" x14ac:dyDescent="0.25">
      <c r="A4815" s="15">
        <f>'PEDIDO 60'!$B$2</f>
        <v>0</v>
      </c>
      <c r="B4815" s="12" t="s">
        <v>433</v>
      </c>
      <c r="C4815" s="1">
        <f>IFERROR(VLOOKUP(1109,'PEDIDO 60'!$C$2:$E$230,3,0),0)</f>
        <v>0</v>
      </c>
      <c r="D4815" s="1">
        <f>IFERROR(VLOOKUP(1110,'PEDIDO 60'!$C$2:$E$230,3,0),0)</f>
        <v>0</v>
      </c>
      <c r="E4815" s="1">
        <f>IFERROR(VLOOKUP(1111,'PEDIDO 60'!$C$2:$E$230,3,0),0)</f>
        <v>0</v>
      </c>
      <c r="F4815" s="1">
        <f>IFERROR(VLOOKUP(1112,'PEDIDO 60'!$C$2:$E$230,3,0),0)</f>
        <v>0</v>
      </c>
      <c r="G4815" s="18">
        <f t="shared" si="154"/>
        <v>0</v>
      </c>
    </row>
    <row r="4816" spans="1:7" ht="15.75" x14ac:dyDescent="0.25">
      <c r="A4816" s="15">
        <f>'PEDIDO 60'!$B$2</f>
        <v>0</v>
      </c>
      <c r="B4816" s="12" t="s">
        <v>434</v>
      </c>
      <c r="C4816" s="1">
        <f>IFERROR(VLOOKUP(1113,'PEDIDO 60'!$C$2:$E$230,3,0),0)</f>
        <v>0</v>
      </c>
      <c r="D4816" s="1">
        <f>IFERROR(VLOOKUP(1114,'PEDIDO 60'!$C$2:$E$230,3,0),0)</f>
        <v>0</v>
      </c>
      <c r="E4816" s="1">
        <f>IFERROR(VLOOKUP(1115,'PEDIDO 60'!$C$2:$E$230,3,0),0)</f>
        <v>0</v>
      </c>
      <c r="F4816" s="1">
        <f>IFERROR(VLOOKUP(1116,'PEDIDO 60'!$C$2:$E$230,3,0),0)</f>
        <v>0</v>
      </c>
      <c r="G4816" s="18">
        <f t="shared" si="154"/>
        <v>0</v>
      </c>
    </row>
    <row r="4817" spans="1:7" ht="15.75" x14ac:dyDescent="0.25">
      <c r="A4817" s="15">
        <f>'PEDIDO 60'!$B$2</f>
        <v>0</v>
      </c>
      <c r="B4817" s="12" t="s">
        <v>435</v>
      </c>
      <c r="C4817" s="1">
        <f>IFERROR(VLOOKUP(1117,'PEDIDO 60'!$C$2:$E$230,3,0),0)</f>
        <v>0</v>
      </c>
      <c r="D4817" s="1">
        <f>IFERROR(VLOOKUP(1118,'PEDIDO 60'!$C$2:$E$230,3,0),0)</f>
        <v>0</v>
      </c>
      <c r="E4817" s="1">
        <f>IFERROR(VLOOKUP(1119,'PEDIDO 60'!$C$2:$E$230,3,0),0)</f>
        <v>0</v>
      </c>
      <c r="F4817" s="1">
        <f>IFERROR(VLOOKUP(1120,'PEDIDO 60'!$C$2:$E$230,3,0),0)</f>
        <v>0</v>
      </c>
      <c r="G4817" s="18">
        <f t="shared" si="154"/>
        <v>0</v>
      </c>
    </row>
    <row r="4818" spans="1:7" ht="15.75" x14ac:dyDescent="0.25">
      <c r="A4818" s="15">
        <f>'PEDIDO 60'!$B$2</f>
        <v>0</v>
      </c>
      <c r="B4818" s="12" t="s">
        <v>436</v>
      </c>
      <c r="C4818" s="1">
        <f>IFERROR(VLOOKUP(1121,'PEDIDO 60'!$C$2:$E$230,3,0),0)</f>
        <v>0</v>
      </c>
      <c r="D4818" s="1">
        <f>IFERROR(VLOOKUP(1122,'PEDIDO 60'!$C$2:$E$230,3,0),0)</f>
        <v>0</v>
      </c>
      <c r="E4818" s="1">
        <f>IFERROR(VLOOKUP(1123,'PEDIDO 60'!$C$2:$E$230,3,0),0)</f>
        <v>0</v>
      </c>
      <c r="F4818" s="1">
        <f>IFERROR(VLOOKUP(1124,'PEDIDO 60'!$C$2:$E$230,3,0),0)</f>
        <v>0</v>
      </c>
      <c r="G4818" s="18">
        <f t="shared" si="154"/>
        <v>0</v>
      </c>
    </row>
    <row r="4819" spans="1:7" ht="15.75" x14ac:dyDescent="0.25">
      <c r="A4819" s="15">
        <f>'PEDIDO 60'!$B$2</f>
        <v>0</v>
      </c>
      <c r="B4819" s="12" t="s">
        <v>437</v>
      </c>
      <c r="C4819" s="1">
        <f>IFERROR(VLOOKUP(1129,'PEDIDO 60'!$C$2:$E$230,3,0),0)</f>
        <v>0</v>
      </c>
      <c r="D4819" s="1">
        <f>IFERROR(VLOOKUP(1130,'PEDIDO 60'!$C$2:$E$230,3,0),0)</f>
        <v>0</v>
      </c>
      <c r="E4819" s="1">
        <f>IFERROR(VLOOKUP(1131,'PEDIDO 60'!$C$2:$E$230,3,0),0)</f>
        <v>0</v>
      </c>
      <c r="F4819" s="1">
        <f>IFERROR(VLOOKUP(1132,'PEDIDO 60'!$C$2:$E$230,3,0),0)</f>
        <v>0</v>
      </c>
      <c r="G4819" s="18">
        <f t="shared" si="154"/>
        <v>0</v>
      </c>
    </row>
    <row r="4820" spans="1:7" ht="15.75" x14ac:dyDescent="0.25">
      <c r="A4820" s="15">
        <f>'PEDIDO 60'!$B$2</f>
        <v>0</v>
      </c>
      <c r="B4820" s="12" t="s">
        <v>438</v>
      </c>
      <c r="C4820" s="1">
        <f>IFERROR(VLOOKUP(1137,'PEDIDO 60'!$C$2:$E$230,3,0),0)</f>
        <v>0</v>
      </c>
      <c r="D4820" s="1">
        <f>IFERROR(VLOOKUP(1138,'PEDIDO 60'!$C$2:$E$230,3,0),0)</f>
        <v>0</v>
      </c>
      <c r="E4820" s="1">
        <f>IFERROR(VLOOKUP(1139,'PEDIDO 60'!$C$2:$E$230,3,0),0)</f>
        <v>0</v>
      </c>
      <c r="F4820" s="1">
        <f>IFERROR(VLOOKUP(1140,'PEDIDO 60'!$C$2:$E$230,3,0),0)</f>
        <v>0</v>
      </c>
      <c r="G4820" s="18">
        <f t="shared" si="154"/>
        <v>0</v>
      </c>
    </row>
    <row r="4821" spans="1:7" ht="15.75" x14ac:dyDescent="0.25">
      <c r="A4821" s="15">
        <f>'PEDIDO 60'!$B$2</f>
        <v>0</v>
      </c>
      <c r="B4821" s="12" t="s">
        <v>439</v>
      </c>
      <c r="C4821" s="1">
        <f>IFERROR(VLOOKUP(1141,'PEDIDO 60'!$C$2:$E$230,3,0),0)</f>
        <v>0</v>
      </c>
      <c r="D4821" s="1">
        <f>IFERROR(VLOOKUP(1142,'PEDIDO 60'!$C$2:$E$230,3,0),0)</f>
        <v>0</v>
      </c>
      <c r="E4821" s="1">
        <f>IFERROR(VLOOKUP(1143,'PEDIDO 60'!$C$2:$E$230,3,0),0)</f>
        <v>0</v>
      </c>
      <c r="F4821" s="1">
        <f>IFERROR(VLOOKUP(1144,'PEDIDO 60'!$C$2:$E$230,3,0),0)</f>
        <v>0</v>
      </c>
      <c r="G4821" s="18">
        <f t="shared" si="154"/>
        <v>0</v>
      </c>
    </row>
    <row r="4822" spans="1:7" ht="15.75" x14ac:dyDescent="0.25">
      <c r="A4822" s="15">
        <f>'PEDIDO 60'!$B$2</f>
        <v>0</v>
      </c>
      <c r="B4822" s="12" t="s">
        <v>440</v>
      </c>
      <c r="C4822" s="1">
        <f>IFERROR(VLOOKUP(1145,'PEDIDO 60'!$C$2:$E$230,3,0),0)</f>
        <v>0</v>
      </c>
      <c r="D4822" s="1">
        <f>IFERROR(VLOOKUP(1146,'PEDIDO 60'!$C$2:$E$230,3,0),0)</f>
        <v>0</v>
      </c>
      <c r="E4822" s="1">
        <f>IFERROR(VLOOKUP(1147,'PEDIDO 60'!$C$2:$E$230,3,0),0)</f>
        <v>0</v>
      </c>
      <c r="F4822" s="1">
        <f>IFERROR(VLOOKUP(1148,'PEDIDO 60'!$C$2:$E$230,3,0),0)</f>
        <v>0</v>
      </c>
      <c r="G4822" s="18">
        <f t="shared" si="154"/>
        <v>0</v>
      </c>
    </row>
    <row r="4823" spans="1:7" ht="15.75" x14ac:dyDescent="0.25">
      <c r="A4823" s="15">
        <f>'PEDIDO 60'!$B$2</f>
        <v>0</v>
      </c>
      <c r="B4823" s="12" t="s">
        <v>441</v>
      </c>
      <c r="C4823" s="1">
        <f>IFERROR(VLOOKUP(1149,'PEDIDO 60'!$C$2:$E$230,3,0),0)</f>
        <v>0</v>
      </c>
      <c r="D4823" s="1">
        <f>IFERROR(VLOOKUP(1150,'PEDIDO 60'!$C$2:$E$230,3,0),0)</f>
        <v>0</v>
      </c>
      <c r="E4823" s="1">
        <f>IFERROR(VLOOKUP(1151,'PEDIDO 60'!$C$2:$E$230,3,0),0)</f>
        <v>0</v>
      </c>
      <c r="F4823" s="1">
        <f>IFERROR(VLOOKUP(1152,'PEDIDO 60'!$C$2:$E$230,3,0),0)</f>
        <v>0</v>
      </c>
      <c r="G4823" s="18">
        <f t="shared" si="154"/>
        <v>0</v>
      </c>
    </row>
    <row r="4824" spans="1:7" ht="15.75" x14ac:dyDescent="0.25">
      <c r="A4824" s="15">
        <f>'PEDIDO 60'!$B$2</f>
        <v>0</v>
      </c>
      <c r="B4824" s="12" t="s">
        <v>442</v>
      </c>
      <c r="C4824" s="1">
        <f>IFERROR(VLOOKUP(1153,'PEDIDO 60'!$C$2:$E$230,3,0),0)</f>
        <v>0</v>
      </c>
      <c r="D4824" s="1">
        <f>IFERROR(VLOOKUP(1154,'PEDIDO 60'!$C$2:$E$230,3,0),0)</f>
        <v>0</v>
      </c>
      <c r="E4824" s="1">
        <f>IFERROR(VLOOKUP(1155,'PEDIDO 60'!$C$2:$E$230,3,0),0)</f>
        <v>0</v>
      </c>
      <c r="F4824" s="1">
        <f>IFERROR(VLOOKUP(1156,'PEDIDO 60'!$C$2:$E$230,3,0),0)</f>
        <v>0</v>
      </c>
      <c r="G4824" s="18">
        <f t="shared" si="154"/>
        <v>0</v>
      </c>
    </row>
    <row r="4825" spans="1:7" ht="15.75" x14ac:dyDescent="0.25">
      <c r="A4825" s="15">
        <f>'PEDIDO 60'!$B$2</f>
        <v>0</v>
      </c>
      <c r="B4825" s="12" t="s">
        <v>443</v>
      </c>
      <c r="C4825" s="1">
        <f>IFERROR(VLOOKUP(1157,'PEDIDO 60'!$C$2:$E$230,3,0),0)</f>
        <v>0</v>
      </c>
      <c r="D4825" s="1">
        <f>IFERROR(VLOOKUP(1158,'PEDIDO 60'!$C$2:$E$230,3,0),0)</f>
        <v>0</v>
      </c>
      <c r="E4825" s="1">
        <f>IFERROR(VLOOKUP(1159,'PEDIDO 60'!$C$2:$E$230,3,0),0)</f>
        <v>0</v>
      </c>
      <c r="F4825" s="1">
        <f>IFERROR(VLOOKUP(1160,'PEDIDO 60'!$C$2:$E$230,3,0),0)</f>
        <v>0</v>
      </c>
      <c r="G4825" s="18">
        <f t="shared" si="154"/>
        <v>0</v>
      </c>
    </row>
    <row r="4826" spans="1:7" ht="15.75" x14ac:dyDescent="0.25">
      <c r="A4826" s="15">
        <f>'PEDIDO 60'!$B$2</f>
        <v>0</v>
      </c>
      <c r="B4826" s="12" t="s">
        <v>444</v>
      </c>
      <c r="C4826" s="1">
        <f>IFERROR(VLOOKUP(1161,'PEDIDO 60'!$C$2:$E$230,3,0),0)</f>
        <v>0</v>
      </c>
      <c r="D4826" s="1">
        <f>IFERROR(VLOOKUP(1162,'PEDIDO 60'!$C$2:$E$230,3,0),0)</f>
        <v>0</v>
      </c>
      <c r="E4826" s="1">
        <f>IFERROR(VLOOKUP(1163,'PEDIDO 60'!$C$2:$E$230,3,0),0)</f>
        <v>0</v>
      </c>
      <c r="F4826" s="1">
        <f>IFERROR(VLOOKUP(1164,'PEDIDO 60'!$C$2:$E$230,3,0),0)</f>
        <v>0</v>
      </c>
      <c r="G4826" s="18">
        <f t="shared" si="154"/>
        <v>0</v>
      </c>
    </row>
    <row r="4827" spans="1:7" ht="15.75" x14ac:dyDescent="0.25">
      <c r="A4827" s="15">
        <f>'PEDIDO 60'!$B$2</f>
        <v>0</v>
      </c>
      <c r="B4827" s="12" t="s">
        <v>445</v>
      </c>
      <c r="C4827" s="1">
        <f>IFERROR(VLOOKUP(1165,'PEDIDO 60'!$C$2:$E$230,3,0),0)</f>
        <v>0</v>
      </c>
      <c r="D4827" s="1">
        <f>IFERROR(VLOOKUP(1166,'PEDIDO 60'!$C$2:$E$230,3,0),0)</f>
        <v>0</v>
      </c>
      <c r="E4827" s="1">
        <f>IFERROR(VLOOKUP(1167,'PEDIDO 60'!$C$2:$E$230,3,0),0)</f>
        <v>0</v>
      </c>
      <c r="F4827" s="1">
        <f>IFERROR(VLOOKUP(1168,'PEDIDO 60'!$C$2:$E$230,3,0),0)</f>
        <v>0</v>
      </c>
      <c r="G4827" s="18">
        <f t="shared" si="154"/>
        <v>0</v>
      </c>
    </row>
    <row r="4828" spans="1:7" ht="15.75" x14ac:dyDescent="0.25">
      <c r="A4828" s="15">
        <f>'PEDIDO 60'!$B$2</f>
        <v>0</v>
      </c>
      <c r="B4828" s="12" t="s">
        <v>446</v>
      </c>
      <c r="C4828" s="1">
        <f>IFERROR(VLOOKUP(1169,'PEDIDO 60'!$C$2:$E$230,3,0),0)</f>
        <v>0</v>
      </c>
      <c r="D4828" s="1">
        <f>IFERROR(VLOOKUP(1170,'PEDIDO 60'!$C$2:$E$230,3,0),0)</f>
        <v>0</v>
      </c>
      <c r="E4828" s="1">
        <f>IFERROR(VLOOKUP(1171,'PEDIDO 60'!$C$2:$E$230,3,0),0)</f>
        <v>0</v>
      </c>
      <c r="F4828" s="1">
        <f>IFERROR(VLOOKUP(1172,'PEDIDO 60'!$C$2:$E$230,3,0),0)</f>
        <v>0</v>
      </c>
      <c r="G4828" s="18">
        <f t="shared" si="154"/>
        <v>0</v>
      </c>
    </row>
    <row r="4829" spans="1:7" ht="15.75" x14ac:dyDescent="0.25">
      <c r="A4829" s="15">
        <f>'PEDIDO 60'!$B$2</f>
        <v>0</v>
      </c>
      <c r="B4829" s="12" t="s">
        <v>447</v>
      </c>
      <c r="C4829" s="1">
        <f>IFERROR(VLOOKUP(1173,'PEDIDO 60'!$C$2:$E$230,3,0),0)</f>
        <v>0</v>
      </c>
      <c r="D4829" s="1">
        <f>IFERROR(VLOOKUP(1174,'PEDIDO 60'!$C$2:$E$230,3,0),0)</f>
        <v>0</v>
      </c>
      <c r="E4829" s="1">
        <f>IFERROR(VLOOKUP(1175,'PEDIDO 60'!$C$2:$E$230,3,0),0)</f>
        <v>0</v>
      </c>
      <c r="F4829" s="1">
        <f>IFERROR(VLOOKUP(1176,'PEDIDO 60'!$C$2:$E$230,3,0),0)</f>
        <v>0</v>
      </c>
      <c r="G4829" s="18">
        <f t="shared" si="154"/>
        <v>0</v>
      </c>
    </row>
    <row r="4830" spans="1:7" ht="15.75" x14ac:dyDescent="0.25">
      <c r="A4830" s="15">
        <f>'PEDIDO 60'!$B$2</f>
        <v>0</v>
      </c>
      <c r="B4830" s="12" t="s">
        <v>448</v>
      </c>
      <c r="C4830" s="1">
        <f>IFERROR(VLOOKUP(1249,'PEDIDO 60'!$C$2:$E$230,3,0),0)</f>
        <v>0</v>
      </c>
      <c r="D4830" s="1">
        <f>IFERROR(VLOOKUP(1250,'PEDIDO 60'!$C$2:$E$230,3,0),0)</f>
        <v>0</v>
      </c>
      <c r="E4830" s="1">
        <f>IFERROR(VLOOKUP(1251,'PEDIDO 60'!$C$2:$E$230,3,0),0)</f>
        <v>0</v>
      </c>
      <c r="F4830" s="1">
        <f>IFERROR(VLOOKUP(1252,'PEDIDO 60'!$C$2:$E$230,3,0),0)</f>
        <v>0</v>
      </c>
      <c r="G4830" s="18">
        <f t="shared" si="154"/>
        <v>0</v>
      </c>
    </row>
    <row r="4831" spans="1:7" ht="15.75" x14ac:dyDescent="0.25">
      <c r="A4831" s="15">
        <f>'PEDIDO 60'!$B$2</f>
        <v>0</v>
      </c>
      <c r="B4831" s="12" t="s">
        <v>449</v>
      </c>
      <c r="C4831" s="1">
        <f>IFERROR(VLOOKUP(1177,'PEDIDO 60'!$C$2:$E$230,3,0),0)</f>
        <v>0</v>
      </c>
      <c r="D4831" s="1">
        <f>IFERROR(VLOOKUP(1178,'PEDIDO 60'!$C$2:$E$230,3,0),0)</f>
        <v>0</v>
      </c>
      <c r="E4831" s="1">
        <f>IFERROR(VLOOKUP(1179,'PEDIDO 60'!$C$2:$E$230,3,0),0)</f>
        <v>0</v>
      </c>
      <c r="F4831" s="1">
        <f>IFERROR(VLOOKUP(1180,'PEDIDO 60'!$C$2:$E$230,3,0),0)</f>
        <v>0</v>
      </c>
      <c r="G4831" s="18">
        <f t="shared" si="154"/>
        <v>0</v>
      </c>
    </row>
    <row r="4832" spans="1:7" ht="15.75" x14ac:dyDescent="0.25">
      <c r="A4832" s="15">
        <f>'PEDIDO 60'!$B$2</f>
        <v>0</v>
      </c>
      <c r="B4832" s="12" t="s">
        <v>450</v>
      </c>
      <c r="C4832" s="1">
        <f>IFERROR(VLOOKUP(1181,'PEDIDO 60'!$C$2:$E$230,3,0),0)</f>
        <v>0</v>
      </c>
      <c r="D4832" s="1">
        <f>IFERROR(VLOOKUP(1182,'PEDIDO 60'!$C$2:$E$230,3,0),0)</f>
        <v>0</v>
      </c>
      <c r="E4832" s="1">
        <f>IFERROR(VLOOKUP(1183,'PEDIDO 60'!$C$2:$E$230,3,0),0)</f>
        <v>0</v>
      </c>
      <c r="F4832" s="1">
        <f>IFERROR(VLOOKUP(1184,'PEDIDO 60'!$C$2:$E$230,3,0),0)</f>
        <v>0</v>
      </c>
      <c r="G4832" s="18">
        <f t="shared" si="154"/>
        <v>0</v>
      </c>
    </row>
    <row r="4833" spans="1:7" ht="15.75" x14ac:dyDescent="0.25">
      <c r="A4833" s="15">
        <f>'PEDIDO 60'!$B$2</f>
        <v>0</v>
      </c>
      <c r="B4833" s="12" t="s">
        <v>451</v>
      </c>
      <c r="C4833" s="1">
        <f>IFERROR(VLOOKUP(1185,'PEDIDO 60'!$C$2:$E$230,3,0),0)</f>
        <v>0</v>
      </c>
      <c r="D4833" s="1">
        <f>IFERROR(VLOOKUP(1186,'PEDIDO 60'!$C$2:$E$230,3,0),0)</f>
        <v>0</v>
      </c>
      <c r="E4833" s="1">
        <f>IFERROR(VLOOKUP(1187,'PEDIDO 60'!$C$2:$E$230,3,0),0)</f>
        <v>0</v>
      </c>
      <c r="F4833" s="1">
        <f>IFERROR(VLOOKUP(1188,'PEDIDO 60'!$C$2:$E$230,3,0),0)</f>
        <v>0</v>
      </c>
      <c r="G4833" s="18">
        <f t="shared" si="154"/>
        <v>0</v>
      </c>
    </row>
    <row r="4834" spans="1:7" ht="15.75" x14ac:dyDescent="0.25">
      <c r="A4834" s="15">
        <f>'PEDIDO 60'!$B$2</f>
        <v>0</v>
      </c>
      <c r="B4834" s="12" t="s">
        <v>452</v>
      </c>
      <c r="C4834" s="1">
        <f>IFERROR(VLOOKUP(1189,'PEDIDO 60'!$C$2:$E$230,3,0),0)</f>
        <v>0</v>
      </c>
      <c r="D4834" s="1">
        <f>IFERROR(VLOOKUP(1190,'PEDIDO 60'!$C$2:$E$230,3,0),0)</f>
        <v>0</v>
      </c>
      <c r="E4834" s="1">
        <f>IFERROR(VLOOKUP(1191,'PEDIDO 60'!$C$2:$E$230,3,0),0)</f>
        <v>0</v>
      </c>
      <c r="F4834" s="1">
        <f>IFERROR(VLOOKUP(1192,'PEDIDO 60'!$C$2:$E$230,3,0),0)</f>
        <v>0</v>
      </c>
      <c r="G4834" s="18">
        <f t="shared" si="154"/>
        <v>0</v>
      </c>
    </row>
    <row r="4835" spans="1:7" ht="15.75" x14ac:dyDescent="0.25">
      <c r="A4835" s="15">
        <f>'PEDIDO 60'!$B$2</f>
        <v>0</v>
      </c>
      <c r="B4835" s="12" t="s">
        <v>453</v>
      </c>
      <c r="C4835" s="1">
        <f>IFERROR(VLOOKUP(1193,'PEDIDO 60'!$C$2:$E$230,3,0),0)</f>
        <v>0</v>
      </c>
      <c r="D4835" s="1">
        <f>IFERROR(VLOOKUP(1194,'PEDIDO 60'!$C$2:$E$230,3,0),0)</f>
        <v>0</v>
      </c>
      <c r="E4835" s="1">
        <f>IFERROR(VLOOKUP(1195,'PEDIDO 60'!$C$2:$E$230,3,0),0)</f>
        <v>0</v>
      </c>
      <c r="F4835" s="1">
        <f>IFERROR(VLOOKUP(1196,'PEDIDO 60'!$C$2:$E$230,3,0),0)</f>
        <v>0</v>
      </c>
      <c r="G4835" s="18">
        <f t="shared" si="154"/>
        <v>0</v>
      </c>
    </row>
    <row r="4836" spans="1:7" ht="15.75" x14ac:dyDescent="0.25">
      <c r="A4836" s="15">
        <f>'PEDIDO 60'!$B$2</f>
        <v>0</v>
      </c>
      <c r="B4836" s="12" t="s">
        <v>454</v>
      </c>
      <c r="C4836" s="1">
        <f>IFERROR(VLOOKUP(1197,'PEDIDO 60'!$C$2:$E$230,3,0),0)</f>
        <v>0</v>
      </c>
      <c r="D4836" s="1">
        <f>IFERROR(VLOOKUP(1198,'PEDIDO 60'!$C$2:$E$230,3,0),0)</f>
        <v>0</v>
      </c>
      <c r="E4836" s="1">
        <f>IFERROR(VLOOKUP(1199,'PEDIDO 60'!$C$2:$E$230,3,0),0)</f>
        <v>0</v>
      </c>
      <c r="F4836" s="1">
        <f>IFERROR(VLOOKUP(1200,'PEDIDO 60'!$C$2:$E$230,3,0),0)</f>
        <v>0</v>
      </c>
      <c r="G4836" s="18">
        <f t="shared" si="154"/>
        <v>0</v>
      </c>
    </row>
    <row r="4837" spans="1:7" ht="15.75" x14ac:dyDescent="0.25">
      <c r="A4837" s="15">
        <f>'PEDIDO 60'!$B$2</f>
        <v>0</v>
      </c>
      <c r="B4837" s="12" t="s">
        <v>455</v>
      </c>
      <c r="C4837" s="1">
        <f>IFERROR(VLOOKUP(1201,'PEDIDO 60'!$C$2:$E$230,3,0),0)</f>
        <v>0</v>
      </c>
      <c r="D4837" s="1">
        <f>IFERROR(VLOOKUP(1202,'PEDIDO 60'!$C$2:$E$230,3,0),0)</f>
        <v>0</v>
      </c>
      <c r="E4837" s="1">
        <f>IFERROR(VLOOKUP(1203,'PEDIDO 60'!$C$2:$E$230,3,0),0)</f>
        <v>0</v>
      </c>
      <c r="F4837" s="1">
        <f>IFERROR(VLOOKUP(1204,'PEDIDO 60'!$C$2:$E$230,3,0),0)</f>
        <v>0</v>
      </c>
      <c r="G4837" s="18">
        <f t="shared" si="154"/>
        <v>0</v>
      </c>
    </row>
    <row r="4838" spans="1:7" ht="15.75" x14ac:dyDescent="0.25">
      <c r="A4838" s="15">
        <f>'PEDIDO 60'!$B$2</f>
        <v>0</v>
      </c>
      <c r="B4838" s="12" t="s">
        <v>456</v>
      </c>
      <c r="C4838" s="1">
        <f>IFERROR(VLOOKUP(1205,'PEDIDO 60'!$C$2:$E$230,3,0),0)</f>
        <v>0</v>
      </c>
      <c r="D4838" s="1">
        <f>IFERROR(VLOOKUP(1206,'PEDIDO 60'!$C$2:$E$230,3,0),0)</f>
        <v>0</v>
      </c>
      <c r="E4838" s="1">
        <f>IFERROR(VLOOKUP(1207,'PEDIDO 60'!$C$2:$E$230,3,0),0)</f>
        <v>0</v>
      </c>
      <c r="F4838" s="1">
        <f>IFERROR(VLOOKUP(1208,'PEDIDO 60'!$C$2:$E$230,3,0),0)</f>
        <v>0</v>
      </c>
      <c r="G4838" s="18">
        <f t="shared" si="154"/>
        <v>0</v>
      </c>
    </row>
    <row r="4839" spans="1:7" ht="15.75" x14ac:dyDescent="0.25">
      <c r="A4839" s="15">
        <f>'PEDIDO 60'!$B$2</f>
        <v>0</v>
      </c>
      <c r="B4839" s="12" t="s">
        <v>457</v>
      </c>
      <c r="C4839" s="1">
        <f>IFERROR(VLOOKUP(1213,'PEDIDO 60'!$C$2:$E$230,3,0),0)</f>
        <v>0</v>
      </c>
      <c r="D4839" s="1">
        <f>IFERROR(VLOOKUP(1214,'PEDIDO 60'!$C$2:$E$230,3,0),0)</f>
        <v>0</v>
      </c>
      <c r="E4839" s="1">
        <f>IFERROR(VLOOKUP(1215,'PEDIDO 60'!$C$2:$E$230,3,0),0)</f>
        <v>0</v>
      </c>
      <c r="F4839" s="10">
        <f>IFERROR(VLOOKUP(1216,'PEDIDO 60'!$C$2:$E$230,3,0),0)</f>
        <v>0</v>
      </c>
      <c r="G4839" s="18">
        <f t="shared" si="154"/>
        <v>0</v>
      </c>
    </row>
    <row r="4840" spans="1:7" ht="15.75" x14ac:dyDescent="0.25">
      <c r="A4840" s="15">
        <f>'PEDIDO 60'!$B$2</f>
        <v>0</v>
      </c>
      <c r="B4840" s="12" t="s">
        <v>458</v>
      </c>
      <c r="C4840" s="1">
        <f>IFERROR(VLOOKUP(1209,'PEDIDO 60'!$C$2:$E$230,3,0),0)</f>
        <v>0</v>
      </c>
      <c r="D4840" s="1">
        <f>IFERROR(VLOOKUP(1210,'PEDIDO 60'!$C$2:$E$230,3,0),0)</f>
        <v>0</v>
      </c>
      <c r="E4840" s="1">
        <f>IFERROR(VLOOKUP(1211,'PEDIDO 60'!$C$2:$E$230,3,0),0)</f>
        <v>0</v>
      </c>
      <c r="F4840" s="1">
        <f>IFERROR(VLOOKUP(1212,'PEDIDO 60'!$C$2:$E$230,3,0),0)</f>
        <v>0</v>
      </c>
      <c r="G4840" s="18">
        <f t="shared" si="154"/>
        <v>0</v>
      </c>
    </row>
    <row r="4841" spans="1:7" ht="15.75" x14ac:dyDescent="0.25">
      <c r="A4841" s="15">
        <f>'PEDIDO 60'!$B$2</f>
        <v>0</v>
      </c>
      <c r="B4841" s="12" t="s">
        <v>459</v>
      </c>
      <c r="C4841" s="1">
        <f>IFERROR(VLOOKUP(1217,'PEDIDO 60'!$C$2:$E$230,3,0),0)</f>
        <v>0</v>
      </c>
      <c r="D4841" s="1">
        <f>IFERROR(VLOOKUP(1218,'PEDIDO 60'!$C$2:$E$230,3,0),0)</f>
        <v>0</v>
      </c>
      <c r="E4841" s="1">
        <f>IFERROR(VLOOKUP(1219,'PEDIDO 60'!$C$2:$E$230,3,0),0)</f>
        <v>0</v>
      </c>
      <c r="F4841" s="1">
        <f>IFERROR(VLOOKUP(1220,'PEDIDO 60'!$C$2:$E$230,3,0),0)</f>
        <v>0</v>
      </c>
      <c r="G4841" s="18">
        <f t="shared" si="154"/>
        <v>0</v>
      </c>
    </row>
    <row r="4842" spans="1:7" ht="15.75" x14ac:dyDescent="0.25">
      <c r="A4842" s="15">
        <f>'PEDIDO 60'!$B$2</f>
        <v>0</v>
      </c>
      <c r="B4842" s="12" t="s">
        <v>461</v>
      </c>
      <c r="C4842" s="1">
        <f>IFERROR(VLOOKUP(1225,'PEDIDO 60'!$C$2:$E$230,3,0),0)</f>
        <v>0</v>
      </c>
      <c r="D4842" s="1">
        <f>IFERROR(VLOOKUP(1226,'PEDIDO 60'!$C$2:$E$230,3,0),0)</f>
        <v>0</v>
      </c>
      <c r="E4842" s="1">
        <f>IFERROR(VLOOKUP(1227,'PEDIDO 60'!$C$2:$E$230,3,0),0)</f>
        <v>0</v>
      </c>
      <c r="F4842" s="1">
        <f>IFERROR(VLOOKUP(1228,'PEDIDO 60'!$C$2:$E$230,3,0),0)</f>
        <v>0</v>
      </c>
      <c r="G4842" s="18">
        <f t="shared" si="154"/>
        <v>0</v>
      </c>
    </row>
    <row r="4843" spans="1:7" ht="15.75" x14ac:dyDescent="0.25">
      <c r="A4843" s="15">
        <f>'PEDIDO 60'!$B$2</f>
        <v>0</v>
      </c>
      <c r="B4843" s="12" t="s">
        <v>462</v>
      </c>
      <c r="C4843" s="1">
        <f>IFERROR(VLOOKUP(1221,'PEDIDO 60'!$C$2:$E$230,3,0),0)</f>
        <v>0</v>
      </c>
      <c r="D4843" s="1">
        <f>IFERROR(VLOOKUP(1222,'PEDIDO 60'!$C$2:$E$230,3,0),0)</f>
        <v>0</v>
      </c>
      <c r="E4843" s="1">
        <f>IFERROR(VLOOKUP(1223,'PEDIDO 60'!$C$2:$E$230,3,0),0)</f>
        <v>0</v>
      </c>
      <c r="F4843" s="1">
        <f>IFERROR(VLOOKUP(1224,'PEDIDO 60'!$C$2:$E$230,3,0),0)</f>
        <v>0</v>
      </c>
      <c r="G4843" s="18">
        <f t="shared" si="154"/>
        <v>0</v>
      </c>
    </row>
    <row r="4844" spans="1:7" ht="15.75" x14ac:dyDescent="0.25">
      <c r="A4844" s="15">
        <f>'PEDIDO 60'!$B$2</f>
        <v>0</v>
      </c>
      <c r="B4844" s="12" t="s">
        <v>460</v>
      </c>
      <c r="C4844" s="1">
        <f>IFERROR(VLOOKUP(1229,'PEDIDO 60'!$C$2:$E$230,3,0),0)</f>
        <v>0</v>
      </c>
      <c r="D4844" s="1">
        <f>IFERROR(VLOOKUP(1230,'PEDIDO 60'!$C$2:$E$230,3,0),0)</f>
        <v>0</v>
      </c>
      <c r="E4844" s="1">
        <f>IFERROR(VLOOKUP(1231,'PEDIDO 60'!$C$2:$E$230,3,0),0)</f>
        <v>0</v>
      </c>
      <c r="F4844" s="1">
        <f>IFERROR(VLOOKUP(1232,'PEDIDO 60'!$C$2:$E$230,3,0),0)</f>
        <v>0</v>
      </c>
      <c r="G4844" s="18">
        <f t="shared" si="154"/>
        <v>0</v>
      </c>
    </row>
    <row r="4845" spans="1:7" ht="15.75" x14ac:dyDescent="0.25">
      <c r="A4845" s="15">
        <f>'PEDIDO 60'!$B$2</f>
        <v>0</v>
      </c>
      <c r="B4845" s="12" t="s">
        <v>463</v>
      </c>
      <c r="C4845" s="1">
        <f>IFERROR(VLOOKUP(1233,'PEDIDO 60'!$C$2:$E$230,3,0),0)</f>
        <v>0</v>
      </c>
      <c r="D4845" s="1">
        <f>IFERROR(VLOOKUP(1234,'PEDIDO 60'!$C$2:$E$230,3,0),0)</f>
        <v>0</v>
      </c>
      <c r="E4845" s="1">
        <f>IFERROR(VLOOKUP(1235,'PEDIDO 60'!$C$2:$E$230,3,0),0)</f>
        <v>0</v>
      </c>
      <c r="F4845" s="1">
        <f>IFERROR(VLOOKUP(1236,'PEDIDO 60'!$C$2:$E$230,3,0),0)</f>
        <v>0</v>
      </c>
      <c r="G4845" s="18">
        <f t="shared" ref="G4845:G4858" si="155">SUM(C4845+D4845+E4845+F4845)</f>
        <v>0</v>
      </c>
    </row>
    <row r="4846" spans="1:7" ht="15.75" x14ac:dyDescent="0.25">
      <c r="A4846" s="15">
        <f>'PEDIDO 60'!$B$2</f>
        <v>0</v>
      </c>
      <c r="B4846" s="12" t="s">
        <v>464</v>
      </c>
      <c r="C4846" s="1">
        <f>IFERROR(VLOOKUP(1237,'PEDIDO 60'!$C$2:$E$230,3,0),0)</f>
        <v>0</v>
      </c>
      <c r="D4846" s="1">
        <f>IFERROR(VLOOKUP(1238,'PEDIDO 60'!$C$2:$E$230,3,0),0)</f>
        <v>0</v>
      </c>
      <c r="E4846" s="1">
        <f>IFERROR(VLOOKUP(1239,'PEDIDO 60'!$C$2:$E$230,3,0),0)</f>
        <v>0</v>
      </c>
      <c r="F4846" s="1">
        <f>IFERROR(VLOOKUP(1240,'PEDIDO 60'!$C$2:$E$230,3,0),0)</f>
        <v>0</v>
      </c>
      <c r="G4846" s="18">
        <f t="shared" si="155"/>
        <v>0</v>
      </c>
    </row>
    <row r="4847" spans="1:7" ht="15.75" x14ac:dyDescent="0.25">
      <c r="A4847" s="15">
        <f>'PEDIDO 60'!$B$2</f>
        <v>0</v>
      </c>
      <c r="B4847" s="12" t="s">
        <v>465</v>
      </c>
      <c r="C4847" s="1">
        <f>IFERROR(VLOOKUP(1241,'PEDIDO 60'!$C$2:$E$230,3,0),0)</f>
        <v>0</v>
      </c>
      <c r="D4847" s="1">
        <f>IFERROR(VLOOKUP(1242,'PEDIDO 60'!$C$2:$E$230,3,0),0)</f>
        <v>0</v>
      </c>
      <c r="E4847" s="1">
        <f>IFERROR(VLOOKUP(1243,'PEDIDO 60'!$C$2:$E$230,3,0),0)</f>
        <v>0</v>
      </c>
      <c r="F4847" s="1">
        <f>IFERROR(VLOOKUP(1244,'PEDIDO 60'!$C$2:$E$230,3,0),0)</f>
        <v>0</v>
      </c>
      <c r="G4847" s="18">
        <f t="shared" si="155"/>
        <v>0</v>
      </c>
    </row>
    <row r="4848" spans="1:7" ht="15.75" x14ac:dyDescent="0.25">
      <c r="A4848" s="15">
        <f>'PEDIDO 60'!$B$2</f>
        <v>0</v>
      </c>
      <c r="B4848" s="12" t="s">
        <v>466</v>
      </c>
      <c r="C4848" s="1">
        <f>IFERROR(VLOOKUP(1245,'PEDIDO 60'!$C$2:$E$230,3,0),0)</f>
        <v>0</v>
      </c>
      <c r="D4848" s="1">
        <f>IFERROR(VLOOKUP(1246,'PEDIDO 60'!$C$2:$E$230,3,0),0)</f>
        <v>0</v>
      </c>
      <c r="E4848" s="1">
        <f>IFERROR(VLOOKUP(1247,'PEDIDO 60'!$C$2:$E$230,3,0),0)</f>
        <v>0</v>
      </c>
      <c r="F4848" s="1">
        <f>IFERROR(VLOOKUP(1248,'PEDIDO 60'!$C$2:$E$230,3,0),0)</f>
        <v>0</v>
      </c>
      <c r="G4848" s="18">
        <f t="shared" si="155"/>
        <v>0</v>
      </c>
    </row>
    <row r="4849" spans="1:7" ht="15.75" x14ac:dyDescent="0.25">
      <c r="A4849" s="15">
        <f>'PEDIDO 60'!$B$2</f>
        <v>0</v>
      </c>
      <c r="B4849" s="12" t="s">
        <v>467</v>
      </c>
      <c r="C4849" s="1">
        <f>IFERROR(VLOOKUP(25714,'PEDIDO 60'!$C$2:$E$230,3,0),0)</f>
        <v>0</v>
      </c>
      <c r="D4849" s="1"/>
      <c r="E4849" s="1"/>
      <c r="F4849" s="1"/>
      <c r="G4849" s="18">
        <f t="shared" si="155"/>
        <v>0</v>
      </c>
    </row>
    <row r="4850" spans="1:7" ht="15.75" x14ac:dyDescent="0.25">
      <c r="A4850" s="15">
        <f>'PEDIDO 60'!$B$2</f>
        <v>0</v>
      </c>
      <c r="B4850" s="12" t="s">
        <v>468</v>
      </c>
      <c r="C4850" s="1">
        <f>IFERROR(VLOOKUP(25712,'PEDIDO 60'!$C$2:$E$230,3,0),0)</f>
        <v>0</v>
      </c>
      <c r="D4850" s="1"/>
      <c r="E4850" s="1"/>
      <c r="F4850" s="1"/>
      <c r="G4850" s="18">
        <f t="shared" si="155"/>
        <v>0</v>
      </c>
    </row>
    <row r="4851" spans="1:7" ht="15.75" x14ac:dyDescent="0.25">
      <c r="A4851" s="15">
        <f>'PEDIDO 60'!$B$2</f>
        <v>0</v>
      </c>
      <c r="B4851" s="12" t="s">
        <v>469</v>
      </c>
      <c r="C4851" s="1">
        <f>IFERROR(VLOOKUP(25713,'PEDIDO 60'!$C$2:$E$230,3,0),0)</f>
        <v>0</v>
      </c>
      <c r="D4851" s="1"/>
      <c r="E4851" s="1"/>
      <c r="F4851" s="1"/>
      <c r="G4851" s="18">
        <f t="shared" si="155"/>
        <v>0</v>
      </c>
    </row>
    <row r="4852" spans="1:7" ht="15.75" x14ac:dyDescent="0.25">
      <c r="A4852" s="15">
        <f>'PEDIDO 60'!$B$2</f>
        <v>0</v>
      </c>
      <c r="B4852" s="12" t="s">
        <v>470</v>
      </c>
      <c r="C4852" s="1">
        <f>IFERROR(VLOOKUP(1260,'PEDIDO 60'!$C$2:$E$230,3,0),0)</f>
        <v>0</v>
      </c>
      <c r="D4852" s="1"/>
      <c r="E4852" s="1"/>
      <c r="F4852" s="1"/>
      <c r="G4852" s="18">
        <f t="shared" si="155"/>
        <v>0</v>
      </c>
    </row>
    <row r="4853" spans="1:7" ht="15.75" x14ac:dyDescent="0.25">
      <c r="A4853" s="15">
        <f>'PEDIDO 60'!$B$2</f>
        <v>0</v>
      </c>
      <c r="B4853" s="12" t="s">
        <v>471</v>
      </c>
      <c r="C4853" s="1">
        <f>IFERROR(VLOOKUP(1261,'PEDIDO 60'!$C$2:$E$230,3,0),0)</f>
        <v>0</v>
      </c>
      <c r="D4853" s="1"/>
      <c r="E4853" s="1"/>
      <c r="F4853" s="1"/>
      <c r="G4853" s="18">
        <f t="shared" si="155"/>
        <v>0</v>
      </c>
    </row>
    <row r="4854" spans="1:7" ht="15.75" x14ac:dyDescent="0.25">
      <c r="A4854" s="15">
        <f>'PEDIDO 60'!$B$2</f>
        <v>0</v>
      </c>
      <c r="B4854" s="12" t="s">
        <v>472</v>
      </c>
      <c r="C4854" s="1">
        <f>IFERROR(VLOOKUP(1262,'PEDIDO 60'!$C$2:$E$230,3,0),0)</f>
        <v>0</v>
      </c>
      <c r="D4854" s="1"/>
      <c r="E4854" s="1"/>
      <c r="F4854" s="1"/>
      <c r="G4854" s="18">
        <f t="shared" si="155"/>
        <v>0</v>
      </c>
    </row>
    <row r="4855" spans="1:7" ht="15.75" x14ac:dyDescent="0.25">
      <c r="A4855" s="15">
        <f>'PEDIDO 60'!$B$2</f>
        <v>0</v>
      </c>
      <c r="B4855" s="12" t="s">
        <v>473</v>
      </c>
      <c r="C4855" s="1">
        <f>IFERROR(VLOOKUP(1263,'PEDIDO 60'!$C$2:$E$230,3,0),0)</f>
        <v>0</v>
      </c>
      <c r="D4855" s="1"/>
      <c r="E4855" s="1"/>
      <c r="F4855" s="1"/>
      <c r="G4855" s="18">
        <f t="shared" si="155"/>
        <v>0</v>
      </c>
    </row>
    <row r="4856" spans="1:7" ht="15.75" x14ac:dyDescent="0.25">
      <c r="A4856" s="15">
        <f>'PEDIDO 60'!$B$2</f>
        <v>0</v>
      </c>
      <c r="B4856" s="12" t="s">
        <v>474</v>
      </c>
      <c r="C4856" s="1">
        <f>IFERROR(VLOOKUP(1264,'PEDIDO 60'!$C$2:$E$230,3,0),0)</f>
        <v>0</v>
      </c>
      <c r="D4856" s="1"/>
      <c r="E4856" s="1"/>
      <c r="F4856" s="1"/>
      <c r="G4856" s="18">
        <f t="shared" si="155"/>
        <v>0</v>
      </c>
    </row>
    <row r="4857" spans="1:7" ht="15.75" x14ac:dyDescent="0.25">
      <c r="A4857" s="15">
        <f>'PEDIDO 60'!$B$2</f>
        <v>0</v>
      </c>
      <c r="B4857" s="12" t="s">
        <v>475</v>
      </c>
      <c r="C4857" s="1">
        <f>IFERROR(VLOOKUP(1265,'PEDIDO 60'!$C$2:$E$230,3,0),0)</f>
        <v>0</v>
      </c>
      <c r="D4857" s="1"/>
      <c r="E4857" s="1"/>
      <c r="F4857" s="1"/>
      <c r="G4857" s="18">
        <f t="shared" si="155"/>
        <v>0</v>
      </c>
    </row>
    <row r="4858" spans="1:7" ht="15.75" x14ac:dyDescent="0.25">
      <c r="A4858" s="15">
        <f>'PEDIDO 60'!$B$2</f>
        <v>0</v>
      </c>
      <c r="B4858" s="12" t="s">
        <v>476</v>
      </c>
      <c r="C4858" s="1">
        <f>IFERROR(VLOOKUP(1266,'PEDIDO 60'!$C$2:$E$230,3,0),0)</f>
        <v>0</v>
      </c>
      <c r="D4858" s="1"/>
      <c r="E4858" s="1"/>
      <c r="F4858" s="1"/>
      <c r="G4858" s="18">
        <f t="shared" si="155"/>
        <v>0</v>
      </c>
    </row>
    <row r="4859" spans="1:7" ht="15.75" x14ac:dyDescent="0.25">
      <c r="A4859" s="15">
        <f>'PEDIDO 60'!$B$2</f>
        <v>0</v>
      </c>
      <c r="B4859" s="12" t="s">
        <v>477</v>
      </c>
      <c r="C4859" s="1">
        <f>IFERROR(VLOOKUP(1268,'PEDIDO 60'!$C$2:$E$230,3,0),0)</f>
        <v>0</v>
      </c>
      <c r="D4859" s="1">
        <f>IFERROR(VLOOKUP(1269,'PEDIDO 60'!$C$2:$E$230,3,0),0)</f>
        <v>0</v>
      </c>
      <c r="E4859" s="1">
        <f>IFERROR(VLOOKUP(1270,'PEDIDO 60'!$C$2:$E$230,3,0),0)</f>
        <v>0</v>
      </c>
      <c r="F4859" s="1">
        <f>IFERROR(VLOOKUP(1271,'PEDIDO 60'!$C$2:$E$230,3,0),0)</f>
        <v>0</v>
      </c>
      <c r="G4859" s="18">
        <f t="shared" ref="G4859" si="156">SUM(C4859+D4859+E4859+F4859)</f>
        <v>0</v>
      </c>
    </row>
  </sheetData>
  <sortState xmlns:xlrd2="http://schemas.microsoft.com/office/spreadsheetml/2017/richdata2" ref="B2:F69">
    <sortCondition ref="B2:B69"/>
  </sortState>
  <phoneticPr fontId="10" type="noConversion"/>
  <conditionalFormatting sqref="A2:A79">
    <cfRule type="cellIs" dxfId="1251" priority="1233" operator="equal">
      <formula>0</formula>
    </cfRule>
    <cfRule type="cellIs" dxfId="1250" priority="1234" operator="equal">
      <formula>0</formula>
    </cfRule>
    <cfRule type="cellIs" dxfId="1249" priority="1235" operator="equal">
      <formula>0</formula>
    </cfRule>
  </conditionalFormatting>
  <conditionalFormatting sqref="A83:A160">
    <cfRule type="cellIs" dxfId="1248" priority="1232" operator="equal">
      <formula>0</formula>
    </cfRule>
  </conditionalFormatting>
  <conditionalFormatting sqref="A164:A241">
    <cfRule type="cellIs" dxfId="1247" priority="1219" operator="equal">
      <formula>0</formula>
    </cfRule>
  </conditionalFormatting>
  <conditionalFormatting sqref="A245:A322">
    <cfRule type="cellIs" dxfId="1246" priority="1206" operator="equal">
      <formula>0</formula>
    </cfRule>
  </conditionalFormatting>
  <conditionalFormatting sqref="A326:A403">
    <cfRule type="cellIs" dxfId="1245" priority="1193" operator="equal">
      <formula>0</formula>
    </cfRule>
  </conditionalFormatting>
  <conditionalFormatting sqref="A407:A484">
    <cfRule type="cellIs" dxfId="1244" priority="1180" operator="equal">
      <formula>0</formula>
    </cfRule>
  </conditionalFormatting>
  <conditionalFormatting sqref="A488:A565">
    <cfRule type="cellIs" dxfId="1243" priority="1167" operator="equal">
      <formula>0</formula>
    </cfRule>
  </conditionalFormatting>
  <conditionalFormatting sqref="A569:A646">
    <cfRule type="cellIs" dxfId="1242" priority="1154" operator="equal">
      <formula>0</formula>
    </cfRule>
  </conditionalFormatting>
  <conditionalFormatting sqref="A650:A727">
    <cfRule type="cellIs" dxfId="1241" priority="1141" operator="equal">
      <formula>0</formula>
    </cfRule>
  </conditionalFormatting>
  <conditionalFormatting sqref="A731:A808">
    <cfRule type="cellIs" dxfId="1240" priority="1128" operator="equal">
      <formula>0</formula>
    </cfRule>
  </conditionalFormatting>
  <conditionalFormatting sqref="A812:A889">
    <cfRule type="cellIs" dxfId="1239" priority="1115" operator="equal">
      <formula>0</formula>
    </cfRule>
  </conditionalFormatting>
  <conditionalFormatting sqref="A893:A970">
    <cfRule type="cellIs" dxfId="1238" priority="1102" operator="equal">
      <formula>0</formula>
    </cfRule>
  </conditionalFormatting>
  <conditionalFormatting sqref="A974:A1051">
    <cfRule type="cellIs" dxfId="1237" priority="1089" operator="equal">
      <formula>0</formula>
    </cfRule>
  </conditionalFormatting>
  <conditionalFormatting sqref="A1055:A1132">
    <cfRule type="cellIs" dxfId="1236" priority="1074" operator="equal">
      <formula>0</formula>
    </cfRule>
  </conditionalFormatting>
  <conditionalFormatting sqref="A1136:A1213">
    <cfRule type="cellIs" dxfId="1235" priority="1059" operator="equal">
      <formula>0</formula>
    </cfRule>
  </conditionalFormatting>
  <conditionalFormatting sqref="A1217:A1294">
    <cfRule type="cellIs" dxfId="1234" priority="1044" operator="equal">
      <formula>0</formula>
    </cfRule>
  </conditionalFormatting>
  <conditionalFormatting sqref="A1298:A1375">
    <cfRule type="cellIs" dxfId="1233" priority="1029" operator="equal">
      <formula>0</formula>
    </cfRule>
  </conditionalFormatting>
  <conditionalFormatting sqref="A1379:A1456">
    <cfRule type="cellIs" dxfId="1232" priority="1014" operator="equal">
      <formula>0</formula>
    </cfRule>
  </conditionalFormatting>
  <conditionalFormatting sqref="A1460:A1537">
    <cfRule type="cellIs" dxfId="1231" priority="999" operator="equal">
      <formula>0</formula>
    </cfRule>
  </conditionalFormatting>
  <conditionalFormatting sqref="A1541:A1618">
    <cfRule type="cellIs" dxfId="1230" priority="984" operator="equal">
      <formula>0</formula>
    </cfRule>
  </conditionalFormatting>
  <conditionalFormatting sqref="A1622:A1699">
    <cfRule type="cellIs" dxfId="1229" priority="970" operator="equal">
      <formula>0</formula>
    </cfRule>
  </conditionalFormatting>
  <conditionalFormatting sqref="A1703:A1780">
    <cfRule type="cellIs" dxfId="1228" priority="956" operator="equal">
      <formula>0</formula>
    </cfRule>
  </conditionalFormatting>
  <conditionalFormatting sqref="A1784:A1861">
    <cfRule type="cellIs" dxfId="1227" priority="942" operator="equal">
      <formula>0</formula>
    </cfRule>
  </conditionalFormatting>
  <conditionalFormatting sqref="A1865:A1942">
    <cfRule type="cellIs" dxfId="1226" priority="928" operator="equal">
      <formula>0</formula>
    </cfRule>
  </conditionalFormatting>
  <conditionalFormatting sqref="A1946:A2023">
    <cfRule type="cellIs" dxfId="1225" priority="914" operator="equal">
      <formula>0</formula>
    </cfRule>
  </conditionalFormatting>
  <conditionalFormatting sqref="A2027:A2104">
    <cfRule type="cellIs" dxfId="1224" priority="900" operator="equal">
      <formula>0</formula>
    </cfRule>
  </conditionalFormatting>
  <conditionalFormatting sqref="A2108:A2185">
    <cfRule type="cellIs" dxfId="1223" priority="886" operator="equal">
      <formula>0</formula>
    </cfRule>
  </conditionalFormatting>
  <conditionalFormatting sqref="A2189:A2266">
    <cfRule type="cellIs" dxfId="1222" priority="872" operator="equal">
      <formula>0</formula>
    </cfRule>
  </conditionalFormatting>
  <conditionalFormatting sqref="A2270:A2347">
    <cfRule type="cellIs" dxfId="1221" priority="858" operator="equal">
      <formula>0</formula>
    </cfRule>
  </conditionalFormatting>
  <conditionalFormatting sqref="A2351:A2428">
    <cfRule type="cellIs" dxfId="1220" priority="844" operator="equal">
      <formula>0</formula>
    </cfRule>
  </conditionalFormatting>
  <conditionalFormatting sqref="A2432:A2509">
    <cfRule type="cellIs" dxfId="1219" priority="830" operator="equal">
      <formula>0</formula>
    </cfRule>
  </conditionalFormatting>
  <conditionalFormatting sqref="A2513:A2590">
    <cfRule type="cellIs" dxfId="1218" priority="816" operator="equal">
      <formula>0</formula>
    </cfRule>
  </conditionalFormatting>
  <conditionalFormatting sqref="A2594:A2671">
    <cfRule type="cellIs" dxfId="1217" priority="802" operator="equal">
      <formula>0</formula>
    </cfRule>
  </conditionalFormatting>
  <conditionalFormatting sqref="A2675:A2752">
    <cfRule type="cellIs" dxfId="1216" priority="788" operator="equal">
      <formula>0</formula>
    </cfRule>
  </conditionalFormatting>
  <conditionalFormatting sqref="A2756:A2833">
    <cfRule type="cellIs" dxfId="1215" priority="774" operator="equal">
      <formula>0</formula>
    </cfRule>
  </conditionalFormatting>
  <conditionalFormatting sqref="A2837:A2914">
    <cfRule type="cellIs" dxfId="1214" priority="760" operator="equal">
      <formula>0</formula>
    </cfRule>
  </conditionalFormatting>
  <conditionalFormatting sqref="A2918:A2995">
    <cfRule type="cellIs" dxfId="1213" priority="746" operator="equal">
      <formula>0</formula>
    </cfRule>
  </conditionalFormatting>
  <conditionalFormatting sqref="A2999:A3076">
    <cfRule type="cellIs" dxfId="1212" priority="732" operator="equal">
      <formula>0</formula>
    </cfRule>
  </conditionalFormatting>
  <conditionalFormatting sqref="A3080:A3157">
    <cfRule type="cellIs" dxfId="1211" priority="718" operator="equal">
      <formula>0</formula>
    </cfRule>
  </conditionalFormatting>
  <conditionalFormatting sqref="A3161:A3238">
    <cfRule type="cellIs" dxfId="1210" priority="704" operator="equal">
      <formula>0</formula>
    </cfRule>
  </conditionalFormatting>
  <conditionalFormatting sqref="A3242:A3319">
    <cfRule type="cellIs" dxfId="1209" priority="690" operator="equal">
      <formula>0</formula>
    </cfRule>
  </conditionalFormatting>
  <conditionalFormatting sqref="A3323:A3400">
    <cfRule type="cellIs" dxfId="1208" priority="676" operator="equal">
      <formula>0</formula>
    </cfRule>
  </conditionalFormatting>
  <conditionalFormatting sqref="A3404:A3481">
    <cfRule type="cellIs" dxfId="1207" priority="662" operator="equal">
      <formula>0</formula>
    </cfRule>
  </conditionalFormatting>
  <conditionalFormatting sqref="A3485:A3562">
    <cfRule type="cellIs" dxfId="1206" priority="648" operator="equal">
      <formula>0</formula>
    </cfRule>
  </conditionalFormatting>
  <conditionalFormatting sqref="A3566:A3643">
    <cfRule type="cellIs" dxfId="1205" priority="634" operator="equal">
      <formula>0</formula>
    </cfRule>
  </conditionalFormatting>
  <conditionalFormatting sqref="A3647:A3724">
    <cfRule type="cellIs" dxfId="1204" priority="620" operator="equal">
      <formula>0</formula>
    </cfRule>
  </conditionalFormatting>
  <conditionalFormatting sqref="A3728:A3805">
    <cfRule type="cellIs" dxfId="1203" priority="606" operator="equal">
      <formula>0</formula>
    </cfRule>
  </conditionalFormatting>
  <conditionalFormatting sqref="A3809:A3886">
    <cfRule type="cellIs" dxfId="1202" priority="592" operator="equal">
      <formula>0</formula>
    </cfRule>
  </conditionalFormatting>
  <conditionalFormatting sqref="A3890:A3967">
    <cfRule type="cellIs" dxfId="1201" priority="578" operator="equal">
      <formula>0</formula>
    </cfRule>
  </conditionalFormatting>
  <conditionalFormatting sqref="A3971:A4048">
    <cfRule type="cellIs" dxfId="1200" priority="564" operator="equal">
      <formula>0</formula>
    </cfRule>
  </conditionalFormatting>
  <conditionalFormatting sqref="C2:F79">
    <cfRule type="cellIs" dxfId="1199" priority="1503" operator="equal">
      <formula>0</formula>
    </cfRule>
  </conditionalFormatting>
  <conditionalFormatting sqref="C83:F160">
    <cfRule type="cellIs" dxfId="1198" priority="1241" operator="equal">
      <formula>0</formula>
    </cfRule>
  </conditionalFormatting>
  <conditionalFormatting sqref="C164:F241">
    <cfRule type="cellIs" dxfId="1197" priority="1225" operator="equal">
      <formula>0</formula>
    </cfRule>
  </conditionalFormatting>
  <conditionalFormatting sqref="C245:F322">
    <cfRule type="cellIs" dxfId="1196" priority="1212" operator="equal">
      <formula>0</formula>
    </cfRule>
  </conditionalFormatting>
  <conditionalFormatting sqref="C326:F403">
    <cfRule type="cellIs" dxfId="1195" priority="1199" operator="equal">
      <formula>0</formula>
    </cfRule>
  </conditionalFormatting>
  <conditionalFormatting sqref="C407:F484">
    <cfRule type="cellIs" dxfId="1194" priority="1186" operator="equal">
      <formula>0</formula>
    </cfRule>
  </conditionalFormatting>
  <conditionalFormatting sqref="C488:F565">
    <cfRule type="cellIs" dxfId="1193" priority="1173" operator="equal">
      <formula>0</formula>
    </cfRule>
  </conditionalFormatting>
  <conditionalFormatting sqref="C569:F646">
    <cfRule type="cellIs" dxfId="1192" priority="1160" operator="equal">
      <formula>0</formula>
    </cfRule>
  </conditionalFormatting>
  <conditionalFormatting sqref="C650:F727">
    <cfRule type="cellIs" dxfId="1191" priority="1147" operator="equal">
      <formula>0</formula>
    </cfRule>
  </conditionalFormatting>
  <conditionalFormatting sqref="C731:F808">
    <cfRule type="cellIs" dxfId="1190" priority="1134" operator="equal">
      <formula>0</formula>
    </cfRule>
  </conditionalFormatting>
  <conditionalFormatting sqref="C812:F889">
    <cfRule type="cellIs" dxfId="1189" priority="1121" operator="equal">
      <formula>0</formula>
    </cfRule>
  </conditionalFormatting>
  <conditionalFormatting sqref="C893:F970">
    <cfRule type="cellIs" dxfId="1188" priority="1108" operator="equal">
      <formula>0</formula>
    </cfRule>
  </conditionalFormatting>
  <conditionalFormatting sqref="C974:F1051">
    <cfRule type="cellIs" dxfId="1187" priority="1095" operator="equal">
      <formula>0</formula>
    </cfRule>
  </conditionalFormatting>
  <conditionalFormatting sqref="C1055:G1132 G1133">
    <cfRule type="cellIs" dxfId="1186" priority="1073" operator="equal">
      <formula>0</formula>
    </cfRule>
  </conditionalFormatting>
  <conditionalFormatting sqref="C1136:G1213 G1214">
    <cfRule type="cellIs" dxfId="1185" priority="1058" operator="equal">
      <formula>0</formula>
    </cfRule>
  </conditionalFormatting>
  <conditionalFormatting sqref="C1217:G1294 G1295">
    <cfRule type="cellIs" dxfId="1184" priority="1043" operator="equal">
      <formula>0</formula>
    </cfRule>
  </conditionalFormatting>
  <conditionalFormatting sqref="C1298:G1375 G1376">
    <cfRule type="cellIs" dxfId="1183" priority="1028" operator="equal">
      <formula>0</formula>
    </cfRule>
  </conditionalFormatting>
  <conditionalFormatting sqref="C1379:G1456 G1457">
    <cfRule type="cellIs" dxfId="1182" priority="1013" operator="equal">
      <formula>0</formula>
    </cfRule>
  </conditionalFormatting>
  <conditionalFormatting sqref="C1460:G1537 G1538">
    <cfRule type="cellIs" dxfId="1181" priority="998" operator="equal">
      <formula>0</formula>
    </cfRule>
  </conditionalFormatting>
  <conditionalFormatting sqref="C1541:G1618 G1619">
    <cfRule type="cellIs" dxfId="1180" priority="983" operator="equal">
      <formula>0</formula>
    </cfRule>
  </conditionalFormatting>
  <conditionalFormatting sqref="C1622:G1699 G1700">
    <cfRule type="cellIs" dxfId="1179" priority="969" operator="equal">
      <formula>0</formula>
    </cfRule>
  </conditionalFormatting>
  <conditionalFormatting sqref="C1703:G1780 G1781">
    <cfRule type="cellIs" dxfId="1178" priority="955" operator="equal">
      <formula>0</formula>
    </cfRule>
  </conditionalFormatting>
  <conditionalFormatting sqref="C1784:G1861 G1862">
    <cfRule type="cellIs" dxfId="1177" priority="941" operator="equal">
      <formula>0</formula>
    </cfRule>
  </conditionalFormatting>
  <conditionalFormatting sqref="C1865:G1942">
    <cfRule type="cellIs" dxfId="1176" priority="927" operator="equal">
      <formula>0</formula>
    </cfRule>
  </conditionalFormatting>
  <conditionalFormatting sqref="C1946:G2023">
    <cfRule type="cellIs" dxfId="1175" priority="913" operator="equal">
      <formula>0</formula>
    </cfRule>
  </conditionalFormatting>
  <conditionalFormatting sqref="C2027:G2104">
    <cfRule type="cellIs" dxfId="1174" priority="899" operator="equal">
      <formula>0</formula>
    </cfRule>
  </conditionalFormatting>
  <conditionalFormatting sqref="C2108:G2185">
    <cfRule type="cellIs" dxfId="1173" priority="885" operator="equal">
      <formula>0</formula>
    </cfRule>
  </conditionalFormatting>
  <conditionalFormatting sqref="C2189:G2266">
    <cfRule type="cellIs" dxfId="1172" priority="871" operator="equal">
      <formula>0</formula>
    </cfRule>
  </conditionalFormatting>
  <conditionalFormatting sqref="C2270:G2347">
    <cfRule type="cellIs" dxfId="1171" priority="857" operator="equal">
      <formula>0</formula>
    </cfRule>
  </conditionalFormatting>
  <conditionalFormatting sqref="C2351:G2428">
    <cfRule type="cellIs" dxfId="1170" priority="843" operator="equal">
      <formula>0</formula>
    </cfRule>
  </conditionalFormatting>
  <conditionalFormatting sqref="C2432:G2509">
    <cfRule type="cellIs" dxfId="1169" priority="829" operator="equal">
      <formula>0</formula>
    </cfRule>
  </conditionalFormatting>
  <conditionalFormatting sqref="C2513:G2590">
    <cfRule type="cellIs" dxfId="1168" priority="815" operator="equal">
      <formula>0</formula>
    </cfRule>
  </conditionalFormatting>
  <conditionalFormatting sqref="C2594:G2671">
    <cfRule type="cellIs" dxfId="1167" priority="801" operator="equal">
      <formula>0</formula>
    </cfRule>
  </conditionalFormatting>
  <conditionalFormatting sqref="C2675:G2752">
    <cfRule type="cellIs" dxfId="1166" priority="787" operator="equal">
      <formula>0</formula>
    </cfRule>
  </conditionalFormatting>
  <conditionalFormatting sqref="C2756:G2833">
    <cfRule type="cellIs" dxfId="1165" priority="773" operator="equal">
      <formula>0</formula>
    </cfRule>
  </conditionalFormatting>
  <conditionalFormatting sqref="C2837:G2914">
    <cfRule type="cellIs" dxfId="1164" priority="759" operator="equal">
      <formula>0</formula>
    </cfRule>
  </conditionalFormatting>
  <conditionalFormatting sqref="C2918:G2995">
    <cfRule type="cellIs" dxfId="1163" priority="745" operator="equal">
      <formula>0</formula>
    </cfRule>
  </conditionalFormatting>
  <conditionalFormatting sqref="C2999:G3076">
    <cfRule type="cellIs" dxfId="1162" priority="731" operator="equal">
      <formula>0</formula>
    </cfRule>
  </conditionalFormatting>
  <conditionalFormatting sqref="C3080:G3157">
    <cfRule type="cellIs" dxfId="1161" priority="717" operator="equal">
      <formula>0</formula>
    </cfRule>
  </conditionalFormatting>
  <conditionalFormatting sqref="C3161:G3238">
    <cfRule type="cellIs" dxfId="1160" priority="703" operator="equal">
      <formula>0</formula>
    </cfRule>
  </conditionalFormatting>
  <conditionalFormatting sqref="C3242:G3319">
    <cfRule type="cellIs" dxfId="1159" priority="689" operator="equal">
      <formula>0</formula>
    </cfRule>
  </conditionalFormatting>
  <conditionalFormatting sqref="C3323:G3400">
    <cfRule type="cellIs" dxfId="1158" priority="675" operator="equal">
      <formula>0</formula>
    </cfRule>
  </conditionalFormatting>
  <conditionalFormatting sqref="C3404:G3481">
    <cfRule type="cellIs" dxfId="1157" priority="661" operator="equal">
      <formula>0</formula>
    </cfRule>
  </conditionalFormatting>
  <conditionalFormatting sqref="C3485:G3562">
    <cfRule type="cellIs" dxfId="1156" priority="647" operator="equal">
      <formula>0</formula>
    </cfRule>
  </conditionalFormatting>
  <conditionalFormatting sqref="C3566:G3643">
    <cfRule type="cellIs" dxfId="1155" priority="633" operator="equal">
      <formula>0</formula>
    </cfRule>
  </conditionalFormatting>
  <conditionalFormatting sqref="C3647:G3724">
    <cfRule type="cellIs" dxfId="1154" priority="619" operator="equal">
      <formula>0</formula>
    </cfRule>
  </conditionalFormatting>
  <conditionalFormatting sqref="C3728:G3805">
    <cfRule type="cellIs" dxfId="1153" priority="605" operator="equal">
      <formula>0</formula>
    </cfRule>
  </conditionalFormatting>
  <conditionalFormatting sqref="C3809:G3886">
    <cfRule type="cellIs" dxfId="1152" priority="591" operator="equal">
      <formula>0</formula>
    </cfRule>
  </conditionalFormatting>
  <conditionalFormatting sqref="C3890:G3967">
    <cfRule type="cellIs" dxfId="1151" priority="577" operator="equal">
      <formula>0</formula>
    </cfRule>
  </conditionalFormatting>
  <conditionalFormatting sqref="C3971:G4048">
    <cfRule type="cellIs" dxfId="1150" priority="563" operator="equal">
      <formula>0</formula>
    </cfRule>
  </conditionalFormatting>
  <conditionalFormatting sqref="D2:D79">
    <cfRule type="cellIs" dxfId="1149" priority="1498" operator="greaterThan">
      <formula>0</formula>
    </cfRule>
  </conditionalFormatting>
  <conditionalFormatting sqref="D83:D160">
    <cfRule type="cellIs" dxfId="1148" priority="1236" operator="greaterThan">
      <formula>0</formula>
    </cfRule>
  </conditionalFormatting>
  <conditionalFormatting sqref="D164:D241">
    <cfRule type="cellIs" dxfId="1147" priority="1220" operator="greaterThan">
      <formula>0</formula>
    </cfRule>
  </conditionalFormatting>
  <conditionalFormatting sqref="D245:D322">
    <cfRule type="cellIs" dxfId="1146" priority="1207" operator="greaterThan">
      <formula>0</formula>
    </cfRule>
  </conditionalFormatting>
  <conditionalFormatting sqref="D326:D403">
    <cfRule type="cellIs" dxfId="1145" priority="1194" operator="greaterThan">
      <formula>0</formula>
    </cfRule>
  </conditionalFormatting>
  <conditionalFormatting sqref="D407:D484">
    <cfRule type="cellIs" dxfId="1144" priority="1181" operator="greaterThan">
      <formula>0</formula>
    </cfRule>
  </conditionalFormatting>
  <conditionalFormatting sqref="D488:D565">
    <cfRule type="cellIs" dxfId="1143" priority="1168" operator="greaterThan">
      <formula>0</formula>
    </cfRule>
  </conditionalFormatting>
  <conditionalFormatting sqref="D569:D646">
    <cfRule type="cellIs" dxfId="1142" priority="1155" operator="greaterThan">
      <formula>0</formula>
    </cfRule>
  </conditionalFormatting>
  <conditionalFormatting sqref="D650:D727">
    <cfRule type="cellIs" dxfId="1141" priority="1142" operator="greaterThan">
      <formula>0</formula>
    </cfRule>
  </conditionalFormatting>
  <conditionalFormatting sqref="D731:D808">
    <cfRule type="cellIs" dxfId="1140" priority="1129" operator="greaterThan">
      <formula>0</formula>
    </cfRule>
  </conditionalFormatting>
  <conditionalFormatting sqref="D812:D889">
    <cfRule type="cellIs" dxfId="1139" priority="1116" operator="greaterThan">
      <formula>0</formula>
    </cfRule>
  </conditionalFormatting>
  <conditionalFormatting sqref="D893:D970">
    <cfRule type="cellIs" dxfId="1138" priority="1103" operator="greaterThan">
      <formula>0</formula>
    </cfRule>
  </conditionalFormatting>
  <conditionalFormatting sqref="D974:D1051">
    <cfRule type="cellIs" dxfId="1137" priority="1090" operator="greaterThan">
      <formula>0</formula>
    </cfRule>
  </conditionalFormatting>
  <conditionalFormatting sqref="D1055:D1132">
    <cfRule type="cellIs" dxfId="1136" priority="1075" operator="greaterThan">
      <formula>0</formula>
    </cfRule>
  </conditionalFormatting>
  <conditionalFormatting sqref="D1136:D1213">
    <cfRule type="cellIs" dxfId="1135" priority="1060" operator="greaterThan">
      <formula>0</formula>
    </cfRule>
  </conditionalFormatting>
  <conditionalFormatting sqref="D1217:D1294">
    <cfRule type="cellIs" dxfId="1134" priority="1045" operator="greaterThan">
      <formula>0</formula>
    </cfRule>
  </conditionalFormatting>
  <conditionalFormatting sqref="D1298:D1375">
    <cfRule type="cellIs" dxfId="1133" priority="1030" operator="greaterThan">
      <formula>0</formula>
    </cfRule>
  </conditionalFormatting>
  <conditionalFormatting sqref="D1379:D1456">
    <cfRule type="cellIs" dxfId="1132" priority="1015" operator="greaterThan">
      <formula>0</formula>
    </cfRule>
  </conditionalFormatting>
  <conditionalFormatting sqref="D1460:D1537">
    <cfRule type="cellIs" dxfId="1131" priority="1000" operator="greaterThan">
      <formula>0</formula>
    </cfRule>
  </conditionalFormatting>
  <conditionalFormatting sqref="D1541:D1618">
    <cfRule type="cellIs" dxfId="1130" priority="985" operator="greaterThan">
      <formula>0</formula>
    </cfRule>
  </conditionalFormatting>
  <conditionalFormatting sqref="D1622:D1699">
    <cfRule type="cellIs" dxfId="1129" priority="971" operator="greaterThan">
      <formula>0</formula>
    </cfRule>
  </conditionalFormatting>
  <conditionalFormatting sqref="D1703:D1780">
    <cfRule type="cellIs" dxfId="1128" priority="957" operator="greaterThan">
      <formula>0</formula>
    </cfRule>
  </conditionalFormatting>
  <conditionalFormatting sqref="D1784:D1861">
    <cfRule type="cellIs" dxfId="1127" priority="943" operator="greaterThan">
      <formula>0</formula>
    </cfRule>
  </conditionalFormatting>
  <conditionalFormatting sqref="D1865:D1942">
    <cfRule type="cellIs" dxfId="1126" priority="929" operator="greaterThan">
      <formula>0</formula>
    </cfRule>
  </conditionalFormatting>
  <conditionalFormatting sqref="D1946:D2023">
    <cfRule type="cellIs" dxfId="1125" priority="915" operator="greaterThan">
      <formula>0</formula>
    </cfRule>
  </conditionalFormatting>
  <conditionalFormatting sqref="D2027:D2104">
    <cfRule type="cellIs" dxfId="1124" priority="901" operator="greaterThan">
      <formula>0</formula>
    </cfRule>
  </conditionalFormatting>
  <conditionalFormatting sqref="D2108:D2185">
    <cfRule type="cellIs" dxfId="1123" priority="887" operator="greaterThan">
      <formula>0</formula>
    </cfRule>
  </conditionalFormatting>
  <conditionalFormatting sqref="D2189:D2266">
    <cfRule type="cellIs" dxfId="1122" priority="873" operator="greaterThan">
      <formula>0</formula>
    </cfRule>
  </conditionalFormatting>
  <conditionalFormatting sqref="D2270:D2347">
    <cfRule type="cellIs" dxfId="1121" priority="859" operator="greaterThan">
      <formula>0</formula>
    </cfRule>
  </conditionalFormatting>
  <conditionalFormatting sqref="D2351:D2428">
    <cfRule type="cellIs" dxfId="1120" priority="845" operator="greaterThan">
      <formula>0</formula>
    </cfRule>
  </conditionalFormatting>
  <conditionalFormatting sqref="D2432:D2509">
    <cfRule type="cellIs" dxfId="1119" priority="831" operator="greaterThan">
      <formula>0</formula>
    </cfRule>
  </conditionalFormatting>
  <conditionalFormatting sqref="D2513:D2590">
    <cfRule type="cellIs" dxfId="1118" priority="817" operator="greaterThan">
      <formula>0</formula>
    </cfRule>
  </conditionalFormatting>
  <conditionalFormatting sqref="D2594:D2671">
    <cfRule type="cellIs" dxfId="1117" priority="803" operator="greaterThan">
      <formula>0</formula>
    </cfRule>
  </conditionalFormatting>
  <conditionalFormatting sqref="D2675:D2752">
    <cfRule type="cellIs" dxfId="1116" priority="789" operator="greaterThan">
      <formula>0</formula>
    </cfRule>
  </conditionalFormatting>
  <conditionalFormatting sqref="D2756:D2833">
    <cfRule type="cellIs" dxfId="1115" priority="775" operator="greaterThan">
      <formula>0</formula>
    </cfRule>
  </conditionalFormatting>
  <conditionalFormatting sqref="D2837:D2914">
    <cfRule type="cellIs" dxfId="1114" priority="761" operator="greaterThan">
      <formula>0</formula>
    </cfRule>
  </conditionalFormatting>
  <conditionalFormatting sqref="D2918:D2995">
    <cfRule type="cellIs" dxfId="1113" priority="747" operator="greaterThan">
      <formula>0</formula>
    </cfRule>
  </conditionalFormatting>
  <conditionalFormatting sqref="D2999:D3076">
    <cfRule type="cellIs" dxfId="1112" priority="733" operator="greaterThan">
      <formula>0</formula>
    </cfRule>
  </conditionalFormatting>
  <conditionalFormatting sqref="D3080:D3157">
    <cfRule type="cellIs" dxfId="1111" priority="719" operator="greaterThan">
      <formula>0</formula>
    </cfRule>
  </conditionalFormatting>
  <conditionalFormatting sqref="D3161:D3238">
    <cfRule type="cellIs" dxfId="1110" priority="705" operator="greaterThan">
      <formula>0</formula>
    </cfRule>
  </conditionalFormatting>
  <conditionalFormatting sqref="D3242:D3319">
    <cfRule type="cellIs" dxfId="1109" priority="691" operator="greaterThan">
      <formula>0</formula>
    </cfRule>
  </conditionalFormatting>
  <conditionalFormatting sqref="D3323:D3400">
    <cfRule type="cellIs" dxfId="1108" priority="677" operator="greaterThan">
      <formula>0</formula>
    </cfRule>
  </conditionalFormatting>
  <conditionalFormatting sqref="D3404:D3481">
    <cfRule type="cellIs" dxfId="1107" priority="663" operator="greaterThan">
      <formula>0</formula>
    </cfRule>
  </conditionalFormatting>
  <conditionalFormatting sqref="D3485:D3562">
    <cfRule type="cellIs" dxfId="1106" priority="649" operator="greaterThan">
      <formula>0</formula>
    </cfRule>
  </conditionalFormatting>
  <conditionalFormatting sqref="D3566:D3643">
    <cfRule type="cellIs" dxfId="1105" priority="635" operator="greaterThan">
      <formula>0</formula>
    </cfRule>
  </conditionalFormatting>
  <conditionalFormatting sqref="D3647:D3724">
    <cfRule type="cellIs" dxfId="1104" priority="621" operator="greaterThan">
      <formula>0</formula>
    </cfRule>
  </conditionalFormatting>
  <conditionalFormatting sqref="D3728:D3805">
    <cfRule type="cellIs" dxfId="1103" priority="607" operator="greaterThan">
      <formula>0</formula>
    </cfRule>
  </conditionalFormatting>
  <conditionalFormatting sqref="D3809:D3886">
    <cfRule type="cellIs" dxfId="1102" priority="593" operator="greaterThan">
      <formula>0</formula>
    </cfRule>
  </conditionalFormatting>
  <conditionalFormatting sqref="D3890:D3967">
    <cfRule type="cellIs" dxfId="1101" priority="579" operator="greaterThan">
      <formula>0</formula>
    </cfRule>
  </conditionalFormatting>
  <conditionalFormatting sqref="D3971:D4048">
    <cfRule type="cellIs" dxfId="1100" priority="565" operator="greaterThan">
      <formula>0</formula>
    </cfRule>
  </conditionalFormatting>
  <conditionalFormatting sqref="E2:E8">
    <cfRule type="cellIs" dxfId="1099" priority="1742" operator="greaterThan">
      <formula>0</formula>
    </cfRule>
  </conditionalFormatting>
  <conditionalFormatting sqref="E2:E79">
    <cfRule type="cellIs" dxfId="1098" priority="1500" operator="greaterThan">
      <formula>0</formula>
    </cfRule>
  </conditionalFormatting>
  <conditionalFormatting sqref="E7">
    <cfRule type="cellIs" dxfId="1097" priority="1741" operator="greaterThan">
      <formula>0</formula>
    </cfRule>
  </conditionalFormatting>
  <conditionalFormatting sqref="E9:E31">
    <cfRule type="cellIs" dxfId="1096" priority="1547" operator="greaterThan">
      <formula>0</formula>
    </cfRule>
  </conditionalFormatting>
  <conditionalFormatting sqref="E30:E31">
    <cfRule type="cellIs" dxfId="1095" priority="1546" operator="greaterThan">
      <formula>0</formula>
    </cfRule>
  </conditionalFormatting>
  <conditionalFormatting sqref="E31:E32">
    <cfRule type="cellIs" dxfId="1094" priority="1519" operator="greaterThan">
      <formula>0</formula>
    </cfRule>
  </conditionalFormatting>
  <conditionalFormatting sqref="E31:E76">
    <cfRule type="cellIs" dxfId="1093" priority="1520" operator="greaterThan">
      <formula>0</formula>
    </cfRule>
  </conditionalFormatting>
  <conditionalFormatting sqref="E73:E79">
    <cfRule type="cellIs" dxfId="1092" priority="1501" operator="greaterThan">
      <formula>0</formula>
    </cfRule>
  </conditionalFormatting>
  <conditionalFormatting sqref="E77:E79">
    <cfRule type="cellIs" dxfId="1091" priority="1502" operator="greaterThan">
      <formula>0</formula>
    </cfRule>
  </conditionalFormatting>
  <conditionalFormatting sqref="E83:E89">
    <cfRule type="cellIs" dxfId="1090" priority="1247" operator="greaterThan">
      <formula>0</formula>
    </cfRule>
  </conditionalFormatting>
  <conditionalFormatting sqref="E83:E160">
    <cfRule type="cellIs" dxfId="1089" priority="1238" operator="greaterThan">
      <formula>0</formula>
    </cfRule>
  </conditionalFormatting>
  <conditionalFormatting sqref="E88">
    <cfRule type="cellIs" dxfId="1088" priority="1246" operator="greaterThan">
      <formula>0</formula>
    </cfRule>
  </conditionalFormatting>
  <conditionalFormatting sqref="E90:E112">
    <cfRule type="cellIs" dxfId="1087" priority="1245" operator="greaterThan">
      <formula>0</formula>
    </cfRule>
  </conditionalFormatting>
  <conditionalFormatting sqref="E111:E112">
    <cfRule type="cellIs" dxfId="1086" priority="1244" operator="greaterThan">
      <formula>0</formula>
    </cfRule>
  </conditionalFormatting>
  <conditionalFormatting sqref="E112:E113">
    <cfRule type="cellIs" dxfId="1085" priority="1242" operator="greaterThan">
      <formula>0</formula>
    </cfRule>
  </conditionalFormatting>
  <conditionalFormatting sqref="E112:E157">
    <cfRule type="cellIs" dxfId="1084" priority="1243" operator="greaterThan">
      <formula>0</formula>
    </cfRule>
  </conditionalFormatting>
  <conditionalFormatting sqref="E154:E160">
    <cfRule type="cellIs" dxfId="1083" priority="1239" operator="greaterThan">
      <formula>0</formula>
    </cfRule>
  </conditionalFormatting>
  <conditionalFormatting sqref="E158:E160">
    <cfRule type="cellIs" dxfId="1082" priority="1240" operator="greaterThan">
      <formula>0</formula>
    </cfRule>
  </conditionalFormatting>
  <conditionalFormatting sqref="E164:E170">
    <cfRule type="cellIs" dxfId="1081" priority="1231" operator="greaterThan">
      <formula>0</formula>
    </cfRule>
  </conditionalFormatting>
  <conditionalFormatting sqref="E164:E241">
    <cfRule type="cellIs" dxfId="1080" priority="1222" operator="greaterThan">
      <formula>0</formula>
    </cfRule>
  </conditionalFormatting>
  <conditionalFormatting sqref="E169">
    <cfRule type="cellIs" dxfId="1079" priority="1230" operator="greaterThan">
      <formula>0</formula>
    </cfRule>
  </conditionalFormatting>
  <conditionalFormatting sqref="E171:E193">
    <cfRule type="cellIs" dxfId="1078" priority="1229" operator="greaterThan">
      <formula>0</formula>
    </cfRule>
  </conditionalFormatting>
  <conditionalFormatting sqref="E192:E193">
    <cfRule type="cellIs" dxfId="1077" priority="1228" operator="greaterThan">
      <formula>0</formula>
    </cfRule>
  </conditionalFormatting>
  <conditionalFormatting sqref="E193:E194">
    <cfRule type="cellIs" dxfId="1076" priority="1226" operator="greaterThan">
      <formula>0</formula>
    </cfRule>
  </conditionalFormatting>
  <conditionalFormatting sqref="E193:E238">
    <cfRule type="cellIs" dxfId="1075" priority="1227" operator="greaterThan">
      <formula>0</formula>
    </cfRule>
  </conditionalFormatting>
  <conditionalFormatting sqref="E235:E241">
    <cfRule type="cellIs" dxfId="1074" priority="1223" operator="greaterThan">
      <formula>0</formula>
    </cfRule>
  </conditionalFormatting>
  <conditionalFormatting sqref="E239:E241">
    <cfRule type="cellIs" dxfId="1073" priority="1224" operator="greaterThan">
      <formula>0</formula>
    </cfRule>
  </conditionalFormatting>
  <conditionalFormatting sqref="E245:E251">
    <cfRule type="cellIs" dxfId="1072" priority="1218" operator="greaterThan">
      <formula>0</formula>
    </cfRule>
  </conditionalFormatting>
  <conditionalFormatting sqref="E245:E322">
    <cfRule type="cellIs" dxfId="1071" priority="1209" operator="greaterThan">
      <formula>0</formula>
    </cfRule>
  </conditionalFormatting>
  <conditionalFormatting sqref="E250">
    <cfRule type="cellIs" dxfId="1070" priority="1217" operator="greaterThan">
      <formula>0</formula>
    </cfRule>
  </conditionalFormatting>
  <conditionalFormatting sqref="E252:E274">
    <cfRule type="cellIs" dxfId="1069" priority="1216" operator="greaterThan">
      <formula>0</formula>
    </cfRule>
  </conditionalFormatting>
  <conditionalFormatting sqref="E273:E274">
    <cfRule type="cellIs" dxfId="1068" priority="1215" operator="greaterThan">
      <formula>0</formula>
    </cfRule>
  </conditionalFormatting>
  <conditionalFormatting sqref="E274:E275">
    <cfRule type="cellIs" dxfId="1067" priority="1213" operator="greaterThan">
      <formula>0</formula>
    </cfRule>
  </conditionalFormatting>
  <conditionalFormatting sqref="E274:E319">
    <cfRule type="cellIs" dxfId="1066" priority="1214" operator="greaterThan">
      <formula>0</formula>
    </cfRule>
  </conditionalFormatting>
  <conditionalFormatting sqref="E316:E322">
    <cfRule type="cellIs" dxfId="1065" priority="1210" operator="greaterThan">
      <formula>0</formula>
    </cfRule>
  </conditionalFormatting>
  <conditionalFormatting sqref="E320:E322">
    <cfRule type="cellIs" dxfId="1064" priority="1211" operator="greaterThan">
      <formula>0</formula>
    </cfRule>
  </conditionalFormatting>
  <conditionalFormatting sqref="E326:E332">
    <cfRule type="cellIs" dxfId="1063" priority="1205" operator="greaterThan">
      <formula>0</formula>
    </cfRule>
  </conditionalFormatting>
  <conditionalFormatting sqref="E326:E403">
    <cfRule type="cellIs" dxfId="1062" priority="1196" operator="greaterThan">
      <formula>0</formula>
    </cfRule>
  </conditionalFormatting>
  <conditionalFormatting sqref="E331">
    <cfRule type="cellIs" dxfId="1061" priority="1204" operator="greaterThan">
      <formula>0</formula>
    </cfRule>
  </conditionalFormatting>
  <conditionalFormatting sqref="E333:E355">
    <cfRule type="cellIs" dxfId="1060" priority="1203" operator="greaterThan">
      <formula>0</formula>
    </cfRule>
  </conditionalFormatting>
  <conditionalFormatting sqref="E354:E355">
    <cfRule type="cellIs" dxfId="1059" priority="1202" operator="greaterThan">
      <formula>0</formula>
    </cfRule>
  </conditionalFormatting>
  <conditionalFormatting sqref="E355:E356">
    <cfRule type="cellIs" dxfId="1058" priority="1200" operator="greaterThan">
      <formula>0</formula>
    </cfRule>
  </conditionalFormatting>
  <conditionalFormatting sqref="E355:E400">
    <cfRule type="cellIs" dxfId="1057" priority="1201" operator="greaterThan">
      <formula>0</formula>
    </cfRule>
  </conditionalFormatting>
  <conditionalFormatting sqref="E397:E403">
    <cfRule type="cellIs" dxfId="1056" priority="1197" operator="greaterThan">
      <formula>0</formula>
    </cfRule>
  </conditionalFormatting>
  <conditionalFormatting sqref="E401:E403">
    <cfRule type="cellIs" dxfId="1055" priority="1198" operator="greaterThan">
      <formula>0</formula>
    </cfRule>
  </conditionalFormatting>
  <conditionalFormatting sqref="E407:E413">
    <cfRule type="cellIs" dxfId="1054" priority="1192" operator="greaterThan">
      <formula>0</formula>
    </cfRule>
  </conditionalFormatting>
  <conditionalFormatting sqref="E407:E484">
    <cfRule type="cellIs" dxfId="1053" priority="1183" operator="greaterThan">
      <formula>0</formula>
    </cfRule>
  </conditionalFormatting>
  <conditionalFormatting sqref="E412">
    <cfRule type="cellIs" dxfId="1052" priority="1191" operator="greaterThan">
      <formula>0</formula>
    </cfRule>
  </conditionalFormatting>
  <conditionalFormatting sqref="E414:E436">
    <cfRule type="cellIs" dxfId="1051" priority="1190" operator="greaterThan">
      <formula>0</formula>
    </cfRule>
  </conditionalFormatting>
  <conditionalFormatting sqref="E435:E436">
    <cfRule type="cellIs" dxfId="1050" priority="1189" operator="greaterThan">
      <formula>0</formula>
    </cfRule>
  </conditionalFormatting>
  <conditionalFormatting sqref="E436:E437">
    <cfRule type="cellIs" dxfId="1049" priority="1187" operator="greaterThan">
      <formula>0</formula>
    </cfRule>
  </conditionalFormatting>
  <conditionalFormatting sqref="E436:E481">
    <cfRule type="cellIs" dxfId="1048" priority="1188" operator="greaterThan">
      <formula>0</formula>
    </cfRule>
  </conditionalFormatting>
  <conditionalFormatting sqref="E478:E484">
    <cfRule type="cellIs" dxfId="1047" priority="1184" operator="greaterThan">
      <formula>0</formula>
    </cfRule>
  </conditionalFormatting>
  <conditionalFormatting sqref="E482:E484">
    <cfRule type="cellIs" dxfId="1046" priority="1185" operator="greaterThan">
      <formula>0</formula>
    </cfRule>
  </conditionalFormatting>
  <conditionalFormatting sqref="E488:E494">
    <cfRule type="cellIs" dxfId="1045" priority="1179" operator="greaterThan">
      <formula>0</formula>
    </cfRule>
  </conditionalFormatting>
  <conditionalFormatting sqref="E488:E565">
    <cfRule type="cellIs" dxfId="1044" priority="1170" operator="greaterThan">
      <formula>0</formula>
    </cfRule>
  </conditionalFormatting>
  <conditionalFormatting sqref="E493">
    <cfRule type="cellIs" dxfId="1043" priority="1178" operator="greaterThan">
      <formula>0</formula>
    </cfRule>
  </conditionalFormatting>
  <conditionalFormatting sqref="E495:E517">
    <cfRule type="cellIs" dxfId="1042" priority="1177" operator="greaterThan">
      <formula>0</formula>
    </cfRule>
  </conditionalFormatting>
  <conditionalFormatting sqref="E516:E517">
    <cfRule type="cellIs" dxfId="1041" priority="1176" operator="greaterThan">
      <formula>0</formula>
    </cfRule>
  </conditionalFormatting>
  <conditionalFormatting sqref="E517:E518">
    <cfRule type="cellIs" dxfId="1040" priority="1174" operator="greaterThan">
      <formula>0</formula>
    </cfRule>
  </conditionalFormatting>
  <conditionalFormatting sqref="E517:E562">
    <cfRule type="cellIs" dxfId="1039" priority="1175" operator="greaterThan">
      <formula>0</formula>
    </cfRule>
  </conditionalFormatting>
  <conditionalFormatting sqref="E559:E565">
    <cfRule type="cellIs" dxfId="1038" priority="1171" operator="greaterThan">
      <formula>0</formula>
    </cfRule>
  </conditionalFormatting>
  <conditionalFormatting sqref="E563:E565">
    <cfRule type="cellIs" dxfId="1037" priority="1172" operator="greaterThan">
      <formula>0</formula>
    </cfRule>
  </conditionalFormatting>
  <conditionalFormatting sqref="E569:E575">
    <cfRule type="cellIs" dxfId="1036" priority="1166" operator="greaterThan">
      <formula>0</formula>
    </cfRule>
  </conditionalFormatting>
  <conditionalFormatting sqref="E569:E646">
    <cfRule type="cellIs" dxfId="1035" priority="1157" operator="greaterThan">
      <formula>0</formula>
    </cfRule>
  </conditionalFormatting>
  <conditionalFormatting sqref="E574">
    <cfRule type="cellIs" dxfId="1034" priority="1165" operator="greaterThan">
      <formula>0</formula>
    </cfRule>
  </conditionalFormatting>
  <conditionalFormatting sqref="E576:E598">
    <cfRule type="cellIs" dxfId="1033" priority="1164" operator="greaterThan">
      <formula>0</formula>
    </cfRule>
  </conditionalFormatting>
  <conditionalFormatting sqref="E597:E598">
    <cfRule type="cellIs" dxfId="1032" priority="1163" operator="greaterThan">
      <formula>0</formula>
    </cfRule>
  </conditionalFormatting>
  <conditionalFormatting sqref="E598:E599">
    <cfRule type="cellIs" dxfId="1031" priority="1161" operator="greaterThan">
      <formula>0</formula>
    </cfRule>
  </conditionalFormatting>
  <conditionalFormatting sqref="E598:E643">
    <cfRule type="cellIs" dxfId="1030" priority="1162" operator="greaterThan">
      <formula>0</formula>
    </cfRule>
  </conditionalFormatting>
  <conditionalFormatting sqref="E640:E646">
    <cfRule type="cellIs" dxfId="1029" priority="1158" operator="greaterThan">
      <formula>0</formula>
    </cfRule>
  </conditionalFormatting>
  <conditionalFormatting sqref="E644:E646">
    <cfRule type="cellIs" dxfId="1028" priority="1159" operator="greaterThan">
      <formula>0</formula>
    </cfRule>
  </conditionalFormatting>
  <conditionalFormatting sqref="E650:E656">
    <cfRule type="cellIs" dxfId="1027" priority="1153" operator="greaterThan">
      <formula>0</formula>
    </cfRule>
  </conditionalFormatting>
  <conditionalFormatting sqref="E650:E727">
    <cfRule type="cellIs" dxfId="1026" priority="1144" operator="greaterThan">
      <formula>0</formula>
    </cfRule>
  </conditionalFormatting>
  <conditionalFormatting sqref="E655">
    <cfRule type="cellIs" dxfId="1025" priority="1152" operator="greaterThan">
      <formula>0</formula>
    </cfRule>
  </conditionalFormatting>
  <conditionalFormatting sqref="E657:E679">
    <cfRule type="cellIs" dxfId="1024" priority="1151" operator="greaterThan">
      <formula>0</formula>
    </cfRule>
  </conditionalFormatting>
  <conditionalFormatting sqref="E678:E679">
    <cfRule type="cellIs" dxfId="1023" priority="1150" operator="greaterThan">
      <formula>0</formula>
    </cfRule>
  </conditionalFormatting>
  <conditionalFormatting sqref="E679:E680">
    <cfRule type="cellIs" dxfId="1022" priority="1148" operator="greaterThan">
      <formula>0</formula>
    </cfRule>
  </conditionalFormatting>
  <conditionalFormatting sqref="E679:E724">
    <cfRule type="cellIs" dxfId="1021" priority="1149" operator="greaterThan">
      <formula>0</formula>
    </cfRule>
  </conditionalFormatting>
  <conditionalFormatting sqref="E721:E727">
    <cfRule type="cellIs" dxfId="1020" priority="1145" operator="greaterThan">
      <formula>0</formula>
    </cfRule>
  </conditionalFormatting>
  <conditionalFormatting sqref="E725:E727">
    <cfRule type="cellIs" dxfId="1019" priority="1146" operator="greaterThan">
      <formula>0</formula>
    </cfRule>
  </conditionalFormatting>
  <conditionalFormatting sqref="E731:E737">
    <cfRule type="cellIs" dxfId="1018" priority="1140" operator="greaterThan">
      <formula>0</formula>
    </cfRule>
  </conditionalFormatting>
  <conditionalFormatting sqref="E731:E808">
    <cfRule type="cellIs" dxfId="1017" priority="1131" operator="greaterThan">
      <formula>0</formula>
    </cfRule>
  </conditionalFormatting>
  <conditionalFormatting sqref="E736">
    <cfRule type="cellIs" dxfId="1016" priority="1139" operator="greaterThan">
      <formula>0</formula>
    </cfRule>
  </conditionalFormatting>
  <conditionalFormatting sqref="E738:E760">
    <cfRule type="cellIs" dxfId="1015" priority="1138" operator="greaterThan">
      <formula>0</formula>
    </cfRule>
  </conditionalFormatting>
  <conditionalFormatting sqref="E759:E760">
    <cfRule type="cellIs" dxfId="1014" priority="1137" operator="greaterThan">
      <formula>0</formula>
    </cfRule>
  </conditionalFormatting>
  <conditionalFormatting sqref="E760:E761">
    <cfRule type="cellIs" dxfId="1013" priority="1135" operator="greaterThan">
      <formula>0</formula>
    </cfRule>
  </conditionalFormatting>
  <conditionalFormatting sqref="E760:E805">
    <cfRule type="cellIs" dxfId="1012" priority="1136" operator="greaterThan">
      <formula>0</formula>
    </cfRule>
  </conditionalFormatting>
  <conditionalFormatting sqref="E802:E808">
    <cfRule type="cellIs" dxfId="1011" priority="1132" operator="greaterThan">
      <formula>0</formula>
    </cfRule>
  </conditionalFormatting>
  <conditionalFormatting sqref="E806:E808">
    <cfRule type="cellIs" dxfId="1010" priority="1133" operator="greaterThan">
      <formula>0</formula>
    </cfRule>
  </conditionalFormatting>
  <conditionalFormatting sqref="E812:E818">
    <cfRule type="cellIs" dxfId="1009" priority="1127" operator="greaterThan">
      <formula>0</formula>
    </cfRule>
  </conditionalFormatting>
  <conditionalFormatting sqref="E812:E889">
    <cfRule type="cellIs" dxfId="1008" priority="1118" operator="greaterThan">
      <formula>0</formula>
    </cfRule>
  </conditionalFormatting>
  <conditionalFormatting sqref="E817">
    <cfRule type="cellIs" dxfId="1007" priority="1126" operator="greaterThan">
      <formula>0</formula>
    </cfRule>
  </conditionalFormatting>
  <conditionalFormatting sqref="E819:E841">
    <cfRule type="cellIs" dxfId="1006" priority="1125" operator="greaterThan">
      <formula>0</formula>
    </cfRule>
  </conditionalFormatting>
  <conditionalFormatting sqref="E840:E841">
    <cfRule type="cellIs" dxfId="1005" priority="1124" operator="greaterThan">
      <formula>0</formula>
    </cfRule>
  </conditionalFormatting>
  <conditionalFormatting sqref="E841:E842">
    <cfRule type="cellIs" dxfId="1004" priority="1122" operator="greaterThan">
      <formula>0</formula>
    </cfRule>
  </conditionalFormatting>
  <conditionalFormatting sqref="E841:E886">
    <cfRule type="cellIs" dxfId="1003" priority="1123" operator="greaterThan">
      <formula>0</formula>
    </cfRule>
  </conditionalFormatting>
  <conditionalFormatting sqref="E883:E889">
    <cfRule type="cellIs" dxfId="1002" priority="1119" operator="greaterThan">
      <formula>0</formula>
    </cfRule>
  </conditionalFormatting>
  <conditionalFormatting sqref="E887:E889">
    <cfRule type="cellIs" dxfId="1001" priority="1120" operator="greaterThan">
      <formula>0</formula>
    </cfRule>
  </conditionalFormatting>
  <conditionalFormatting sqref="E893:E899">
    <cfRule type="cellIs" dxfId="1000" priority="1114" operator="greaterThan">
      <formula>0</formula>
    </cfRule>
  </conditionalFormatting>
  <conditionalFormatting sqref="E893:E970">
    <cfRule type="cellIs" dxfId="999" priority="1105" operator="greaterThan">
      <formula>0</formula>
    </cfRule>
  </conditionalFormatting>
  <conditionalFormatting sqref="E898">
    <cfRule type="cellIs" dxfId="998" priority="1113" operator="greaterThan">
      <formula>0</formula>
    </cfRule>
  </conditionalFormatting>
  <conditionalFormatting sqref="E900:E922">
    <cfRule type="cellIs" dxfId="997" priority="1112" operator="greaterThan">
      <formula>0</formula>
    </cfRule>
  </conditionalFormatting>
  <conditionalFormatting sqref="E921:E922">
    <cfRule type="cellIs" dxfId="996" priority="1111" operator="greaterThan">
      <formula>0</formula>
    </cfRule>
  </conditionalFormatting>
  <conditionalFormatting sqref="E922:E923">
    <cfRule type="cellIs" dxfId="995" priority="1109" operator="greaterThan">
      <formula>0</formula>
    </cfRule>
  </conditionalFormatting>
  <conditionalFormatting sqref="E922:E967">
    <cfRule type="cellIs" dxfId="994" priority="1110" operator="greaterThan">
      <formula>0</formula>
    </cfRule>
  </conditionalFormatting>
  <conditionalFormatting sqref="E964:E970">
    <cfRule type="cellIs" dxfId="993" priority="1106" operator="greaterThan">
      <formula>0</formula>
    </cfRule>
  </conditionalFormatting>
  <conditionalFormatting sqref="E968:E970">
    <cfRule type="cellIs" dxfId="992" priority="1107" operator="greaterThan">
      <formula>0</formula>
    </cfRule>
  </conditionalFormatting>
  <conditionalFormatting sqref="E974:E980">
    <cfRule type="cellIs" dxfId="991" priority="1101" operator="greaterThan">
      <formula>0</formula>
    </cfRule>
  </conditionalFormatting>
  <conditionalFormatting sqref="E974:E1051">
    <cfRule type="cellIs" dxfId="990" priority="1092" operator="greaterThan">
      <formula>0</formula>
    </cfRule>
  </conditionalFormatting>
  <conditionalFormatting sqref="E979">
    <cfRule type="cellIs" dxfId="989" priority="1100" operator="greaterThan">
      <formula>0</formula>
    </cfRule>
  </conditionalFormatting>
  <conditionalFormatting sqref="E981:E1003">
    <cfRule type="cellIs" dxfId="988" priority="1099" operator="greaterThan">
      <formula>0</formula>
    </cfRule>
  </conditionalFormatting>
  <conditionalFormatting sqref="E1002:E1003">
    <cfRule type="cellIs" dxfId="987" priority="1098" operator="greaterThan">
      <formula>0</formula>
    </cfRule>
  </conditionalFormatting>
  <conditionalFormatting sqref="E1003:E1004">
    <cfRule type="cellIs" dxfId="986" priority="1096" operator="greaterThan">
      <formula>0</formula>
    </cfRule>
  </conditionalFormatting>
  <conditionalFormatting sqref="E1003:E1048">
    <cfRule type="cellIs" dxfId="985" priority="1097" operator="greaterThan">
      <formula>0</formula>
    </cfRule>
  </conditionalFormatting>
  <conditionalFormatting sqref="E1045:E1051">
    <cfRule type="cellIs" dxfId="984" priority="1093" operator="greaterThan">
      <formula>0</formula>
    </cfRule>
  </conditionalFormatting>
  <conditionalFormatting sqref="E1049:E1051">
    <cfRule type="cellIs" dxfId="983" priority="1094" operator="greaterThan">
      <formula>0</formula>
    </cfRule>
  </conditionalFormatting>
  <conditionalFormatting sqref="E1055:E1061">
    <cfRule type="cellIs" dxfId="982" priority="1086" operator="greaterThan">
      <formula>0</formula>
    </cfRule>
  </conditionalFormatting>
  <conditionalFormatting sqref="E1055:E1132">
    <cfRule type="cellIs" dxfId="981" priority="1077" operator="greaterThan">
      <formula>0</formula>
    </cfRule>
  </conditionalFormatting>
  <conditionalFormatting sqref="E1060">
    <cfRule type="cellIs" dxfId="980" priority="1085" operator="greaterThan">
      <formula>0</formula>
    </cfRule>
  </conditionalFormatting>
  <conditionalFormatting sqref="E1062:E1084">
    <cfRule type="cellIs" dxfId="979" priority="1084" operator="greaterThan">
      <formula>0</formula>
    </cfRule>
  </conditionalFormatting>
  <conditionalFormatting sqref="E1083:E1084">
    <cfRule type="cellIs" dxfId="978" priority="1083" operator="greaterThan">
      <formula>0</formula>
    </cfRule>
  </conditionalFormatting>
  <conditionalFormatting sqref="E1084:E1085">
    <cfRule type="cellIs" dxfId="977" priority="1081" operator="greaterThan">
      <formula>0</formula>
    </cfRule>
  </conditionalFormatting>
  <conditionalFormatting sqref="E1084:E1129">
    <cfRule type="cellIs" dxfId="976" priority="1082" operator="greaterThan">
      <formula>0</formula>
    </cfRule>
  </conditionalFormatting>
  <conditionalFormatting sqref="E1126:E1132">
    <cfRule type="cellIs" dxfId="975" priority="1078" operator="greaterThan">
      <formula>0</formula>
    </cfRule>
  </conditionalFormatting>
  <conditionalFormatting sqref="E1130:E1132">
    <cfRule type="cellIs" dxfId="974" priority="1079" operator="greaterThan">
      <formula>0</formula>
    </cfRule>
  </conditionalFormatting>
  <conditionalFormatting sqref="E1136:E1142">
    <cfRule type="cellIs" dxfId="973" priority="1071" operator="greaterThan">
      <formula>0</formula>
    </cfRule>
  </conditionalFormatting>
  <conditionalFormatting sqref="E1136:E1213">
    <cfRule type="cellIs" dxfId="972" priority="1062" operator="greaterThan">
      <formula>0</formula>
    </cfRule>
  </conditionalFormatting>
  <conditionalFormatting sqref="E1141">
    <cfRule type="cellIs" dxfId="971" priority="1070" operator="greaterThan">
      <formula>0</formula>
    </cfRule>
  </conditionalFormatting>
  <conditionalFormatting sqref="E1143:E1165">
    <cfRule type="cellIs" dxfId="970" priority="1069" operator="greaterThan">
      <formula>0</formula>
    </cfRule>
  </conditionalFormatting>
  <conditionalFormatting sqref="E1164:E1165">
    <cfRule type="cellIs" dxfId="969" priority="1068" operator="greaterThan">
      <formula>0</formula>
    </cfRule>
  </conditionalFormatting>
  <conditionalFormatting sqref="E1165:E1166">
    <cfRule type="cellIs" dxfId="968" priority="1066" operator="greaterThan">
      <formula>0</formula>
    </cfRule>
  </conditionalFormatting>
  <conditionalFormatting sqref="E1165:E1210">
    <cfRule type="cellIs" dxfId="967" priority="1067" operator="greaterThan">
      <formula>0</formula>
    </cfRule>
  </conditionalFormatting>
  <conditionalFormatting sqref="E1207:E1213">
    <cfRule type="cellIs" dxfId="966" priority="1063" operator="greaterThan">
      <formula>0</formula>
    </cfRule>
  </conditionalFormatting>
  <conditionalFormatting sqref="E1211:E1213">
    <cfRule type="cellIs" dxfId="965" priority="1064" operator="greaterThan">
      <formula>0</formula>
    </cfRule>
  </conditionalFormatting>
  <conditionalFormatting sqref="E1217:E1223">
    <cfRule type="cellIs" dxfId="964" priority="1056" operator="greaterThan">
      <formula>0</formula>
    </cfRule>
  </conditionalFormatting>
  <conditionalFormatting sqref="E1217:E1294">
    <cfRule type="cellIs" dxfId="963" priority="1047" operator="greaterThan">
      <formula>0</formula>
    </cfRule>
  </conditionalFormatting>
  <conditionalFormatting sqref="E1222">
    <cfRule type="cellIs" dxfId="962" priority="1055" operator="greaterThan">
      <formula>0</formula>
    </cfRule>
  </conditionalFormatting>
  <conditionalFormatting sqref="E1224:E1246">
    <cfRule type="cellIs" dxfId="961" priority="1054" operator="greaterThan">
      <formula>0</formula>
    </cfRule>
  </conditionalFormatting>
  <conditionalFormatting sqref="E1245:E1246">
    <cfRule type="cellIs" dxfId="960" priority="1053" operator="greaterThan">
      <formula>0</formula>
    </cfRule>
  </conditionalFormatting>
  <conditionalFormatting sqref="E1246:E1247">
    <cfRule type="cellIs" dxfId="959" priority="1051" operator="greaterThan">
      <formula>0</formula>
    </cfRule>
  </conditionalFormatting>
  <conditionalFormatting sqref="E1246:E1291">
    <cfRule type="cellIs" dxfId="958" priority="1052" operator="greaterThan">
      <formula>0</formula>
    </cfRule>
  </conditionalFormatting>
  <conditionalFormatting sqref="E1288:E1294">
    <cfRule type="cellIs" dxfId="957" priority="1048" operator="greaterThan">
      <formula>0</formula>
    </cfRule>
  </conditionalFormatting>
  <conditionalFormatting sqref="E1292:E1294">
    <cfRule type="cellIs" dxfId="956" priority="1049" operator="greaterThan">
      <formula>0</formula>
    </cfRule>
  </conditionalFormatting>
  <conditionalFormatting sqref="E1298:E1304">
    <cfRule type="cellIs" dxfId="955" priority="1041" operator="greaterThan">
      <formula>0</formula>
    </cfRule>
  </conditionalFormatting>
  <conditionalFormatting sqref="E1298:E1375">
    <cfRule type="cellIs" dxfId="954" priority="1032" operator="greaterThan">
      <formula>0</formula>
    </cfRule>
  </conditionalFormatting>
  <conditionalFormatting sqref="E1303">
    <cfRule type="cellIs" dxfId="953" priority="1040" operator="greaterThan">
      <formula>0</formula>
    </cfRule>
  </conditionalFormatting>
  <conditionalFormatting sqref="E1305:E1327">
    <cfRule type="cellIs" dxfId="952" priority="1039" operator="greaterThan">
      <formula>0</formula>
    </cfRule>
  </conditionalFormatting>
  <conditionalFormatting sqref="E1326:E1327">
    <cfRule type="cellIs" dxfId="951" priority="1038" operator="greaterThan">
      <formula>0</formula>
    </cfRule>
  </conditionalFormatting>
  <conditionalFormatting sqref="E1327:E1328">
    <cfRule type="cellIs" dxfId="950" priority="1036" operator="greaterThan">
      <formula>0</formula>
    </cfRule>
  </conditionalFormatting>
  <conditionalFormatting sqref="E1327:E1372">
    <cfRule type="cellIs" dxfId="949" priority="1037" operator="greaterThan">
      <formula>0</formula>
    </cfRule>
  </conditionalFormatting>
  <conditionalFormatting sqref="E1369:E1375">
    <cfRule type="cellIs" dxfId="948" priority="1033" operator="greaterThan">
      <formula>0</formula>
    </cfRule>
  </conditionalFormatting>
  <conditionalFormatting sqref="E1373:E1375">
    <cfRule type="cellIs" dxfId="947" priority="1034" operator="greaterThan">
      <formula>0</formula>
    </cfRule>
  </conditionalFormatting>
  <conditionalFormatting sqref="E1379:E1385">
    <cfRule type="cellIs" dxfId="946" priority="1026" operator="greaterThan">
      <formula>0</formula>
    </cfRule>
  </conditionalFormatting>
  <conditionalFormatting sqref="E1379:E1456">
    <cfRule type="cellIs" dxfId="945" priority="1017" operator="greaterThan">
      <formula>0</formula>
    </cfRule>
  </conditionalFormatting>
  <conditionalFormatting sqref="E1384">
    <cfRule type="cellIs" dxfId="944" priority="1025" operator="greaterThan">
      <formula>0</formula>
    </cfRule>
  </conditionalFormatting>
  <conditionalFormatting sqref="E1386:E1408">
    <cfRule type="cellIs" dxfId="943" priority="1024" operator="greaterThan">
      <formula>0</formula>
    </cfRule>
  </conditionalFormatting>
  <conditionalFormatting sqref="E1407:E1408">
    <cfRule type="cellIs" dxfId="942" priority="1023" operator="greaterThan">
      <formula>0</formula>
    </cfRule>
  </conditionalFormatting>
  <conditionalFormatting sqref="E1408:E1409">
    <cfRule type="cellIs" dxfId="941" priority="1021" operator="greaterThan">
      <formula>0</formula>
    </cfRule>
  </conditionalFormatting>
  <conditionalFormatting sqref="E1408:E1453">
    <cfRule type="cellIs" dxfId="940" priority="1022" operator="greaterThan">
      <formula>0</formula>
    </cfRule>
  </conditionalFormatting>
  <conditionalFormatting sqref="E1450:E1456">
    <cfRule type="cellIs" dxfId="939" priority="1018" operator="greaterThan">
      <formula>0</formula>
    </cfRule>
  </conditionalFormatting>
  <conditionalFormatting sqref="E1454:E1456">
    <cfRule type="cellIs" dxfId="938" priority="1019" operator="greaterThan">
      <formula>0</formula>
    </cfRule>
  </conditionalFormatting>
  <conditionalFormatting sqref="E1460:E1466">
    <cfRule type="cellIs" dxfId="937" priority="1011" operator="greaterThan">
      <formula>0</formula>
    </cfRule>
  </conditionalFormatting>
  <conditionalFormatting sqref="E1460:E1537">
    <cfRule type="cellIs" dxfId="936" priority="1002" operator="greaterThan">
      <formula>0</formula>
    </cfRule>
  </conditionalFormatting>
  <conditionalFormatting sqref="E1465">
    <cfRule type="cellIs" dxfId="935" priority="1010" operator="greaterThan">
      <formula>0</formula>
    </cfRule>
  </conditionalFormatting>
  <conditionalFormatting sqref="E1467:E1489">
    <cfRule type="cellIs" dxfId="934" priority="1009" operator="greaterThan">
      <formula>0</formula>
    </cfRule>
  </conditionalFormatting>
  <conditionalFormatting sqref="E1488:E1489">
    <cfRule type="cellIs" dxfId="933" priority="1008" operator="greaterThan">
      <formula>0</formula>
    </cfRule>
  </conditionalFormatting>
  <conditionalFormatting sqref="E1489:E1490">
    <cfRule type="cellIs" dxfId="932" priority="1006" operator="greaterThan">
      <formula>0</formula>
    </cfRule>
  </conditionalFormatting>
  <conditionalFormatting sqref="E1489:E1534">
    <cfRule type="cellIs" dxfId="931" priority="1007" operator="greaterThan">
      <formula>0</formula>
    </cfRule>
  </conditionalFormatting>
  <conditionalFormatting sqref="E1531:E1537">
    <cfRule type="cellIs" dxfId="930" priority="1003" operator="greaterThan">
      <formula>0</formula>
    </cfRule>
  </conditionalFormatting>
  <conditionalFormatting sqref="E1535:E1537">
    <cfRule type="cellIs" dxfId="929" priority="1004" operator="greaterThan">
      <formula>0</formula>
    </cfRule>
  </conditionalFormatting>
  <conditionalFormatting sqref="E1541:E1547">
    <cfRule type="cellIs" dxfId="928" priority="996" operator="greaterThan">
      <formula>0</formula>
    </cfRule>
  </conditionalFormatting>
  <conditionalFormatting sqref="E1541:E1618">
    <cfRule type="cellIs" dxfId="927" priority="987" operator="greaterThan">
      <formula>0</formula>
    </cfRule>
  </conditionalFormatting>
  <conditionalFormatting sqref="E1546">
    <cfRule type="cellIs" dxfId="926" priority="995" operator="greaterThan">
      <formula>0</formula>
    </cfRule>
  </conditionalFormatting>
  <conditionalFormatting sqref="E1548:E1570">
    <cfRule type="cellIs" dxfId="925" priority="994" operator="greaterThan">
      <formula>0</formula>
    </cfRule>
  </conditionalFormatting>
  <conditionalFormatting sqref="E1569:E1570">
    <cfRule type="cellIs" dxfId="924" priority="993" operator="greaterThan">
      <formula>0</formula>
    </cfRule>
  </conditionalFormatting>
  <conditionalFormatting sqref="E1570:E1571">
    <cfRule type="cellIs" dxfId="923" priority="991" operator="greaterThan">
      <formula>0</formula>
    </cfRule>
  </conditionalFormatting>
  <conditionalFormatting sqref="E1570:E1615">
    <cfRule type="cellIs" dxfId="922" priority="992" operator="greaterThan">
      <formula>0</formula>
    </cfRule>
  </conditionalFormatting>
  <conditionalFormatting sqref="E1612:E1618">
    <cfRule type="cellIs" dxfId="921" priority="988" operator="greaterThan">
      <formula>0</formula>
    </cfRule>
  </conditionalFormatting>
  <conditionalFormatting sqref="E1616:E1618">
    <cfRule type="cellIs" dxfId="920" priority="989" operator="greaterThan">
      <formula>0</formula>
    </cfRule>
  </conditionalFormatting>
  <conditionalFormatting sqref="E1622:E1628">
    <cfRule type="cellIs" dxfId="919" priority="981" operator="greaterThan">
      <formula>0</formula>
    </cfRule>
  </conditionalFormatting>
  <conditionalFormatting sqref="E1622:E1699">
    <cfRule type="cellIs" dxfId="918" priority="973" operator="greaterThan">
      <formula>0</formula>
    </cfRule>
  </conditionalFormatting>
  <conditionalFormatting sqref="E1627">
    <cfRule type="cellIs" dxfId="917" priority="980" operator="greaterThan">
      <formula>0</formula>
    </cfRule>
  </conditionalFormatting>
  <conditionalFormatting sqref="E1629:E1651">
    <cfRule type="cellIs" dxfId="916" priority="979" operator="greaterThan">
      <formula>0</formula>
    </cfRule>
  </conditionalFormatting>
  <conditionalFormatting sqref="E1650:E1651">
    <cfRule type="cellIs" dxfId="915" priority="978" operator="greaterThan">
      <formula>0</formula>
    </cfRule>
  </conditionalFormatting>
  <conditionalFormatting sqref="E1651:E1652">
    <cfRule type="cellIs" dxfId="914" priority="976" operator="greaterThan">
      <formula>0</formula>
    </cfRule>
  </conditionalFormatting>
  <conditionalFormatting sqref="E1651:E1696">
    <cfRule type="cellIs" dxfId="913" priority="977" operator="greaterThan">
      <formula>0</formula>
    </cfRule>
  </conditionalFormatting>
  <conditionalFormatting sqref="E1693:E1699">
    <cfRule type="cellIs" dxfId="912" priority="974" operator="greaterThan">
      <formula>0</formula>
    </cfRule>
  </conditionalFormatting>
  <conditionalFormatting sqref="E1697:E1699">
    <cfRule type="cellIs" dxfId="911" priority="975" operator="greaterThan">
      <formula>0</formula>
    </cfRule>
  </conditionalFormatting>
  <conditionalFormatting sqref="E1703:E1709">
    <cfRule type="cellIs" dxfId="910" priority="967" operator="greaterThan">
      <formula>0</formula>
    </cfRule>
  </conditionalFormatting>
  <conditionalFormatting sqref="E1703:E1780">
    <cfRule type="cellIs" dxfId="909" priority="959" operator="greaterThan">
      <formula>0</formula>
    </cfRule>
  </conditionalFormatting>
  <conditionalFormatting sqref="E1708">
    <cfRule type="cellIs" dxfId="908" priority="966" operator="greaterThan">
      <formula>0</formula>
    </cfRule>
  </conditionalFormatting>
  <conditionalFormatting sqref="E1710:E1732">
    <cfRule type="cellIs" dxfId="907" priority="965" operator="greaterThan">
      <formula>0</formula>
    </cfRule>
  </conditionalFormatting>
  <conditionalFormatting sqref="E1731:E1732">
    <cfRule type="cellIs" dxfId="906" priority="964" operator="greaterThan">
      <formula>0</formula>
    </cfRule>
  </conditionalFormatting>
  <conditionalFormatting sqref="E1732:E1733">
    <cfRule type="cellIs" dxfId="905" priority="962" operator="greaterThan">
      <formula>0</formula>
    </cfRule>
  </conditionalFormatting>
  <conditionalFormatting sqref="E1732:E1777">
    <cfRule type="cellIs" dxfId="904" priority="963" operator="greaterThan">
      <formula>0</formula>
    </cfRule>
  </conditionalFormatting>
  <conditionalFormatting sqref="E1774:E1780">
    <cfRule type="cellIs" dxfId="903" priority="960" operator="greaterThan">
      <formula>0</formula>
    </cfRule>
  </conditionalFormatting>
  <conditionalFormatting sqref="E1778:E1780">
    <cfRule type="cellIs" dxfId="902" priority="961" operator="greaterThan">
      <formula>0</formula>
    </cfRule>
  </conditionalFormatting>
  <conditionalFormatting sqref="E1784:E1790">
    <cfRule type="cellIs" dxfId="901" priority="953" operator="greaterThan">
      <formula>0</formula>
    </cfRule>
  </conditionalFormatting>
  <conditionalFormatting sqref="E1784:E1861">
    <cfRule type="cellIs" dxfId="900" priority="945" operator="greaterThan">
      <formula>0</formula>
    </cfRule>
  </conditionalFormatting>
  <conditionalFormatting sqref="E1789">
    <cfRule type="cellIs" dxfId="899" priority="952" operator="greaterThan">
      <formula>0</formula>
    </cfRule>
  </conditionalFormatting>
  <conditionalFormatting sqref="E1791:E1813">
    <cfRule type="cellIs" dxfId="898" priority="951" operator="greaterThan">
      <formula>0</formula>
    </cfRule>
  </conditionalFormatting>
  <conditionalFormatting sqref="E1812:E1813">
    <cfRule type="cellIs" dxfId="897" priority="950" operator="greaterThan">
      <formula>0</formula>
    </cfRule>
  </conditionalFormatting>
  <conditionalFormatting sqref="E1813:E1814">
    <cfRule type="cellIs" dxfId="896" priority="948" operator="greaterThan">
      <formula>0</formula>
    </cfRule>
  </conditionalFormatting>
  <conditionalFormatting sqref="E1813:E1858">
    <cfRule type="cellIs" dxfId="895" priority="949" operator="greaterThan">
      <formula>0</formula>
    </cfRule>
  </conditionalFormatting>
  <conditionalFormatting sqref="E1855:E1861">
    <cfRule type="cellIs" dxfId="894" priority="946" operator="greaterThan">
      <formula>0</formula>
    </cfRule>
  </conditionalFormatting>
  <conditionalFormatting sqref="E1859:E1861">
    <cfRule type="cellIs" dxfId="893" priority="947" operator="greaterThan">
      <formula>0</formula>
    </cfRule>
  </conditionalFormatting>
  <conditionalFormatting sqref="E1865:E1871">
    <cfRule type="cellIs" dxfId="892" priority="939" operator="greaterThan">
      <formula>0</formula>
    </cfRule>
  </conditionalFormatting>
  <conditionalFormatting sqref="E1865:E1942">
    <cfRule type="cellIs" dxfId="891" priority="931" operator="greaterThan">
      <formula>0</formula>
    </cfRule>
  </conditionalFormatting>
  <conditionalFormatting sqref="E1870">
    <cfRule type="cellIs" dxfId="890" priority="938" operator="greaterThan">
      <formula>0</formula>
    </cfRule>
  </conditionalFormatting>
  <conditionalFormatting sqref="E1872:E1894">
    <cfRule type="cellIs" dxfId="889" priority="937" operator="greaterThan">
      <formula>0</formula>
    </cfRule>
  </conditionalFormatting>
  <conditionalFormatting sqref="E1893:E1894">
    <cfRule type="cellIs" dxfId="888" priority="936" operator="greaterThan">
      <formula>0</formula>
    </cfRule>
  </conditionalFormatting>
  <conditionalFormatting sqref="E1894:E1895">
    <cfRule type="cellIs" dxfId="887" priority="934" operator="greaterThan">
      <formula>0</formula>
    </cfRule>
  </conditionalFormatting>
  <conditionalFormatting sqref="E1894:E1939">
    <cfRule type="cellIs" dxfId="886" priority="935" operator="greaterThan">
      <formula>0</formula>
    </cfRule>
  </conditionalFormatting>
  <conditionalFormatting sqref="E1936:E1942">
    <cfRule type="cellIs" dxfId="885" priority="932" operator="greaterThan">
      <formula>0</formula>
    </cfRule>
  </conditionalFormatting>
  <conditionalFormatting sqref="E1940:E1942">
    <cfRule type="cellIs" dxfId="884" priority="933" operator="greaterThan">
      <formula>0</formula>
    </cfRule>
  </conditionalFormatting>
  <conditionalFormatting sqref="E1946:E1952">
    <cfRule type="cellIs" dxfId="883" priority="925" operator="greaterThan">
      <formula>0</formula>
    </cfRule>
  </conditionalFormatting>
  <conditionalFormatting sqref="E1946:E2023">
    <cfRule type="cellIs" dxfId="882" priority="917" operator="greaterThan">
      <formula>0</formula>
    </cfRule>
  </conditionalFormatting>
  <conditionalFormatting sqref="E1951">
    <cfRule type="cellIs" dxfId="881" priority="924" operator="greaterThan">
      <formula>0</formula>
    </cfRule>
  </conditionalFormatting>
  <conditionalFormatting sqref="E1953:E1975">
    <cfRule type="cellIs" dxfId="880" priority="923" operator="greaterThan">
      <formula>0</formula>
    </cfRule>
  </conditionalFormatting>
  <conditionalFormatting sqref="E1974:E1975">
    <cfRule type="cellIs" dxfId="879" priority="922" operator="greaterThan">
      <formula>0</formula>
    </cfRule>
  </conditionalFormatting>
  <conditionalFormatting sqref="E1975:E1976">
    <cfRule type="cellIs" dxfId="878" priority="920" operator="greaterThan">
      <formula>0</formula>
    </cfRule>
  </conditionalFormatting>
  <conditionalFormatting sqref="E1975:E2020">
    <cfRule type="cellIs" dxfId="877" priority="921" operator="greaterThan">
      <formula>0</formula>
    </cfRule>
  </conditionalFormatting>
  <conditionalFormatting sqref="E2017:E2023">
    <cfRule type="cellIs" dxfId="876" priority="918" operator="greaterThan">
      <formula>0</formula>
    </cfRule>
  </conditionalFormatting>
  <conditionalFormatting sqref="E2021:E2023">
    <cfRule type="cellIs" dxfId="875" priority="919" operator="greaterThan">
      <formula>0</formula>
    </cfRule>
  </conditionalFormatting>
  <conditionalFormatting sqref="E2027:E2033">
    <cfRule type="cellIs" dxfId="874" priority="911" operator="greaterThan">
      <formula>0</formula>
    </cfRule>
  </conditionalFormatting>
  <conditionalFormatting sqref="E2027:E2104">
    <cfRule type="cellIs" dxfId="873" priority="903" operator="greaterThan">
      <formula>0</formula>
    </cfRule>
  </conditionalFormatting>
  <conditionalFormatting sqref="E2032">
    <cfRule type="cellIs" dxfId="872" priority="910" operator="greaterThan">
      <formula>0</formula>
    </cfRule>
  </conditionalFormatting>
  <conditionalFormatting sqref="E2034:E2056">
    <cfRule type="cellIs" dxfId="871" priority="909" operator="greaterThan">
      <formula>0</formula>
    </cfRule>
  </conditionalFormatting>
  <conditionalFormatting sqref="E2055:E2056">
    <cfRule type="cellIs" dxfId="870" priority="908" operator="greaterThan">
      <formula>0</formula>
    </cfRule>
  </conditionalFormatting>
  <conditionalFormatting sqref="E2056:E2057">
    <cfRule type="cellIs" dxfId="869" priority="906" operator="greaterThan">
      <formula>0</formula>
    </cfRule>
  </conditionalFormatting>
  <conditionalFormatting sqref="E2056:E2101">
    <cfRule type="cellIs" dxfId="868" priority="907" operator="greaterThan">
      <formula>0</formula>
    </cfRule>
  </conditionalFormatting>
  <conditionalFormatting sqref="E2098:E2104">
    <cfRule type="cellIs" dxfId="867" priority="904" operator="greaterThan">
      <formula>0</formula>
    </cfRule>
  </conditionalFormatting>
  <conditionalFormatting sqref="E2102:E2104">
    <cfRule type="cellIs" dxfId="866" priority="905" operator="greaterThan">
      <formula>0</formula>
    </cfRule>
  </conditionalFormatting>
  <conditionalFormatting sqref="E2108:E2114">
    <cfRule type="cellIs" dxfId="865" priority="897" operator="greaterThan">
      <formula>0</formula>
    </cfRule>
  </conditionalFormatting>
  <conditionalFormatting sqref="E2108:E2185">
    <cfRule type="cellIs" dxfId="864" priority="889" operator="greaterThan">
      <formula>0</formula>
    </cfRule>
  </conditionalFormatting>
  <conditionalFormatting sqref="E2113">
    <cfRule type="cellIs" dxfId="863" priority="896" operator="greaterThan">
      <formula>0</formula>
    </cfRule>
  </conditionalFormatting>
  <conditionalFormatting sqref="E2115:E2137">
    <cfRule type="cellIs" dxfId="862" priority="895" operator="greaterThan">
      <formula>0</formula>
    </cfRule>
  </conditionalFormatting>
  <conditionalFormatting sqref="E2136:E2137">
    <cfRule type="cellIs" dxfId="861" priority="894" operator="greaterThan">
      <formula>0</formula>
    </cfRule>
  </conditionalFormatting>
  <conditionalFormatting sqref="E2137:E2138">
    <cfRule type="cellIs" dxfId="860" priority="892" operator="greaterThan">
      <formula>0</formula>
    </cfRule>
  </conditionalFormatting>
  <conditionalFormatting sqref="E2137:E2182">
    <cfRule type="cellIs" dxfId="859" priority="893" operator="greaterThan">
      <formula>0</formula>
    </cfRule>
  </conditionalFormatting>
  <conditionalFormatting sqref="E2179:E2185">
    <cfRule type="cellIs" dxfId="858" priority="890" operator="greaterThan">
      <formula>0</formula>
    </cfRule>
  </conditionalFormatting>
  <conditionalFormatting sqref="E2183:E2185">
    <cfRule type="cellIs" dxfId="857" priority="891" operator="greaterThan">
      <formula>0</formula>
    </cfRule>
  </conditionalFormatting>
  <conditionalFormatting sqref="E2189:E2195">
    <cfRule type="cellIs" dxfId="856" priority="883" operator="greaterThan">
      <formula>0</formula>
    </cfRule>
  </conditionalFormatting>
  <conditionalFormatting sqref="E2189:E2266">
    <cfRule type="cellIs" dxfId="855" priority="875" operator="greaterThan">
      <formula>0</formula>
    </cfRule>
  </conditionalFormatting>
  <conditionalFormatting sqref="E2194">
    <cfRule type="cellIs" dxfId="854" priority="882" operator="greaterThan">
      <formula>0</formula>
    </cfRule>
  </conditionalFormatting>
  <conditionalFormatting sqref="E2196:E2218">
    <cfRule type="cellIs" dxfId="853" priority="881" operator="greaterThan">
      <formula>0</formula>
    </cfRule>
  </conditionalFormatting>
  <conditionalFormatting sqref="E2217:E2218">
    <cfRule type="cellIs" dxfId="852" priority="880" operator="greaterThan">
      <formula>0</formula>
    </cfRule>
  </conditionalFormatting>
  <conditionalFormatting sqref="E2218:E2219">
    <cfRule type="cellIs" dxfId="851" priority="878" operator="greaterThan">
      <formula>0</formula>
    </cfRule>
  </conditionalFormatting>
  <conditionalFormatting sqref="E2218:E2263">
    <cfRule type="cellIs" dxfId="850" priority="879" operator="greaterThan">
      <formula>0</formula>
    </cfRule>
  </conditionalFormatting>
  <conditionalFormatting sqref="E2260:E2266">
    <cfRule type="cellIs" dxfId="849" priority="876" operator="greaterThan">
      <formula>0</formula>
    </cfRule>
  </conditionalFormatting>
  <conditionalFormatting sqref="E2264:E2266">
    <cfRule type="cellIs" dxfId="848" priority="877" operator="greaterThan">
      <formula>0</formula>
    </cfRule>
  </conditionalFormatting>
  <conditionalFormatting sqref="E2270:E2276">
    <cfRule type="cellIs" dxfId="847" priority="869" operator="greaterThan">
      <formula>0</formula>
    </cfRule>
  </conditionalFormatting>
  <conditionalFormatting sqref="E2270:E2347">
    <cfRule type="cellIs" dxfId="846" priority="861" operator="greaterThan">
      <formula>0</formula>
    </cfRule>
  </conditionalFormatting>
  <conditionalFormatting sqref="E2275">
    <cfRule type="cellIs" dxfId="845" priority="868" operator="greaterThan">
      <formula>0</formula>
    </cfRule>
  </conditionalFormatting>
  <conditionalFormatting sqref="E2277:E2299">
    <cfRule type="cellIs" dxfId="844" priority="867" operator="greaterThan">
      <formula>0</formula>
    </cfRule>
  </conditionalFormatting>
  <conditionalFormatting sqref="E2298:E2299">
    <cfRule type="cellIs" dxfId="843" priority="866" operator="greaterThan">
      <formula>0</formula>
    </cfRule>
  </conditionalFormatting>
  <conditionalFormatting sqref="E2299:E2300">
    <cfRule type="cellIs" dxfId="842" priority="864" operator="greaterThan">
      <formula>0</formula>
    </cfRule>
  </conditionalFormatting>
  <conditionalFormatting sqref="E2299:E2344">
    <cfRule type="cellIs" dxfId="841" priority="865" operator="greaterThan">
      <formula>0</formula>
    </cfRule>
  </conditionalFormatting>
  <conditionalFormatting sqref="E2341:E2347">
    <cfRule type="cellIs" dxfId="840" priority="862" operator="greaterThan">
      <formula>0</formula>
    </cfRule>
  </conditionalFormatting>
  <conditionalFormatting sqref="E2345:E2347">
    <cfRule type="cellIs" dxfId="839" priority="863" operator="greaterThan">
      <formula>0</formula>
    </cfRule>
  </conditionalFormatting>
  <conditionalFormatting sqref="E2351:E2357">
    <cfRule type="cellIs" dxfId="838" priority="855" operator="greaterThan">
      <formula>0</formula>
    </cfRule>
  </conditionalFormatting>
  <conditionalFormatting sqref="E2351:E2428">
    <cfRule type="cellIs" dxfId="837" priority="847" operator="greaterThan">
      <formula>0</formula>
    </cfRule>
  </conditionalFormatting>
  <conditionalFormatting sqref="E2356">
    <cfRule type="cellIs" dxfId="836" priority="854" operator="greaterThan">
      <formula>0</formula>
    </cfRule>
  </conditionalFormatting>
  <conditionalFormatting sqref="E2358:E2380">
    <cfRule type="cellIs" dxfId="835" priority="853" operator="greaterThan">
      <formula>0</formula>
    </cfRule>
  </conditionalFormatting>
  <conditionalFormatting sqref="E2379:E2380">
    <cfRule type="cellIs" dxfId="834" priority="852" operator="greaterThan">
      <formula>0</formula>
    </cfRule>
  </conditionalFormatting>
  <conditionalFormatting sqref="E2380:E2381">
    <cfRule type="cellIs" dxfId="833" priority="850" operator="greaterThan">
      <formula>0</formula>
    </cfRule>
  </conditionalFormatting>
  <conditionalFormatting sqref="E2380:E2425">
    <cfRule type="cellIs" dxfId="832" priority="851" operator="greaterThan">
      <formula>0</formula>
    </cfRule>
  </conditionalFormatting>
  <conditionalFormatting sqref="E2422:E2428">
    <cfRule type="cellIs" dxfId="831" priority="848" operator="greaterThan">
      <formula>0</formula>
    </cfRule>
  </conditionalFormatting>
  <conditionalFormatting sqref="E2426:E2428">
    <cfRule type="cellIs" dxfId="830" priority="849" operator="greaterThan">
      <formula>0</formula>
    </cfRule>
  </conditionalFormatting>
  <conditionalFormatting sqref="E2432:E2438">
    <cfRule type="cellIs" dxfId="829" priority="841" operator="greaterThan">
      <formula>0</formula>
    </cfRule>
  </conditionalFormatting>
  <conditionalFormatting sqref="E2432:E2509">
    <cfRule type="cellIs" dxfId="828" priority="833" operator="greaterThan">
      <formula>0</formula>
    </cfRule>
  </conditionalFormatting>
  <conditionalFormatting sqref="E2437">
    <cfRule type="cellIs" dxfId="827" priority="840" operator="greaterThan">
      <formula>0</formula>
    </cfRule>
  </conditionalFormatting>
  <conditionalFormatting sqref="E2439:E2461">
    <cfRule type="cellIs" dxfId="826" priority="839" operator="greaterThan">
      <formula>0</formula>
    </cfRule>
  </conditionalFormatting>
  <conditionalFormatting sqref="E2460:E2461">
    <cfRule type="cellIs" dxfId="825" priority="838" operator="greaterThan">
      <formula>0</formula>
    </cfRule>
  </conditionalFormatting>
  <conditionalFormatting sqref="E2461:E2462">
    <cfRule type="cellIs" dxfId="824" priority="836" operator="greaterThan">
      <formula>0</formula>
    </cfRule>
  </conditionalFormatting>
  <conditionalFormatting sqref="E2461:E2506">
    <cfRule type="cellIs" dxfId="823" priority="837" operator="greaterThan">
      <formula>0</formula>
    </cfRule>
  </conditionalFormatting>
  <conditionalFormatting sqref="E2503:E2509">
    <cfRule type="cellIs" dxfId="822" priority="834" operator="greaterThan">
      <formula>0</formula>
    </cfRule>
  </conditionalFormatting>
  <conditionalFormatting sqref="E2507:E2509">
    <cfRule type="cellIs" dxfId="821" priority="835" operator="greaterThan">
      <formula>0</formula>
    </cfRule>
  </conditionalFormatting>
  <conditionalFormatting sqref="E2513:E2519">
    <cfRule type="cellIs" dxfId="820" priority="827" operator="greaterThan">
      <formula>0</formula>
    </cfRule>
  </conditionalFormatting>
  <conditionalFormatting sqref="E2513:E2590">
    <cfRule type="cellIs" dxfId="819" priority="819" operator="greaterThan">
      <formula>0</formula>
    </cfRule>
  </conditionalFormatting>
  <conditionalFormatting sqref="E2518">
    <cfRule type="cellIs" dxfId="818" priority="826" operator="greaterThan">
      <formula>0</formula>
    </cfRule>
  </conditionalFormatting>
  <conditionalFormatting sqref="E2520:E2542">
    <cfRule type="cellIs" dxfId="817" priority="825" operator="greaterThan">
      <formula>0</formula>
    </cfRule>
  </conditionalFormatting>
  <conditionalFormatting sqref="E2541:E2542">
    <cfRule type="cellIs" dxfId="816" priority="824" operator="greaterThan">
      <formula>0</formula>
    </cfRule>
  </conditionalFormatting>
  <conditionalFormatting sqref="E2542:E2543">
    <cfRule type="cellIs" dxfId="815" priority="822" operator="greaterThan">
      <formula>0</formula>
    </cfRule>
  </conditionalFormatting>
  <conditionalFormatting sqref="E2542:E2587">
    <cfRule type="cellIs" dxfId="814" priority="823" operator="greaterThan">
      <formula>0</formula>
    </cfRule>
  </conditionalFormatting>
  <conditionalFormatting sqref="E2584:E2590">
    <cfRule type="cellIs" dxfId="813" priority="820" operator="greaterThan">
      <formula>0</formula>
    </cfRule>
  </conditionalFormatting>
  <conditionalFormatting sqref="E2588:E2590">
    <cfRule type="cellIs" dxfId="812" priority="821" operator="greaterThan">
      <formula>0</formula>
    </cfRule>
  </conditionalFormatting>
  <conditionalFormatting sqref="E2594:E2600">
    <cfRule type="cellIs" dxfId="811" priority="813" operator="greaterThan">
      <formula>0</formula>
    </cfRule>
  </conditionalFormatting>
  <conditionalFormatting sqref="E2594:E2671">
    <cfRule type="cellIs" dxfId="810" priority="805" operator="greaterThan">
      <formula>0</formula>
    </cfRule>
  </conditionalFormatting>
  <conditionalFormatting sqref="E2599">
    <cfRule type="cellIs" dxfId="809" priority="812" operator="greaterThan">
      <formula>0</formula>
    </cfRule>
  </conditionalFormatting>
  <conditionalFormatting sqref="E2601:E2623">
    <cfRule type="cellIs" dxfId="808" priority="811" operator="greaterThan">
      <formula>0</formula>
    </cfRule>
  </conditionalFormatting>
  <conditionalFormatting sqref="E2622:E2623">
    <cfRule type="cellIs" dxfId="807" priority="810" operator="greaterThan">
      <formula>0</formula>
    </cfRule>
  </conditionalFormatting>
  <conditionalFormatting sqref="E2623:E2624">
    <cfRule type="cellIs" dxfId="806" priority="808" operator="greaterThan">
      <formula>0</formula>
    </cfRule>
  </conditionalFormatting>
  <conditionalFormatting sqref="E2623:E2668">
    <cfRule type="cellIs" dxfId="805" priority="809" operator="greaterThan">
      <formula>0</formula>
    </cfRule>
  </conditionalFormatting>
  <conditionalFormatting sqref="E2665:E2671">
    <cfRule type="cellIs" dxfId="804" priority="806" operator="greaterThan">
      <formula>0</formula>
    </cfRule>
  </conditionalFormatting>
  <conditionalFormatting sqref="E2669:E2671">
    <cfRule type="cellIs" dxfId="803" priority="807" operator="greaterThan">
      <formula>0</formula>
    </cfRule>
  </conditionalFormatting>
  <conditionalFormatting sqref="E2675:E2681">
    <cfRule type="cellIs" dxfId="802" priority="799" operator="greaterThan">
      <formula>0</formula>
    </cfRule>
  </conditionalFormatting>
  <conditionalFormatting sqref="E2675:E2752">
    <cfRule type="cellIs" dxfId="801" priority="791" operator="greaterThan">
      <formula>0</formula>
    </cfRule>
  </conditionalFormatting>
  <conditionalFormatting sqref="E2680">
    <cfRule type="cellIs" dxfId="800" priority="798" operator="greaterThan">
      <formula>0</formula>
    </cfRule>
  </conditionalFormatting>
  <conditionalFormatting sqref="E2682:E2704">
    <cfRule type="cellIs" dxfId="799" priority="797" operator="greaterThan">
      <formula>0</formula>
    </cfRule>
  </conditionalFormatting>
  <conditionalFormatting sqref="E2703:E2704">
    <cfRule type="cellIs" dxfId="798" priority="796" operator="greaterThan">
      <formula>0</formula>
    </cfRule>
  </conditionalFormatting>
  <conditionalFormatting sqref="E2704:E2705">
    <cfRule type="cellIs" dxfId="797" priority="794" operator="greaterThan">
      <formula>0</formula>
    </cfRule>
  </conditionalFormatting>
  <conditionalFormatting sqref="E2704:E2749">
    <cfRule type="cellIs" dxfId="796" priority="795" operator="greaterThan">
      <formula>0</formula>
    </cfRule>
  </conditionalFormatting>
  <conditionalFormatting sqref="E2746:E2752">
    <cfRule type="cellIs" dxfId="795" priority="792" operator="greaterThan">
      <formula>0</formula>
    </cfRule>
  </conditionalFormatting>
  <conditionalFormatting sqref="E2750:E2752">
    <cfRule type="cellIs" dxfId="794" priority="793" operator="greaterThan">
      <formula>0</formula>
    </cfRule>
  </conditionalFormatting>
  <conditionalFormatting sqref="E2756:E2762">
    <cfRule type="cellIs" dxfId="793" priority="785" operator="greaterThan">
      <formula>0</formula>
    </cfRule>
  </conditionalFormatting>
  <conditionalFormatting sqref="E2756:E2833">
    <cfRule type="cellIs" dxfId="792" priority="777" operator="greaterThan">
      <formula>0</formula>
    </cfRule>
  </conditionalFormatting>
  <conditionalFormatting sqref="E2761">
    <cfRule type="cellIs" dxfId="791" priority="784" operator="greaterThan">
      <formula>0</formula>
    </cfRule>
  </conditionalFormatting>
  <conditionalFormatting sqref="E2763:E2785">
    <cfRule type="cellIs" dxfId="790" priority="783" operator="greaterThan">
      <formula>0</formula>
    </cfRule>
  </conditionalFormatting>
  <conditionalFormatting sqref="E2784:E2785">
    <cfRule type="cellIs" dxfId="789" priority="782" operator="greaterThan">
      <formula>0</formula>
    </cfRule>
  </conditionalFormatting>
  <conditionalFormatting sqref="E2785:E2786">
    <cfRule type="cellIs" dxfId="788" priority="780" operator="greaterThan">
      <formula>0</formula>
    </cfRule>
  </conditionalFormatting>
  <conditionalFormatting sqref="E2785:E2830">
    <cfRule type="cellIs" dxfId="787" priority="781" operator="greaterThan">
      <formula>0</formula>
    </cfRule>
  </conditionalFormatting>
  <conditionalFormatting sqref="E2827:E2833">
    <cfRule type="cellIs" dxfId="786" priority="778" operator="greaterThan">
      <formula>0</formula>
    </cfRule>
  </conditionalFormatting>
  <conditionalFormatting sqref="E2831:E2833">
    <cfRule type="cellIs" dxfId="785" priority="779" operator="greaterThan">
      <formula>0</formula>
    </cfRule>
  </conditionalFormatting>
  <conditionalFormatting sqref="E2837:E2843">
    <cfRule type="cellIs" dxfId="784" priority="771" operator="greaterThan">
      <formula>0</formula>
    </cfRule>
  </conditionalFormatting>
  <conditionalFormatting sqref="E2837:E2914">
    <cfRule type="cellIs" dxfId="783" priority="763" operator="greaterThan">
      <formula>0</formula>
    </cfRule>
  </conditionalFormatting>
  <conditionalFormatting sqref="E2842">
    <cfRule type="cellIs" dxfId="782" priority="770" operator="greaterThan">
      <formula>0</formula>
    </cfRule>
  </conditionalFormatting>
  <conditionalFormatting sqref="E2844:E2866">
    <cfRule type="cellIs" dxfId="781" priority="769" operator="greaterThan">
      <formula>0</formula>
    </cfRule>
  </conditionalFormatting>
  <conditionalFormatting sqref="E2865:E2866">
    <cfRule type="cellIs" dxfId="780" priority="768" operator="greaterThan">
      <formula>0</formula>
    </cfRule>
  </conditionalFormatting>
  <conditionalFormatting sqref="E2866:E2867">
    <cfRule type="cellIs" dxfId="779" priority="766" operator="greaterThan">
      <formula>0</formula>
    </cfRule>
  </conditionalFormatting>
  <conditionalFormatting sqref="E2866:E2911">
    <cfRule type="cellIs" dxfId="778" priority="767" operator="greaterThan">
      <formula>0</formula>
    </cfRule>
  </conditionalFormatting>
  <conditionalFormatting sqref="E2908:E2914">
    <cfRule type="cellIs" dxfId="777" priority="764" operator="greaterThan">
      <formula>0</formula>
    </cfRule>
  </conditionalFormatting>
  <conditionalFormatting sqref="E2912:E2914">
    <cfRule type="cellIs" dxfId="776" priority="765" operator="greaterThan">
      <formula>0</formula>
    </cfRule>
  </conditionalFormatting>
  <conditionalFormatting sqref="E2918:E2924">
    <cfRule type="cellIs" dxfId="775" priority="757" operator="greaterThan">
      <formula>0</formula>
    </cfRule>
  </conditionalFormatting>
  <conditionalFormatting sqref="E2918:E2995">
    <cfRule type="cellIs" dxfId="774" priority="749" operator="greaterThan">
      <formula>0</formula>
    </cfRule>
  </conditionalFormatting>
  <conditionalFormatting sqref="E2923">
    <cfRule type="cellIs" dxfId="773" priority="756" operator="greaterThan">
      <formula>0</formula>
    </cfRule>
  </conditionalFormatting>
  <conditionalFormatting sqref="E2925:E2947">
    <cfRule type="cellIs" dxfId="772" priority="755" operator="greaterThan">
      <formula>0</formula>
    </cfRule>
  </conditionalFormatting>
  <conditionalFormatting sqref="E2946:E2947">
    <cfRule type="cellIs" dxfId="771" priority="754" operator="greaterThan">
      <formula>0</formula>
    </cfRule>
  </conditionalFormatting>
  <conditionalFormatting sqref="E2947:E2948">
    <cfRule type="cellIs" dxfId="770" priority="752" operator="greaterThan">
      <formula>0</formula>
    </cfRule>
  </conditionalFormatting>
  <conditionalFormatting sqref="E2947:E2992">
    <cfRule type="cellIs" dxfId="769" priority="753" operator="greaterThan">
      <formula>0</formula>
    </cfRule>
  </conditionalFormatting>
  <conditionalFormatting sqref="E2989:E2995">
    <cfRule type="cellIs" dxfId="768" priority="750" operator="greaterThan">
      <formula>0</formula>
    </cfRule>
  </conditionalFormatting>
  <conditionalFormatting sqref="E2993:E2995">
    <cfRule type="cellIs" dxfId="767" priority="751" operator="greaterThan">
      <formula>0</formula>
    </cfRule>
  </conditionalFormatting>
  <conditionalFormatting sqref="E2999:E3005">
    <cfRule type="cellIs" dxfId="766" priority="743" operator="greaterThan">
      <formula>0</formula>
    </cfRule>
  </conditionalFormatting>
  <conditionalFormatting sqref="E2999:E3076">
    <cfRule type="cellIs" dxfId="765" priority="735" operator="greaterThan">
      <formula>0</formula>
    </cfRule>
  </conditionalFormatting>
  <conditionalFormatting sqref="E3004">
    <cfRule type="cellIs" dxfId="764" priority="742" operator="greaterThan">
      <formula>0</formula>
    </cfRule>
  </conditionalFormatting>
  <conditionalFormatting sqref="E3006:E3028">
    <cfRule type="cellIs" dxfId="763" priority="741" operator="greaterThan">
      <formula>0</formula>
    </cfRule>
  </conditionalFormatting>
  <conditionalFormatting sqref="E3027:E3028">
    <cfRule type="cellIs" dxfId="762" priority="740" operator="greaterThan">
      <formula>0</formula>
    </cfRule>
  </conditionalFormatting>
  <conditionalFormatting sqref="E3028:E3029">
    <cfRule type="cellIs" dxfId="761" priority="738" operator="greaterThan">
      <formula>0</formula>
    </cfRule>
  </conditionalFormatting>
  <conditionalFormatting sqref="E3028:E3073">
    <cfRule type="cellIs" dxfId="760" priority="739" operator="greaterThan">
      <formula>0</formula>
    </cfRule>
  </conditionalFormatting>
  <conditionalFormatting sqref="E3070:E3076">
    <cfRule type="cellIs" dxfId="759" priority="736" operator="greaterThan">
      <formula>0</formula>
    </cfRule>
  </conditionalFormatting>
  <conditionalFormatting sqref="E3074:E3076">
    <cfRule type="cellIs" dxfId="758" priority="737" operator="greaterThan">
      <formula>0</formula>
    </cfRule>
  </conditionalFormatting>
  <conditionalFormatting sqref="E3080:E3086">
    <cfRule type="cellIs" dxfId="757" priority="729" operator="greaterThan">
      <formula>0</formula>
    </cfRule>
  </conditionalFormatting>
  <conditionalFormatting sqref="E3080:E3157">
    <cfRule type="cellIs" dxfId="756" priority="721" operator="greaterThan">
      <formula>0</formula>
    </cfRule>
  </conditionalFormatting>
  <conditionalFormatting sqref="E3085">
    <cfRule type="cellIs" dxfId="755" priority="728" operator="greaterThan">
      <formula>0</formula>
    </cfRule>
  </conditionalFormatting>
  <conditionalFormatting sqref="E3087:E3109">
    <cfRule type="cellIs" dxfId="754" priority="727" operator="greaterThan">
      <formula>0</formula>
    </cfRule>
  </conditionalFormatting>
  <conditionalFormatting sqref="E3108:E3109">
    <cfRule type="cellIs" dxfId="753" priority="726" operator="greaterThan">
      <formula>0</formula>
    </cfRule>
  </conditionalFormatting>
  <conditionalFormatting sqref="E3109:E3110">
    <cfRule type="cellIs" dxfId="752" priority="724" operator="greaterThan">
      <formula>0</formula>
    </cfRule>
  </conditionalFormatting>
  <conditionalFormatting sqref="E3109:E3154">
    <cfRule type="cellIs" dxfId="751" priority="725" operator="greaterThan">
      <formula>0</formula>
    </cfRule>
  </conditionalFormatting>
  <conditionalFormatting sqref="E3151:E3157">
    <cfRule type="cellIs" dxfId="750" priority="722" operator="greaterThan">
      <formula>0</formula>
    </cfRule>
  </conditionalFormatting>
  <conditionalFormatting sqref="E3155:E3157">
    <cfRule type="cellIs" dxfId="749" priority="723" operator="greaterThan">
      <formula>0</formula>
    </cfRule>
  </conditionalFormatting>
  <conditionalFormatting sqref="E3161:E3167">
    <cfRule type="cellIs" dxfId="748" priority="715" operator="greaterThan">
      <formula>0</formula>
    </cfRule>
  </conditionalFormatting>
  <conditionalFormatting sqref="E3161:E3238">
    <cfRule type="cellIs" dxfId="747" priority="707" operator="greaterThan">
      <formula>0</formula>
    </cfRule>
  </conditionalFormatting>
  <conditionalFormatting sqref="E3166">
    <cfRule type="cellIs" dxfId="746" priority="714" operator="greaterThan">
      <formula>0</formula>
    </cfRule>
  </conditionalFormatting>
  <conditionalFormatting sqref="E3168:E3190">
    <cfRule type="cellIs" dxfId="745" priority="713" operator="greaterThan">
      <formula>0</formula>
    </cfRule>
  </conditionalFormatting>
  <conditionalFormatting sqref="E3189:E3190">
    <cfRule type="cellIs" dxfId="744" priority="712" operator="greaterThan">
      <formula>0</formula>
    </cfRule>
  </conditionalFormatting>
  <conditionalFormatting sqref="E3190:E3191">
    <cfRule type="cellIs" dxfId="743" priority="710" operator="greaterThan">
      <formula>0</formula>
    </cfRule>
  </conditionalFormatting>
  <conditionalFormatting sqref="E3190:E3235">
    <cfRule type="cellIs" dxfId="742" priority="711" operator="greaterThan">
      <formula>0</formula>
    </cfRule>
  </conditionalFormatting>
  <conditionalFormatting sqref="E3232:E3238">
    <cfRule type="cellIs" dxfId="741" priority="708" operator="greaterThan">
      <formula>0</formula>
    </cfRule>
  </conditionalFormatting>
  <conditionalFormatting sqref="E3236:E3238">
    <cfRule type="cellIs" dxfId="740" priority="709" operator="greaterThan">
      <formula>0</formula>
    </cfRule>
  </conditionalFormatting>
  <conditionalFormatting sqref="E3242:E3248">
    <cfRule type="cellIs" dxfId="739" priority="701" operator="greaterThan">
      <formula>0</formula>
    </cfRule>
  </conditionalFormatting>
  <conditionalFormatting sqref="E3242:E3319">
    <cfRule type="cellIs" dxfId="738" priority="693" operator="greaterThan">
      <formula>0</formula>
    </cfRule>
  </conditionalFormatting>
  <conditionalFormatting sqref="E3247">
    <cfRule type="cellIs" dxfId="737" priority="700" operator="greaterThan">
      <formula>0</formula>
    </cfRule>
  </conditionalFormatting>
  <conditionalFormatting sqref="E3249:E3271">
    <cfRule type="cellIs" dxfId="736" priority="699" operator="greaterThan">
      <formula>0</formula>
    </cfRule>
  </conditionalFormatting>
  <conditionalFormatting sqref="E3270:E3271">
    <cfRule type="cellIs" dxfId="735" priority="698" operator="greaterThan">
      <formula>0</formula>
    </cfRule>
  </conditionalFormatting>
  <conditionalFormatting sqref="E3271:E3272">
    <cfRule type="cellIs" dxfId="734" priority="696" operator="greaterThan">
      <formula>0</formula>
    </cfRule>
  </conditionalFormatting>
  <conditionalFormatting sqref="E3271:E3316">
    <cfRule type="cellIs" dxfId="733" priority="697" operator="greaterThan">
      <formula>0</formula>
    </cfRule>
  </conditionalFormatting>
  <conditionalFormatting sqref="E3313:E3319">
    <cfRule type="cellIs" dxfId="732" priority="694" operator="greaterThan">
      <formula>0</formula>
    </cfRule>
  </conditionalFormatting>
  <conditionalFormatting sqref="E3317:E3319">
    <cfRule type="cellIs" dxfId="731" priority="695" operator="greaterThan">
      <formula>0</formula>
    </cfRule>
  </conditionalFormatting>
  <conditionalFormatting sqref="E3323:E3329">
    <cfRule type="cellIs" dxfId="730" priority="687" operator="greaterThan">
      <formula>0</formula>
    </cfRule>
  </conditionalFormatting>
  <conditionalFormatting sqref="E3323:E3400">
    <cfRule type="cellIs" dxfId="729" priority="679" operator="greaterThan">
      <formula>0</formula>
    </cfRule>
  </conditionalFormatting>
  <conditionalFormatting sqref="E3328">
    <cfRule type="cellIs" dxfId="728" priority="686" operator="greaterThan">
      <formula>0</formula>
    </cfRule>
  </conditionalFormatting>
  <conditionalFormatting sqref="E3330:E3352">
    <cfRule type="cellIs" dxfId="727" priority="685" operator="greaterThan">
      <formula>0</formula>
    </cfRule>
  </conditionalFormatting>
  <conditionalFormatting sqref="E3351:E3352">
    <cfRule type="cellIs" dxfId="726" priority="684" operator="greaterThan">
      <formula>0</formula>
    </cfRule>
  </conditionalFormatting>
  <conditionalFormatting sqref="E3352:E3353">
    <cfRule type="cellIs" dxfId="725" priority="682" operator="greaterThan">
      <formula>0</formula>
    </cfRule>
  </conditionalFormatting>
  <conditionalFormatting sqref="E3352:E3397">
    <cfRule type="cellIs" dxfId="724" priority="683" operator="greaterThan">
      <formula>0</formula>
    </cfRule>
  </conditionalFormatting>
  <conditionalFormatting sqref="E3394:E3400">
    <cfRule type="cellIs" dxfId="723" priority="680" operator="greaterThan">
      <formula>0</formula>
    </cfRule>
  </conditionalFormatting>
  <conditionalFormatting sqref="E3398:E3400">
    <cfRule type="cellIs" dxfId="722" priority="681" operator="greaterThan">
      <formula>0</formula>
    </cfRule>
  </conditionalFormatting>
  <conditionalFormatting sqref="E3404:E3410">
    <cfRule type="cellIs" dxfId="721" priority="673" operator="greaterThan">
      <formula>0</formula>
    </cfRule>
  </conditionalFormatting>
  <conditionalFormatting sqref="E3404:E3481">
    <cfRule type="cellIs" dxfId="720" priority="665" operator="greaterThan">
      <formula>0</formula>
    </cfRule>
  </conditionalFormatting>
  <conditionalFormatting sqref="E3409">
    <cfRule type="cellIs" dxfId="719" priority="672" operator="greaterThan">
      <formula>0</formula>
    </cfRule>
  </conditionalFormatting>
  <conditionalFormatting sqref="E3411:E3433">
    <cfRule type="cellIs" dxfId="718" priority="671" operator="greaterThan">
      <formula>0</formula>
    </cfRule>
  </conditionalFormatting>
  <conditionalFormatting sqref="E3432:E3433">
    <cfRule type="cellIs" dxfId="717" priority="670" operator="greaterThan">
      <formula>0</formula>
    </cfRule>
  </conditionalFormatting>
  <conditionalFormatting sqref="E3433:E3434">
    <cfRule type="cellIs" dxfId="716" priority="668" operator="greaterThan">
      <formula>0</formula>
    </cfRule>
  </conditionalFormatting>
  <conditionalFormatting sqref="E3433:E3478">
    <cfRule type="cellIs" dxfId="715" priority="669" operator="greaterThan">
      <formula>0</formula>
    </cfRule>
  </conditionalFormatting>
  <conditionalFormatting sqref="E3475:E3481">
    <cfRule type="cellIs" dxfId="714" priority="666" operator="greaterThan">
      <formula>0</formula>
    </cfRule>
  </conditionalFormatting>
  <conditionalFormatting sqref="E3479:E3481">
    <cfRule type="cellIs" dxfId="713" priority="667" operator="greaterThan">
      <formula>0</formula>
    </cfRule>
  </conditionalFormatting>
  <conditionalFormatting sqref="E3485:E3491">
    <cfRule type="cellIs" dxfId="712" priority="659" operator="greaterThan">
      <formula>0</formula>
    </cfRule>
  </conditionalFormatting>
  <conditionalFormatting sqref="E3485:E3562">
    <cfRule type="cellIs" dxfId="711" priority="651" operator="greaterThan">
      <formula>0</formula>
    </cfRule>
  </conditionalFormatting>
  <conditionalFormatting sqref="E3490">
    <cfRule type="cellIs" dxfId="710" priority="658" operator="greaterThan">
      <formula>0</formula>
    </cfRule>
  </conditionalFormatting>
  <conditionalFormatting sqref="E3492:E3514">
    <cfRule type="cellIs" dxfId="709" priority="657" operator="greaterThan">
      <formula>0</formula>
    </cfRule>
  </conditionalFormatting>
  <conditionalFormatting sqref="E3513:E3514">
    <cfRule type="cellIs" dxfId="708" priority="656" operator="greaterThan">
      <formula>0</formula>
    </cfRule>
  </conditionalFormatting>
  <conditionalFormatting sqref="E3514:E3515">
    <cfRule type="cellIs" dxfId="707" priority="654" operator="greaterThan">
      <formula>0</formula>
    </cfRule>
  </conditionalFormatting>
  <conditionalFormatting sqref="E3514:E3559">
    <cfRule type="cellIs" dxfId="706" priority="655" operator="greaterThan">
      <formula>0</formula>
    </cfRule>
  </conditionalFormatting>
  <conditionalFormatting sqref="E3556:E3562">
    <cfRule type="cellIs" dxfId="705" priority="652" operator="greaterThan">
      <formula>0</formula>
    </cfRule>
  </conditionalFormatting>
  <conditionalFormatting sqref="E3560:E3562">
    <cfRule type="cellIs" dxfId="704" priority="653" operator="greaterThan">
      <formula>0</formula>
    </cfRule>
  </conditionalFormatting>
  <conditionalFormatting sqref="E3566:E3572">
    <cfRule type="cellIs" dxfId="703" priority="645" operator="greaterThan">
      <formula>0</formula>
    </cfRule>
  </conditionalFormatting>
  <conditionalFormatting sqref="E3566:E3643">
    <cfRule type="cellIs" dxfId="702" priority="637" operator="greaterThan">
      <formula>0</formula>
    </cfRule>
  </conditionalFormatting>
  <conditionalFormatting sqref="E3571">
    <cfRule type="cellIs" dxfId="701" priority="644" operator="greaterThan">
      <formula>0</formula>
    </cfRule>
  </conditionalFormatting>
  <conditionalFormatting sqref="E3573:E3595">
    <cfRule type="cellIs" dxfId="700" priority="643" operator="greaterThan">
      <formula>0</formula>
    </cfRule>
  </conditionalFormatting>
  <conditionalFormatting sqref="E3594:E3595">
    <cfRule type="cellIs" dxfId="699" priority="642" operator="greaterThan">
      <formula>0</formula>
    </cfRule>
  </conditionalFormatting>
  <conditionalFormatting sqref="E3595:E3596">
    <cfRule type="cellIs" dxfId="698" priority="640" operator="greaterThan">
      <formula>0</formula>
    </cfRule>
  </conditionalFormatting>
  <conditionalFormatting sqref="E3595:E3640">
    <cfRule type="cellIs" dxfId="697" priority="641" operator="greaterThan">
      <formula>0</formula>
    </cfRule>
  </conditionalFormatting>
  <conditionalFormatting sqref="E3637:E3643">
    <cfRule type="cellIs" dxfId="696" priority="638" operator="greaterThan">
      <formula>0</formula>
    </cfRule>
  </conditionalFormatting>
  <conditionalFormatting sqref="E3641:E3643">
    <cfRule type="cellIs" dxfId="695" priority="639" operator="greaterThan">
      <formula>0</formula>
    </cfRule>
  </conditionalFormatting>
  <conditionalFormatting sqref="E3647:E3653">
    <cfRule type="cellIs" dxfId="694" priority="631" operator="greaterThan">
      <formula>0</formula>
    </cfRule>
  </conditionalFormatting>
  <conditionalFormatting sqref="E3647:E3724">
    <cfRule type="cellIs" dxfId="693" priority="623" operator="greaterThan">
      <formula>0</formula>
    </cfRule>
  </conditionalFormatting>
  <conditionalFormatting sqref="E3652">
    <cfRule type="cellIs" dxfId="692" priority="630" operator="greaterThan">
      <formula>0</formula>
    </cfRule>
  </conditionalFormatting>
  <conditionalFormatting sqref="E3654:E3676">
    <cfRule type="cellIs" dxfId="691" priority="629" operator="greaterThan">
      <formula>0</formula>
    </cfRule>
  </conditionalFormatting>
  <conditionalFormatting sqref="E3675:E3676">
    <cfRule type="cellIs" dxfId="690" priority="628" operator="greaterThan">
      <formula>0</formula>
    </cfRule>
  </conditionalFormatting>
  <conditionalFormatting sqref="E3676:E3677">
    <cfRule type="cellIs" dxfId="689" priority="626" operator="greaterThan">
      <formula>0</formula>
    </cfRule>
  </conditionalFormatting>
  <conditionalFormatting sqref="E3676:E3721">
    <cfRule type="cellIs" dxfId="688" priority="627" operator="greaterThan">
      <formula>0</formula>
    </cfRule>
  </conditionalFormatting>
  <conditionalFormatting sqref="E3718:E3724">
    <cfRule type="cellIs" dxfId="687" priority="624" operator="greaterThan">
      <formula>0</formula>
    </cfRule>
  </conditionalFormatting>
  <conditionalFormatting sqref="E3722:E3724">
    <cfRule type="cellIs" dxfId="686" priority="625" operator="greaterThan">
      <formula>0</formula>
    </cfRule>
  </conditionalFormatting>
  <conditionalFormatting sqref="E3728:E3734">
    <cfRule type="cellIs" dxfId="685" priority="617" operator="greaterThan">
      <formula>0</formula>
    </cfRule>
  </conditionalFormatting>
  <conditionalFormatting sqref="E3728:E3805">
    <cfRule type="cellIs" dxfId="684" priority="609" operator="greaterThan">
      <formula>0</formula>
    </cfRule>
  </conditionalFormatting>
  <conditionalFormatting sqref="E3733">
    <cfRule type="cellIs" dxfId="683" priority="616" operator="greaterThan">
      <formula>0</formula>
    </cfRule>
  </conditionalFormatting>
  <conditionalFormatting sqref="E3735:E3757">
    <cfRule type="cellIs" dxfId="682" priority="615" operator="greaterThan">
      <formula>0</formula>
    </cfRule>
  </conditionalFormatting>
  <conditionalFormatting sqref="E3756:E3757">
    <cfRule type="cellIs" dxfId="681" priority="614" operator="greaterThan">
      <formula>0</formula>
    </cfRule>
  </conditionalFormatting>
  <conditionalFormatting sqref="E3757:E3758">
    <cfRule type="cellIs" dxfId="680" priority="612" operator="greaterThan">
      <formula>0</formula>
    </cfRule>
  </conditionalFormatting>
  <conditionalFormatting sqref="E3757:E3802">
    <cfRule type="cellIs" dxfId="679" priority="613" operator="greaterThan">
      <formula>0</formula>
    </cfRule>
  </conditionalFormatting>
  <conditionalFormatting sqref="E3799:E3805">
    <cfRule type="cellIs" dxfId="678" priority="610" operator="greaterThan">
      <formula>0</formula>
    </cfRule>
  </conditionalFormatting>
  <conditionalFormatting sqref="E3803:E3805">
    <cfRule type="cellIs" dxfId="677" priority="611" operator="greaterThan">
      <formula>0</formula>
    </cfRule>
  </conditionalFormatting>
  <conditionalFormatting sqref="E3809:E3815">
    <cfRule type="cellIs" dxfId="676" priority="603" operator="greaterThan">
      <formula>0</formula>
    </cfRule>
  </conditionalFormatting>
  <conditionalFormatting sqref="E3809:E3886">
    <cfRule type="cellIs" dxfId="675" priority="595" operator="greaterThan">
      <formula>0</formula>
    </cfRule>
  </conditionalFormatting>
  <conditionalFormatting sqref="E3814">
    <cfRule type="cellIs" dxfId="674" priority="602" operator="greaterThan">
      <formula>0</formula>
    </cfRule>
  </conditionalFormatting>
  <conditionalFormatting sqref="E3816:E3838">
    <cfRule type="cellIs" dxfId="673" priority="601" operator="greaterThan">
      <formula>0</formula>
    </cfRule>
  </conditionalFormatting>
  <conditionalFormatting sqref="E3837:E3838">
    <cfRule type="cellIs" dxfId="672" priority="600" operator="greaterThan">
      <formula>0</formula>
    </cfRule>
  </conditionalFormatting>
  <conditionalFormatting sqref="E3838:E3839">
    <cfRule type="cellIs" dxfId="671" priority="598" operator="greaterThan">
      <formula>0</formula>
    </cfRule>
  </conditionalFormatting>
  <conditionalFormatting sqref="E3838:E3883">
    <cfRule type="cellIs" dxfId="670" priority="599" operator="greaterThan">
      <formula>0</formula>
    </cfRule>
  </conditionalFormatting>
  <conditionalFormatting sqref="E3880:E3886">
    <cfRule type="cellIs" dxfId="669" priority="596" operator="greaterThan">
      <formula>0</formula>
    </cfRule>
  </conditionalFormatting>
  <conditionalFormatting sqref="E3884:E3886">
    <cfRule type="cellIs" dxfId="668" priority="597" operator="greaterThan">
      <formula>0</formula>
    </cfRule>
  </conditionalFormatting>
  <conditionalFormatting sqref="E3890:E3896">
    <cfRule type="cellIs" dxfId="667" priority="589" operator="greaterThan">
      <formula>0</formula>
    </cfRule>
  </conditionalFormatting>
  <conditionalFormatting sqref="E3890:E3967">
    <cfRule type="cellIs" dxfId="666" priority="581" operator="greaterThan">
      <formula>0</formula>
    </cfRule>
  </conditionalFormatting>
  <conditionalFormatting sqref="E3895">
    <cfRule type="cellIs" dxfId="665" priority="588" operator="greaterThan">
      <formula>0</formula>
    </cfRule>
  </conditionalFormatting>
  <conditionalFormatting sqref="E3897:E3919">
    <cfRule type="cellIs" dxfId="664" priority="587" operator="greaterThan">
      <formula>0</formula>
    </cfRule>
  </conditionalFormatting>
  <conditionalFormatting sqref="E3918:E3919">
    <cfRule type="cellIs" dxfId="663" priority="586" operator="greaterThan">
      <formula>0</formula>
    </cfRule>
  </conditionalFormatting>
  <conditionalFormatting sqref="E3919:E3920">
    <cfRule type="cellIs" dxfId="662" priority="584" operator="greaterThan">
      <formula>0</formula>
    </cfRule>
  </conditionalFormatting>
  <conditionalFormatting sqref="E3919:E3964">
    <cfRule type="cellIs" dxfId="661" priority="585" operator="greaterThan">
      <formula>0</formula>
    </cfRule>
  </conditionalFormatting>
  <conditionalFormatting sqref="E3961:E3967">
    <cfRule type="cellIs" dxfId="660" priority="582" operator="greaterThan">
      <formula>0</formula>
    </cfRule>
  </conditionalFormatting>
  <conditionalFormatting sqref="E3965:E3967">
    <cfRule type="cellIs" dxfId="659" priority="583" operator="greaterThan">
      <formula>0</formula>
    </cfRule>
  </conditionalFormatting>
  <conditionalFormatting sqref="E3971:E3977">
    <cfRule type="cellIs" dxfId="658" priority="575" operator="greaterThan">
      <formula>0</formula>
    </cfRule>
  </conditionalFormatting>
  <conditionalFormatting sqref="E3971:E4048">
    <cfRule type="cellIs" dxfId="657" priority="567" operator="greaterThan">
      <formula>0</formula>
    </cfRule>
  </conditionalFormatting>
  <conditionalFormatting sqref="E3976">
    <cfRule type="cellIs" dxfId="656" priority="574" operator="greaterThan">
      <formula>0</formula>
    </cfRule>
  </conditionalFormatting>
  <conditionalFormatting sqref="E3978:E4000">
    <cfRule type="cellIs" dxfId="655" priority="573" operator="greaterThan">
      <formula>0</formula>
    </cfRule>
  </conditionalFormatting>
  <conditionalFormatting sqref="E3999:E4000">
    <cfRule type="cellIs" dxfId="654" priority="572" operator="greaterThan">
      <formula>0</formula>
    </cfRule>
  </conditionalFormatting>
  <conditionalFormatting sqref="E4000:E4001">
    <cfRule type="cellIs" dxfId="653" priority="570" operator="greaterThan">
      <formula>0</formula>
    </cfRule>
  </conditionalFormatting>
  <conditionalFormatting sqref="E4000:E4045">
    <cfRule type="cellIs" dxfId="652" priority="571" operator="greaterThan">
      <formula>0</formula>
    </cfRule>
  </conditionalFormatting>
  <conditionalFormatting sqref="E4042:E4048">
    <cfRule type="cellIs" dxfId="651" priority="568" operator="greaterThan">
      <formula>0</formula>
    </cfRule>
  </conditionalFormatting>
  <conditionalFormatting sqref="E4046:E4048">
    <cfRule type="cellIs" dxfId="650" priority="569" operator="greaterThan">
      <formula>0</formula>
    </cfRule>
  </conditionalFormatting>
  <conditionalFormatting sqref="F2:F79">
    <cfRule type="cellIs" dxfId="649" priority="1499" operator="greaterThan">
      <formula>0</formula>
    </cfRule>
  </conditionalFormatting>
  <conditionalFormatting sqref="F83:F160">
    <cfRule type="cellIs" dxfId="648" priority="1237" operator="greaterThan">
      <formula>0</formula>
    </cfRule>
  </conditionalFormatting>
  <conditionalFormatting sqref="F164:F241">
    <cfRule type="cellIs" dxfId="647" priority="1221" operator="greaterThan">
      <formula>0</formula>
    </cfRule>
  </conditionalFormatting>
  <conditionalFormatting sqref="F245:F322">
    <cfRule type="cellIs" dxfId="646" priority="1208" operator="greaterThan">
      <formula>0</formula>
    </cfRule>
  </conditionalFormatting>
  <conditionalFormatting sqref="F326:F403">
    <cfRule type="cellIs" dxfId="645" priority="1195" operator="greaterThan">
      <formula>0</formula>
    </cfRule>
  </conditionalFormatting>
  <conditionalFormatting sqref="F407:F484">
    <cfRule type="cellIs" dxfId="644" priority="1182" operator="greaterThan">
      <formula>0</formula>
    </cfRule>
  </conditionalFormatting>
  <conditionalFormatting sqref="F488:F565">
    <cfRule type="cellIs" dxfId="643" priority="1169" operator="greaterThan">
      <formula>0</formula>
    </cfRule>
  </conditionalFormatting>
  <conditionalFormatting sqref="F569:F646">
    <cfRule type="cellIs" dxfId="642" priority="1156" operator="greaterThan">
      <formula>0</formula>
    </cfRule>
  </conditionalFormatting>
  <conditionalFormatting sqref="F650:F727">
    <cfRule type="cellIs" dxfId="641" priority="1143" operator="greaterThan">
      <formula>0</formula>
    </cfRule>
  </conditionalFormatting>
  <conditionalFormatting sqref="F731:F808">
    <cfRule type="cellIs" dxfId="640" priority="1130" operator="greaterThan">
      <formula>0</formula>
    </cfRule>
  </conditionalFormatting>
  <conditionalFormatting sqref="F812:F889">
    <cfRule type="cellIs" dxfId="639" priority="1117" operator="greaterThan">
      <formula>0</formula>
    </cfRule>
  </conditionalFormatting>
  <conditionalFormatting sqref="F893:F970">
    <cfRule type="cellIs" dxfId="638" priority="1104" operator="greaterThan">
      <formula>0</formula>
    </cfRule>
  </conditionalFormatting>
  <conditionalFormatting sqref="F974:F1051">
    <cfRule type="cellIs" dxfId="637" priority="1091" operator="greaterThan">
      <formula>0</formula>
    </cfRule>
  </conditionalFormatting>
  <conditionalFormatting sqref="F1055:F1132">
    <cfRule type="cellIs" dxfId="636" priority="1076" operator="greaterThan">
      <formula>0</formula>
    </cfRule>
  </conditionalFormatting>
  <conditionalFormatting sqref="F1136:F1213">
    <cfRule type="cellIs" dxfId="635" priority="1061" operator="greaterThan">
      <formula>0</formula>
    </cfRule>
  </conditionalFormatting>
  <conditionalFormatting sqref="F1217:F1294">
    <cfRule type="cellIs" dxfId="634" priority="1046" operator="greaterThan">
      <formula>0</formula>
    </cfRule>
  </conditionalFormatting>
  <conditionalFormatting sqref="F1298:F1375">
    <cfRule type="cellIs" dxfId="633" priority="1031" operator="greaterThan">
      <formula>0</formula>
    </cfRule>
  </conditionalFormatting>
  <conditionalFormatting sqref="F1379:F1456">
    <cfRule type="cellIs" dxfId="632" priority="1016" operator="greaterThan">
      <formula>0</formula>
    </cfRule>
  </conditionalFormatting>
  <conditionalFormatting sqref="F1460:F1537">
    <cfRule type="cellIs" dxfId="631" priority="1001" operator="greaterThan">
      <formula>0</formula>
    </cfRule>
  </conditionalFormatting>
  <conditionalFormatting sqref="F1541:F1618">
    <cfRule type="cellIs" dxfId="630" priority="986" operator="greaterThan">
      <formula>0</formula>
    </cfRule>
  </conditionalFormatting>
  <conditionalFormatting sqref="F1622:F1699">
    <cfRule type="cellIs" dxfId="629" priority="972" operator="greaterThan">
      <formula>0</formula>
    </cfRule>
  </conditionalFormatting>
  <conditionalFormatting sqref="F1703:F1780">
    <cfRule type="cellIs" dxfId="628" priority="958" operator="greaterThan">
      <formula>0</formula>
    </cfRule>
  </conditionalFormatting>
  <conditionalFormatting sqref="F1784:F1861">
    <cfRule type="cellIs" dxfId="627" priority="944" operator="greaterThan">
      <formula>0</formula>
    </cfRule>
  </conditionalFormatting>
  <conditionalFormatting sqref="F1865:F1942">
    <cfRule type="cellIs" dxfId="626" priority="930" operator="greaterThan">
      <formula>0</formula>
    </cfRule>
  </conditionalFormatting>
  <conditionalFormatting sqref="F1946:F2023">
    <cfRule type="cellIs" dxfId="625" priority="916" operator="greaterThan">
      <formula>0</formula>
    </cfRule>
  </conditionalFormatting>
  <conditionalFormatting sqref="F2027:F2104">
    <cfRule type="cellIs" dxfId="624" priority="902" operator="greaterThan">
      <formula>0</formula>
    </cfRule>
  </conditionalFormatting>
  <conditionalFormatting sqref="F2108:F2185">
    <cfRule type="cellIs" dxfId="623" priority="888" operator="greaterThan">
      <formula>0</formula>
    </cfRule>
  </conditionalFormatting>
  <conditionalFormatting sqref="F2189:F2266">
    <cfRule type="cellIs" dxfId="622" priority="874" operator="greaterThan">
      <formula>0</formula>
    </cfRule>
  </conditionalFormatting>
  <conditionalFormatting sqref="F2270:F2347">
    <cfRule type="cellIs" dxfId="621" priority="860" operator="greaterThan">
      <formula>0</formula>
    </cfRule>
  </conditionalFormatting>
  <conditionalFormatting sqref="F2351:F2428">
    <cfRule type="cellIs" dxfId="620" priority="846" operator="greaterThan">
      <formula>0</formula>
    </cfRule>
  </conditionalFormatting>
  <conditionalFormatting sqref="F2432:F2509">
    <cfRule type="cellIs" dxfId="619" priority="832" operator="greaterThan">
      <formula>0</formula>
    </cfRule>
  </conditionalFormatting>
  <conditionalFormatting sqref="F2513:F2590">
    <cfRule type="cellIs" dxfId="618" priority="818" operator="greaterThan">
      <formula>0</formula>
    </cfRule>
  </conditionalFormatting>
  <conditionalFormatting sqref="F2594:F2671">
    <cfRule type="cellIs" dxfId="617" priority="804" operator="greaterThan">
      <formula>0</formula>
    </cfRule>
  </conditionalFormatting>
  <conditionalFormatting sqref="F2675:F2752">
    <cfRule type="cellIs" dxfId="616" priority="790" operator="greaterThan">
      <formula>0</formula>
    </cfRule>
  </conditionalFormatting>
  <conditionalFormatting sqref="F2756:F2833">
    <cfRule type="cellIs" dxfId="615" priority="776" operator="greaterThan">
      <formula>0</formula>
    </cfRule>
  </conditionalFormatting>
  <conditionalFormatting sqref="F2837:F2914">
    <cfRule type="cellIs" dxfId="614" priority="762" operator="greaterThan">
      <formula>0</formula>
    </cfRule>
  </conditionalFormatting>
  <conditionalFormatting sqref="F2918:F2995">
    <cfRule type="cellIs" dxfId="613" priority="748" operator="greaterThan">
      <formula>0</formula>
    </cfRule>
  </conditionalFormatting>
  <conditionalFormatting sqref="F2999:F3076">
    <cfRule type="cellIs" dxfId="612" priority="734" operator="greaterThan">
      <formula>0</formula>
    </cfRule>
  </conditionalFormatting>
  <conditionalFormatting sqref="F3080:F3157">
    <cfRule type="cellIs" dxfId="611" priority="720" operator="greaterThan">
      <formula>0</formula>
    </cfRule>
  </conditionalFormatting>
  <conditionalFormatting sqref="F3161:F3238">
    <cfRule type="cellIs" dxfId="610" priority="706" operator="greaterThan">
      <formula>0</formula>
    </cfRule>
  </conditionalFormatting>
  <conditionalFormatting sqref="F3242:F3319">
    <cfRule type="cellIs" dxfId="609" priority="692" operator="greaterThan">
      <formula>0</formula>
    </cfRule>
  </conditionalFormatting>
  <conditionalFormatting sqref="F3323:F3400">
    <cfRule type="cellIs" dxfId="608" priority="678" operator="greaterThan">
      <formula>0</formula>
    </cfRule>
  </conditionalFormatting>
  <conditionalFormatting sqref="F3404:F3481">
    <cfRule type="cellIs" dxfId="607" priority="664" operator="greaterThan">
      <formula>0</formula>
    </cfRule>
  </conditionalFormatting>
  <conditionalFormatting sqref="F3485:F3562">
    <cfRule type="cellIs" dxfId="606" priority="650" operator="greaterThan">
      <formula>0</formula>
    </cfRule>
  </conditionalFormatting>
  <conditionalFormatting sqref="F3566:F3643">
    <cfRule type="cellIs" dxfId="605" priority="636" operator="greaterThan">
      <formula>0</formula>
    </cfRule>
  </conditionalFormatting>
  <conditionalFormatting sqref="F3647:F3724">
    <cfRule type="cellIs" dxfId="604" priority="622" operator="greaterThan">
      <formula>0</formula>
    </cfRule>
  </conditionalFormatting>
  <conditionalFormatting sqref="F3728:F3805">
    <cfRule type="cellIs" dxfId="603" priority="608" operator="greaterThan">
      <formula>0</formula>
    </cfRule>
  </conditionalFormatting>
  <conditionalFormatting sqref="F3809:F3886">
    <cfRule type="cellIs" dxfId="602" priority="594" operator="greaterThan">
      <formula>0</formula>
    </cfRule>
  </conditionalFormatting>
  <conditionalFormatting sqref="F3890:F3967">
    <cfRule type="cellIs" dxfId="601" priority="580" operator="greaterThan">
      <formula>0</formula>
    </cfRule>
  </conditionalFormatting>
  <conditionalFormatting sqref="F3971:F4048">
    <cfRule type="cellIs" dxfId="600" priority="566" operator="greaterThan">
      <formula>0</formula>
    </cfRule>
  </conditionalFormatting>
  <conditionalFormatting sqref="G2:G1052">
    <cfRule type="cellIs" dxfId="599" priority="1087" operator="greaterThan">
      <formula>0</formula>
    </cfRule>
    <cfRule type="cellIs" dxfId="598" priority="1088" operator="equal">
      <formula>0</formula>
    </cfRule>
  </conditionalFormatting>
  <conditionalFormatting sqref="G1055:G1133">
    <cfRule type="cellIs" dxfId="597" priority="1072" operator="greaterThan">
      <formula>0</formula>
    </cfRule>
  </conditionalFormatting>
  <conditionalFormatting sqref="G1136:G1214">
    <cfRule type="cellIs" dxfId="596" priority="1057" operator="greaterThan">
      <formula>0</formula>
    </cfRule>
  </conditionalFormatting>
  <conditionalFormatting sqref="G1217:G1295">
    <cfRule type="cellIs" dxfId="595" priority="1042" operator="greaterThan">
      <formula>0</formula>
    </cfRule>
  </conditionalFormatting>
  <conditionalFormatting sqref="G1298:G1376">
    <cfRule type="cellIs" dxfId="594" priority="1027" operator="greaterThan">
      <formula>0</formula>
    </cfRule>
  </conditionalFormatting>
  <conditionalFormatting sqref="G1379:G1457">
    <cfRule type="cellIs" dxfId="593" priority="1012" operator="greaterThan">
      <formula>0</formula>
    </cfRule>
  </conditionalFormatting>
  <conditionalFormatting sqref="G1460:G1538">
    <cfRule type="cellIs" dxfId="592" priority="997" operator="greaterThan">
      <formula>0</formula>
    </cfRule>
  </conditionalFormatting>
  <conditionalFormatting sqref="G1541:G1619">
    <cfRule type="cellIs" dxfId="591" priority="982" operator="greaterThan">
      <formula>0</formula>
    </cfRule>
  </conditionalFormatting>
  <conditionalFormatting sqref="G1622:G1700">
    <cfRule type="cellIs" dxfId="590" priority="968" operator="greaterThan">
      <formula>0</formula>
    </cfRule>
  </conditionalFormatting>
  <conditionalFormatting sqref="G1703:G1781">
    <cfRule type="cellIs" dxfId="589" priority="954" operator="greaterThan">
      <formula>0</formula>
    </cfRule>
  </conditionalFormatting>
  <conditionalFormatting sqref="G1784:G1862">
    <cfRule type="cellIs" dxfId="588" priority="940" operator="greaterThan">
      <formula>0</formula>
    </cfRule>
  </conditionalFormatting>
  <conditionalFormatting sqref="G1865:G1942">
    <cfRule type="cellIs" dxfId="587" priority="926" operator="greaterThan">
      <formula>0</formula>
    </cfRule>
  </conditionalFormatting>
  <conditionalFormatting sqref="G1946:G2023">
    <cfRule type="cellIs" dxfId="586" priority="912" operator="greaterThan">
      <formula>0</formula>
    </cfRule>
  </conditionalFormatting>
  <conditionalFormatting sqref="G2027:G2104">
    <cfRule type="cellIs" dxfId="585" priority="898" operator="greaterThan">
      <formula>0</formula>
    </cfRule>
  </conditionalFormatting>
  <conditionalFormatting sqref="G2108:G2185">
    <cfRule type="cellIs" dxfId="584" priority="884" operator="greaterThan">
      <formula>0</formula>
    </cfRule>
  </conditionalFormatting>
  <conditionalFormatting sqref="G2189:G2266">
    <cfRule type="cellIs" dxfId="583" priority="870" operator="greaterThan">
      <formula>0</formula>
    </cfRule>
  </conditionalFormatting>
  <conditionalFormatting sqref="G2270:G2347">
    <cfRule type="cellIs" dxfId="582" priority="856" operator="greaterThan">
      <formula>0</formula>
    </cfRule>
  </conditionalFormatting>
  <conditionalFormatting sqref="G2351:G2428">
    <cfRule type="cellIs" dxfId="581" priority="842" operator="greaterThan">
      <formula>0</formula>
    </cfRule>
  </conditionalFormatting>
  <conditionalFormatting sqref="G2432:G2509">
    <cfRule type="cellIs" dxfId="580" priority="828" operator="greaterThan">
      <formula>0</formula>
    </cfRule>
  </conditionalFormatting>
  <conditionalFormatting sqref="G2513:G2590">
    <cfRule type="cellIs" dxfId="579" priority="814" operator="greaterThan">
      <formula>0</formula>
    </cfRule>
  </conditionalFormatting>
  <conditionalFormatting sqref="G2594:G2671">
    <cfRule type="cellIs" dxfId="578" priority="800" operator="greaterThan">
      <formula>0</formula>
    </cfRule>
  </conditionalFormatting>
  <conditionalFormatting sqref="G2675:G2752">
    <cfRule type="cellIs" dxfId="577" priority="786" operator="greaterThan">
      <formula>0</formula>
    </cfRule>
  </conditionalFormatting>
  <conditionalFormatting sqref="G2756:G2833">
    <cfRule type="cellIs" dxfId="576" priority="772" operator="greaterThan">
      <formula>0</formula>
    </cfRule>
  </conditionalFormatting>
  <conditionalFormatting sqref="G2837:G2914">
    <cfRule type="cellIs" dxfId="575" priority="758" operator="greaterThan">
      <formula>0</formula>
    </cfRule>
  </conditionalFormatting>
  <conditionalFormatting sqref="G2918:G2995">
    <cfRule type="cellIs" dxfId="574" priority="744" operator="greaterThan">
      <formula>0</formula>
    </cfRule>
  </conditionalFormatting>
  <conditionalFormatting sqref="G2999:G3076">
    <cfRule type="cellIs" dxfId="573" priority="730" operator="greaterThan">
      <formula>0</formula>
    </cfRule>
  </conditionalFormatting>
  <conditionalFormatting sqref="G3080:G3157">
    <cfRule type="cellIs" dxfId="572" priority="716" operator="greaterThan">
      <formula>0</formula>
    </cfRule>
  </conditionalFormatting>
  <conditionalFormatting sqref="G3161:G3238">
    <cfRule type="cellIs" dxfId="571" priority="702" operator="greaterThan">
      <formula>0</formula>
    </cfRule>
  </conditionalFormatting>
  <conditionalFormatting sqref="G3242:G3319">
    <cfRule type="cellIs" dxfId="570" priority="688" operator="greaterThan">
      <formula>0</formula>
    </cfRule>
  </conditionalFormatting>
  <conditionalFormatting sqref="G3323:G3400">
    <cfRule type="cellIs" dxfId="569" priority="674" operator="greaterThan">
      <formula>0</formula>
    </cfRule>
  </conditionalFormatting>
  <conditionalFormatting sqref="G3404:G3481">
    <cfRule type="cellIs" dxfId="568" priority="660" operator="greaterThan">
      <formula>0</formula>
    </cfRule>
  </conditionalFormatting>
  <conditionalFormatting sqref="G3485:G3562">
    <cfRule type="cellIs" dxfId="567" priority="646" operator="greaterThan">
      <formula>0</formula>
    </cfRule>
  </conditionalFormatting>
  <conditionalFormatting sqref="G3566:G3643">
    <cfRule type="cellIs" dxfId="566" priority="632" operator="greaterThan">
      <formula>0</formula>
    </cfRule>
  </conditionalFormatting>
  <conditionalFormatting sqref="G3647:G3724">
    <cfRule type="cellIs" dxfId="565" priority="618" operator="greaterThan">
      <formula>0</formula>
    </cfRule>
  </conditionalFormatting>
  <conditionalFormatting sqref="G3728:G3805">
    <cfRule type="cellIs" dxfId="564" priority="604" operator="greaterThan">
      <formula>0</formula>
    </cfRule>
  </conditionalFormatting>
  <conditionalFormatting sqref="G3809:G3886">
    <cfRule type="cellIs" dxfId="563" priority="590" operator="greaterThan">
      <formula>0</formula>
    </cfRule>
  </conditionalFormatting>
  <conditionalFormatting sqref="G3890:G3967">
    <cfRule type="cellIs" dxfId="562" priority="576" operator="greaterThan">
      <formula>0</formula>
    </cfRule>
  </conditionalFormatting>
  <conditionalFormatting sqref="G3971:G4048">
    <cfRule type="cellIs" dxfId="561" priority="562" operator="greaterThan">
      <formula>0</formula>
    </cfRule>
  </conditionalFormatting>
  <conditionalFormatting sqref="A4052:A4129">
    <cfRule type="cellIs" dxfId="560" priority="550" operator="equal">
      <formula>0</formula>
    </cfRule>
  </conditionalFormatting>
  <conditionalFormatting sqref="C4052:F4129">
    <cfRule type="cellIs" dxfId="559" priority="549" operator="equal">
      <formula>0</formula>
    </cfRule>
  </conditionalFormatting>
  <conditionalFormatting sqref="D4052:D4129">
    <cfRule type="cellIs" dxfId="558" priority="551" operator="greaterThan">
      <formula>0</formula>
    </cfRule>
  </conditionalFormatting>
  <conditionalFormatting sqref="E4052:E4058">
    <cfRule type="cellIs" dxfId="557" priority="561" operator="greaterThan">
      <formula>0</formula>
    </cfRule>
  </conditionalFormatting>
  <conditionalFormatting sqref="E4052:E4129">
    <cfRule type="cellIs" dxfId="556" priority="553" operator="greaterThan">
      <formula>0</formula>
    </cfRule>
  </conditionalFormatting>
  <conditionalFormatting sqref="E4057">
    <cfRule type="cellIs" dxfId="555" priority="560" operator="greaterThan">
      <formula>0</formula>
    </cfRule>
  </conditionalFormatting>
  <conditionalFormatting sqref="E4059:E4081">
    <cfRule type="cellIs" dxfId="554" priority="559" operator="greaterThan">
      <formula>0</formula>
    </cfRule>
  </conditionalFormatting>
  <conditionalFormatting sqref="E4080:E4081">
    <cfRule type="cellIs" dxfId="553" priority="558" operator="greaterThan">
      <formula>0</formula>
    </cfRule>
  </conditionalFormatting>
  <conditionalFormatting sqref="E4081:E4082">
    <cfRule type="cellIs" dxfId="552" priority="556" operator="greaterThan">
      <formula>0</formula>
    </cfRule>
  </conditionalFormatting>
  <conditionalFormatting sqref="E4081:E4126">
    <cfRule type="cellIs" dxfId="551" priority="557" operator="greaterThan">
      <formula>0</formula>
    </cfRule>
  </conditionalFormatting>
  <conditionalFormatting sqref="E4123:E4129">
    <cfRule type="cellIs" dxfId="550" priority="554" operator="greaterThan">
      <formula>0</formula>
    </cfRule>
  </conditionalFormatting>
  <conditionalFormatting sqref="E4127:E4129">
    <cfRule type="cellIs" dxfId="549" priority="555" operator="greaterThan">
      <formula>0</formula>
    </cfRule>
  </conditionalFormatting>
  <conditionalFormatting sqref="F4052:F4129">
    <cfRule type="cellIs" dxfId="548" priority="552" operator="greaterThan">
      <formula>0</formula>
    </cfRule>
  </conditionalFormatting>
  <conditionalFormatting sqref="A4133:A4210">
    <cfRule type="cellIs" dxfId="547" priority="537" operator="equal">
      <formula>0</formula>
    </cfRule>
  </conditionalFormatting>
  <conditionalFormatting sqref="C4133:F4210">
    <cfRule type="cellIs" dxfId="546" priority="536" operator="equal">
      <formula>0</formula>
    </cfRule>
  </conditionalFormatting>
  <conditionalFormatting sqref="D4133:D4210">
    <cfRule type="cellIs" dxfId="545" priority="538" operator="greaterThan">
      <formula>0</formula>
    </cfRule>
  </conditionalFormatting>
  <conditionalFormatting sqref="E4133:E4139">
    <cfRule type="cellIs" dxfId="544" priority="548" operator="greaterThan">
      <formula>0</formula>
    </cfRule>
  </conditionalFormatting>
  <conditionalFormatting sqref="E4133:E4210">
    <cfRule type="cellIs" dxfId="543" priority="540" operator="greaterThan">
      <formula>0</formula>
    </cfRule>
  </conditionalFormatting>
  <conditionalFormatting sqref="E4138">
    <cfRule type="cellIs" dxfId="542" priority="547" operator="greaterThan">
      <formula>0</formula>
    </cfRule>
  </conditionalFormatting>
  <conditionalFormatting sqref="E4140:E4162">
    <cfRule type="cellIs" dxfId="541" priority="546" operator="greaterThan">
      <formula>0</formula>
    </cfRule>
  </conditionalFormatting>
  <conditionalFormatting sqref="E4161:E4162">
    <cfRule type="cellIs" dxfId="540" priority="545" operator="greaterThan">
      <formula>0</formula>
    </cfRule>
  </conditionalFormatting>
  <conditionalFormatting sqref="E4162:E4163">
    <cfRule type="cellIs" dxfId="539" priority="543" operator="greaterThan">
      <formula>0</formula>
    </cfRule>
  </conditionalFormatting>
  <conditionalFormatting sqref="E4162:E4207">
    <cfRule type="cellIs" dxfId="538" priority="544" operator="greaterThan">
      <formula>0</formula>
    </cfRule>
  </conditionalFormatting>
  <conditionalFormatting sqref="E4204:E4210">
    <cfRule type="cellIs" dxfId="537" priority="541" operator="greaterThan">
      <formula>0</formula>
    </cfRule>
  </conditionalFormatting>
  <conditionalFormatting sqref="E4208:E4210">
    <cfRule type="cellIs" dxfId="536" priority="542" operator="greaterThan">
      <formula>0</formula>
    </cfRule>
  </conditionalFormatting>
  <conditionalFormatting sqref="F4133:F4210">
    <cfRule type="cellIs" dxfId="535" priority="539" operator="greaterThan">
      <formula>0</formula>
    </cfRule>
  </conditionalFormatting>
  <conditionalFormatting sqref="A4214:A4291">
    <cfRule type="cellIs" dxfId="534" priority="524" operator="equal">
      <formula>0</formula>
    </cfRule>
  </conditionalFormatting>
  <conditionalFormatting sqref="C4214:F4291">
    <cfRule type="cellIs" dxfId="533" priority="523" operator="equal">
      <formula>0</formula>
    </cfRule>
  </conditionalFormatting>
  <conditionalFormatting sqref="D4214:D4291">
    <cfRule type="cellIs" dxfId="532" priority="525" operator="greaterThan">
      <formula>0</formula>
    </cfRule>
  </conditionalFormatting>
  <conditionalFormatting sqref="E4214:E4220">
    <cfRule type="cellIs" dxfId="531" priority="535" operator="greaterThan">
      <formula>0</formula>
    </cfRule>
  </conditionalFormatting>
  <conditionalFormatting sqref="E4214:E4291">
    <cfRule type="cellIs" dxfId="530" priority="527" operator="greaterThan">
      <formula>0</formula>
    </cfRule>
  </conditionalFormatting>
  <conditionalFormatting sqref="E4219">
    <cfRule type="cellIs" dxfId="529" priority="534" operator="greaterThan">
      <formula>0</formula>
    </cfRule>
  </conditionalFormatting>
  <conditionalFormatting sqref="E4221:E4243">
    <cfRule type="cellIs" dxfId="528" priority="533" operator="greaterThan">
      <formula>0</formula>
    </cfRule>
  </conditionalFormatting>
  <conditionalFormatting sqref="E4242:E4243">
    <cfRule type="cellIs" dxfId="527" priority="532" operator="greaterThan">
      <formula>0</formula>
    </cfRule>
  </conditionalFormatting>
  <conditionalFormatting sqref="E4243:E4244">
    <cfRule type="cellIs" dxfId="526" priority="530" operator="greaterThan">
      <formula>0</formula>
    </cfRule>
  </conditionalFormatting>
  <conditionalFormatting sqref="E4243:E4288">
    <cfRule type="cellIs" dxfId="525" priority="531" operator="greaterThan">
      <formula>0</formula>
    </cfRule>
  </conditionalFormatting>
  <conditionalFormatting sqref="E4285:E4291">
    <cfRule type="cellIs" dxfId="524" priority="528" operator="greaterThan">
      <formula>0</formula>
    </cfRule>
  </conditionalFormatting>
  <conditionalFormatting sqref="E4289:E4291">
    <cfRule type="cellIs" dxfId="523" priority="529" operator="greaterThan">
      <formula>0</formula>
    </cfRule>
  </conditionalFormatting>
  <conditionalFormatting sqref="F4214:F4291">
    <cfRule type="cellIs" dxfId="522" priority="526" operator="greaterThan">
      <formula>0</formula>
    </cfRule>
  </conditionalFormatting>
  <conditionalFormatting sqref="A4295:A4372">
    <cfRule type="cellIs" dxfId="521" priority="511" operator="equal">
      <formula>0</formula>
    </cfRule>
  </conditionalFormatting>
  <conditionalFormatting sqref="C4295:F4372">
    <cfRule type="cellIs" dxfId="520" priority="510" operator="equal">
      <formula>0</formula>
    </cfRule>
  </conditionalFormatting>
  <conditionalFormatting sqref="D4295:D4372">
    <cfRule type="cellIs" dxfId="519" priority="512" operator="greaterThan">
      <formula>0</formula>
    </cfRule>
  </conditionalFormatting>
  <conditionalFormatting sqref="E4295:E4301">
    <cfRule type="cellIs" dxfId="518" priority="522" operator="greaterThan">
      <formula>0</formula>
    </cfRule>
  </conditionalFormatting>
  <conditionalFormatting sqref="E4295:E4372">
    <cfRule type="cellIs" dxfId="517" priority="514" operator="greaterThan">
      <formula>0</formula>
    </cfRule>
  </conditionalFormatting>
  <conditionalFormatting sqref="E4300">
    <cfRule type="cellIs" dxfId="516" priority="521" operator="greaterThan">
      <formula>0</formula>
    </cfRule>
  </conditionalFormatting>
  <conditionalFormatting sqref="E4302:E4324">
    <cfRule type="cellIs" dxfId="515" priority="520" operator="greaterThan">
      <formula>0</formula>
    </cfRule>
  </conditionalFormatting>
  <conditionalFormatting sqref="E4323:E4324">
    <cfRule type="cellIs" dxfId="514" priority="519" operator="greaterThan">
      <formula>0</formula>
    </cfRule>
  </conditionalFormatting>
  <conditionalFormatting sqref="E4324:E4325">
    <cfRule type="cellIs" dxfId="513" priority="517" operator="greaterThan">
      <formula>0</formula>
    </cfRule>
  </conditionalFormatting>
  <conditionalFormatting sqref="E4324:E4369">
    <cfRule type="cellIs" dxfId="512" priority="518" operator="greaterThan">
      <formula>0</formula>
    </cfRule>
  </conditionalFormatting>
  <conditionalFormatting sqref="E4366:E4372">
    <cfRule type="cellIs" dxfId="511" priority="515" operator="greaterThan">
      <formula>0</formula>
    </cfRule>
  </conditionalFormatting>
  <conditionalFormatting sqref="E4370:E4372">
    <cfRule type="cellIs" dxfId="510" priority="516" operator="greaterThan">
      <formula>0</formula>
    </cfRule>
  </conditionalFormatting>
  <conditionalFormatting sqref="F4295:F4372">
    <cfRule type="cellIs" dxfId="509" priority="513" operator="greaterThan">
      <formula>0</formula>
    </cfRule>
  </conditionalFormatting>
  <conditionalFormatting sqref="A4376:A4453">
    <cfRule type="cellIs" dxfId="508" priority="498" operator="equal">
      <formula>0</formula>
    </cfRule>
  </conditionalFormatting>
  <conditionalFormatting sqref="C4376:F4453">
    <cfRule type="cellIs" dxfId="507" priority="497" operator="equal">
      <formula>0</formula>
    </cfRule>
  </conditionalFormatting>
  <conditionalFormatting sqref="D4376:D4453">
    <cfRule type="cellIs" dxfId="506" priority="499" operator="greaterThan">
      <formula>0</formula>
    </cfRule>
  </conditionalFormatting>
  <conditionalFormatting sqref="E4376:E4382">
    <cfRule type="cellIs" dxfId="505" priority="509" operator="greaterThan">
      <formula>0</formula>
    </cfRule>
  </conditionalFormatting>
  <conditionalFormatting sqref="E4376:E4453">
    <cfRule type="cellIs" dxfId="504" priority="501" operator="greaterThan">
      <formula>0</formula>
    </cfRule>
  </conditionalFormatting>
  <conditionalFormatting sqref="E4381">
    <cfRule type="cellIs" dxfId="503" priority="508" operator="greaterThan">
      <formula>0</formula>
    </cfRule>
  </conditionalFormatting>
  <conditionalFormatting sqref="E4383:E4405">
    <cfRule type="cellIs" dxfId="502" priority="507" operator="greaterThan">
      <formula>0</formula>
    </cfRule>
  </conditionalFormatting>
  <conditionalFormatting sqref="E4404:E4405">
    <cfRule type="cellIs" dxfId="501" priority="506" operator="greaterThan">
      <formula>0</formula>
    </cfRule>
  </conditionalFormatting>
  <conditionalFormatting sqref="E4405:E4406">
    <cfRule type="cellIs" dxfId="500" priority="504" operator="greaterThan">
      <formula>0</formula>
    </cfRule>
  </conditionalFormatting>
  <conditionalFormatting sqref="E4405:E4450">
    <cfRule type="cellIs" dxfId="499" priority="505" operator="greaterThan">
      <formula>0</formula>
    </cfRule>
  </conditionalFormatting>
  <conditionalFormatting sqref="E4447:E4453">
    <cfRule type="cellIs" dxfId="498" priority="502" operator="greaterThan">
      <formula>0</formula>
    </cfRule>
  </conditionalFormatting>
  <conditionalFormatting sqref="E4451:E4453">
    <cfRule type="cellIs" dxfId="497" priority="503" operator="greaterThan">
      <formula>0</formula>
    </cfRule>
  </conditionalFormatting>
  <conditionalFormatting sqref="F4376:F4453">
    <cfRule type="cellIs" dxfId="496" priority="500" operator="greaterThan">
      <formula>0</formula>
    </cfRule>
  </conditionalFormatting>
  <conditionalFormatting sqref="A4457:A4534">
    <cfRule type="cellIs" dxfId="495" priority="485" operator="equal">
      <formula>0</formula>
    </cfRule>
  </conditionalFormatting>
  <conditionalFormatting sqref="C4457:F4534">
    <cfRule type="cellIs" dxfId="494" priority="484" operator="equal">
      <formula>0</formula>
    </cfRule>
  </conditionalFormatting>
  <conditionalFormatting sqref="D4457:D4534">
    <cfRule type="cellIs" dxfId="493" priority="486" operator="greaterThan">
      <formula>0</formula>
    </cfRule>
  </conditionalFormatting>
  <conditionalFormatting sqref="E4457:E4463">
    <cfRule type="cellIs" dxfId="492" priority="496" operator="greaterThan">
      <formula>0</formula>
    </cfRule>
  </conditionalFormatting>
  <conditionalFormatting sqref="E4457:E4534">
    <cfRule type="cellIs" dxfId="491" priority="488" operator="greaterThan">
      <formula>0</formula>
    </cfRule>
  </conditionalFormatting>
  <conditionalFormatting sqref="E4462">
    <cfRule type="cellIs" dxfId="490" priority="495" operator="greaterThan">
      <formula>0</formula>
    </cfRule>
  </conditionalFormatting>
  <conditionalFormatting sqref="E4464:E4486">
    <cfRule type="cellIs" dxfId="489" priority="494" operator="greaterThan">
      <formula>0</formula>
    </cfRule>
  </conditionalFormatting>
  <conditionalFormatting sqref="E4485:E4486">
    <cfRule type="cellIs" dxfId="488" priority="493" operator="greaterThan">
      <formula>0</formula>
    </cfRule>
  </conditionalFormatting>
  <conditionalFormatting sqref="E4486:E4487">
    <cfRule type="cellIs" dxfId="487" priority="491" operator="greaterThan">
      <formula>0</formula>
    </cfRule>
  </conditionalFormatting>
  <conditionalFormatting sqref="E4486:E4531">
    <cfRule type="cellIs" dxfId="486" priority="492" operator="greaterThan">
      <formula>0</formula>
    </cfRule>
  </conditionalFormatting>
  <conditionalFormatting sqref="E4528:E4534">
    <cfRule type="cellIs" dxfId="485" priority="489" operator="greaterThan">
      <formula>0</formula>
    </cfRule>
  </conditionalFormatting>
  <conditionalFormatting sqref="E4532:E4534">
    <cfRule type="cellIs" dxfId="484" priority="490" operator="greaterThan">
      <formula>0</formula>
    </cfRule>
  </conditionalFormatting>
  <conditionalFormatting sqref="F4457:F4534">
    <cfRule type="cellIs" dxfId="483" priority="487" operator="greaterThan">
      <formula>0</formula>
    </cfRule>
  </conditionalFormatting>
  <conditionalFormatting sqref="A4538:A4615">
    <cfRule type="cellIs" dxfId="482" priority="472" operator="equal">
      <formula>0</formula>
    </cfRule>
  </conditionalFormatting>
  <conditionalFormatting sqref="C4538:F4615">
    <cfRule type="cellIs" dxfId="481" priority="471" operator="equal">
      <formula>0</formula>
    </cfRule>
  </conditionalFormatting>
  <conditionalFormatting sqref="D4538:D4615">
    <cfRule type="cellIs" dxfId="480" priority="473" operator="greaterThan">
      <formula>0</formula>
    </cfRule>
  </conditionalFormatting>
  <conditionalFormatting sqref="E4538:E4544">
    <cfRule type="cellIs" dxfId="479" priority="483" operator="greaterThan">
      <formula>0</formula>
    </cfRule>
  </conditionalFormatting>
  <conditionalFormatting sqref="E4538:E4615">
    <cfRule type="cellIs" dxfId="478" priority="475" operator="greaterThan">
      <formula>0</formula>
    </cfRule>
  </conditionalFormatting>
  <conditionalFormatting sqref="E4543">
    <cfRule type="cellIs" dxfId="477" priority="482" operator="greaterThan">
      <formula>0</formula>
    </cfRule>
  </conditionalFormatting>
  <conditionalFormatting sqref="E4545:E4567">
    <cfRule type="cellIs" dxfId="476" priority="481" operator="greaterThan">
      <formula>0</formula>
    </cfRule>
  </conditionalFormatting>
  <conditionalFormatting sqref="E4566:E4567">
    <cfRule type="cellIs" dxfId="475" priority="480" operator="greaterThan">
      <formula>0</formula>
    </cfRule>
  </conditionalFormatting>
  <conditionalFormatting sqref="E4567:E4568">
    <cfRule type="cellIs" dxfId="474" priority="478" operator="greaterThan">
      <formula>0</formula>
    </cfRule>
  </conditionalFormatting>
  <conditionalFormatting sqref="E4567:E4612">
    <cfRule type="cellIs" dxfId="473" priority="479" operator="greaterThan">
      <formula>0</formula>
    </cfRule>
  </conditionalFormatting>
  <conditionalFormatting sqref="E4609:E4615">
    <cfRule type="cellIs" dxfId="472" priority="476" operator="greaterThan">
      <formula>0</formula>
    </cfRule>
  </conditionalFormatting>
  <conditionalFormatting sqref="E4613:E4615">
    <cfRule type="cellIs" dxfId="471" priority="477" operator="greaterThan">
      <formula>0</formula>
    </cfRule>
  </conditionalFormatting>
  <conditionalFormatting sqref="F4538:F4615">
    <cfRule type="cellIs" dxfId="470" priority="474" operator="greaterThan">
      <formula>0</formula>
    </cfRule>
  </conditionalFormatting>
  <conditionalFormatting sqref="A4619:A4696">
    <cfRule type="cellIs" dxfId="469" priority="459" operator="equal">
      <formula>0</formula>
    </cfRule>
  </conditionalFormatting>
  <conditionalFormatting sqref="C4619:F4696">
    <cfRule type="cellIs" dxfId="468" priority="458" operator="equal">
      <formula>0</formula>
    </cfRule>
  </conditionalFormatting>
  <conditionalFormatting sqref="D4619:D4696">
    <cfRule type="cellIs" dxfId="467" priority="460" operator="greaterThan">
      <formula>0</formula>
    </cfRule>
  </conditionalFormatting>
  <conditionalFormatting sqref="E4619:E4625">
    <cfRule type="cellIs" dxfId="466" priority="470" operator="greaterThan">
      <formula>0</formula>
    </cfRule>
  </conditionalFormatting>
  <conditionalFormatting sqref="E4619:E4696">
    <cfRule type="cellIs" dxfId="465" priority="462" operator="greaterThan">
      <formula>0</formula>
    </cfRule>
  </conditionalFormatting>
  <conditionalFormatting sqref="E4624">
    <cfRule type="cellIs" dxfId="464" priority="469" operator="greaterThan">
      <formula>0</formula>
    </cfRule>
  </conditionalFormatting>
  <conditionalFormatting sqref="E4626:E4648">
    <cfRule type="cellIs" dxfId="463" priority="468" operator="greaterThan">
      <formula>0</formula>
    </cfRule>
  </conditionalFormatting>
  <conditionalFormatting sqref="E4647:E4648">
    <cfRule type="cellIs" dxfId="462" priority="467" operator="greaterThan">
      <formula>0</formula>
    </cfRule>
  </conditionalFormatting>
  <conditionalFormatting sqref="E4648:E4649">
    <cfRule type="cellIs" dxfId="461" priority="465" operator="greaterThan">
      <formula>0</formula>
    </cfRule>
  </conditionalFormatting>
  <conditionalFormatting sqref="E4648:E4693">
    <cfRule type="cellIs" dxfId="460" priority="466" operator="greaterThan">
      <formula>0</formula>
    </cfRule>
  </conditionalFormatting>
  <conditionalFormatting sqref="E4690:E4696">
    <cfRule type="cellIs" dxfId="459" priority="463" operator="greaterThan">
      <formula>0</formula>
    </cfRule>
  </conditionalFormatting>
  <conditionalFormatting sqref="E4694:E4696">
    <cfRule type="cellIs" dxfId="458" priority="464" operator="greaterThan">
      <formula>0</formula>
    </cfRule>
  </conditionalFormatting>
  <conditionalFormatting sqref="F4619:F4696">
    <cfRule type="cellIs" dxfId="457" priority="461" operator="greaterThan">
      <formula>0</formula>
    </cfRule>
  </conditionalFormatting>
  <conditionalFormatting sqref="A4700:A4777">
    <cfRule type="cellIs" dxfId="456" priority="446" operator="equal">
      <formula>0</formula>
    </cfRule>
  </conditionalFormatting>
  <conditionalFormatting sqref="C4700:F4777">
    <cfRule type="cellIs" dxfId="455" priority="445" operator="equal">
      <formula>0</formula>
    </cfRule>
  </conditionalFormatting>
  <conditionalFormatting sqref="D4700:D4777">
    <cfRule type="cellIs" dxfId="454" priority="447" operator="greaterThan">
      <formula>0</formula>
    </cfRule>
  </conditionalFormatting>
  <conditionalFormatting sqref="E4700:E4706">
    <cfRule type="cellIs" dxfId="453" priority="457" operator="greaterThan">
      <formula>0</formula>
    </cfRule>
  </conditionalFormatting>
  <conditionalFormatting sqref="E4700:E4777">
    <cfRule type="cellIs" dxfId="452" priority="449" operator="greaterThan">
      <formula>0</formula>
    </cfRule>
  </conditionalFormatting>
  <conditionalFormatting sqref="E4705">
    <cfRule type="cellIs" dxfId="451" priority="456" operator="greaterThan">
      <formula>0</formula>
    </cfRule>
  </conditionalFormatting>
  <conditionalFormatting sqref="E4707:E4729">
    <cfRule type="cellIs" dxfId="450" priority="455" operator="greaterThan">
      <formula>0</formula>
    </cfRule>
  </conditionalFormatting>
  <conditionalFormatting sqref="E4728:E4729">
    <cfRule type="cellIs" dxfId="449" priority="454" operator="greaterThan">
      <formula>0</formula>
    </cfRule>
  </conditionalFormatting>
  <conditionalFormatting sqref="E4729:E4730">
    <cfRule type="cellIs" dxfId="448" priority="452" operator="greaterThan">
      <formula>0</formula>
    </cfRule>
  </conditionalFormatting>
  <conditionalFormatting sqref="E4729:E4774">
    <cfRule type="cellIs" dxfId="447" priority="453" operator="greaterThan">
      <formula>0</formula>
    </cfRule>
  </conditionalFormatting>
  <conditionalFormatting sqref="E4771:E4777">
    <cfRule type="cellIs" dxfId="446" priority="450" operator="greaterThan">
      <formula>0</formula>
    </cfRule>
  </conditionalFormatting>
  <conditionalFormatting sqref="E4775:E4777">
    <cfRule type="cellIs" dxfId="445" priority="451" operator="greaterThan">
      <formula>0</formula>
    </cfRule>
  </conditionalFormatting>
  <conditionalFormatting sqref="F4700:F4777">
    <cfRule type="cellIs" dxfId="444" priority="448" operator="greaterThan">
      <formula>0</formula>
    </cfRule>
  </conditionalFormatting>
  <conditionalFormatting sqref="A4781:A4858">
    <cfRule type="cellIs" dxfId="443" priority="433" operator="equal">
      <formula>0</formula>
    </cfRule>
  </conditionalFormatting>
  <conditionalFormatting sqref="C4781:F4858">
    <cfRule type="cellIs" dxfId="442" priority="432" operator="equal">
      <formula>0</formula>
    </cfRule>
  </conditionalFormatting>
  <conditionalFormatting sqref="D4781:D4858">
    <cfRule type="cellIs" dxfId="441" priority="434" operator="greaterThan">
      <formula>0</formula>
    </cfRule>
  </conditionalFormatting>
  <conditionalFormatting sqref="E4781:E4787">
    <cfRule type="cellIs" dxfId="440" priority="444" operator="greaterThan">
      <formula>0</formula>
    </cfRule>
  </conditionalFormatting>
  <conditionalFormatting sqref="E4781:E4858">
    <cfRule type="cellIs" dxfId="439" priority="436" operator="greaterThan">
      <formula>0</formula>
    </cfRule>
  </conditionalFormatting>
  <conditionalFormatting sqref="E4786">
    <cfRule type="cellIs" dxfId="438" priority="443" operator="greaterThan">
      <formula>0</formula>
    </cfRule>
  </conditionalFormatting>
  <conditionalFormatting sqref="E4788:E4810">
    <cfRule type="cellIs" dxfId="437" priority="442" operator="greaterThan">
      <formula>0</formula>
    </cfRule>
  </conditionalFormatting>
  <conditionalFormatting sqref="E4809:E4810">
    <cfRule type="cellIs" dxfId="436" priority="441" operator="greaterThan">
      <formula>0</formula>
    </cfRule>
  </conditionalFormatting>
  <conditionalFormatting sqref="E4810:E4811">
    <cfRule type="cellIs" dxfId="435" priority="439" operator="greaterThan">
      <formula>0</formula>
    </cfRule>
  </conditionalFormatting>
  <conditionalFormatting sqref="E4810:E4855">
    <cfRule type="cellIs" dxfId="434" priority="440" operator="greaterThan">
      <formula>0</formula>
    </cfRule>
  </conditionalFormatting>
  <conditionalFormatting sqref="E4852:E4858">
    <cfRule type="cellIs" dxfId="433" priority="437" operator="greaterThan">
      <formula>0</formula>
    </cfRule>
  </conditionalFormatting>
  <conditionalFormatting sqref="E4856:E4858">
    <cfRule type="cellIs" dxfId="432" priority="438" operator="greaterThan">
      <formula>0</formula>
    </cfRule>
  </conditionalFormatting>
  <conditionalFormatting sqref="F4781:F4858">
    <cfRule type="cellIs" dxfId="431" priority="435" operator="greaterThan">
      <formula>0</formula>
    </cfRule>
  </conditionalFormatting>
  <conditionalFormatting sqref="A80">
    <cfRule type="cellIs" dxfId="430" priority="423" operator="equal">
      <formula>0</formula>
    </cfRule>
    <cfRule type="cellIs" dxfId="429" priority="424" operator="equal">
      <formula>0</formula>
    </cfRule>
    <cfRule type="cellIs" dxfId="428" priority="425" operator="equal">
      <formula>0</formula>
    </cfRule>
  </conditionalFormatting>
  <conditionalFormatting sqref="C80:F80">
    <cfRule type="cellIs" dxfId="427" priority="431" operator="equal">
      <formula>0</formula>
    </cfRule>
  </conditionalFormatting>
  <conditionalFormatting sqref="D80">
    <cfRule type="cellIs" dxfId="426" priority="426" operator="greaterThan">
      <formula>0</formula>
    </cfRule>
  </conditionalFormatting>
  <conditionalFormatting sqref="E80">
    <cfRule type="cellIs" dxfId="425" priority="428" operator="greaterThan">
      <formula>0</formula>
    </cfRule>
  </conditionalFormatting>
  <conditionalFormatting sqref="E80">
    <cfRule type="cellIs" dxfId="424" priority="429" operator="greaterThan">
      <formula>0</formula>
    </cfRule>
  </conditionalFormatting>
  <conditionalFormatting sqref="E80">
    <cfRule type="cellIs" dxfId="423" priority="430" operator="greaterThan">
      <formula>0</formula>
    </cfRule>
  </conditionalFormatting>
  <conditionalFormatting sqref="F80">
    <cfRule type="cellIs" dxfId="422" priority="427" operator="greaterThan">
      <formula>0</formula>
    </cfRule>
  </conditionalFormatting>
  <conditionalFormatting sqref="A161">
    <cfRule type="cellIs" dxfId="421" priority="416" operator="equal">
      <formula>0</formula>
    </cfRule>
  </conditionalFormatting>
  <conditionalFormatting sqref="C161:F161">
    <cfRule type="cellIs" dxfId="420" priority="422" operator="equal">
      <formula>0</formula>
    </cfRule>
  </conditionalFormatting>
  <conditionalFormatting sqref="D161">
    <cfRule type="cellIs" dxfId="419" priority="417" operator="greaterThan">
      <formula>0</formula>
    </cfRule>
  </conditionalFormatting>
  <conditionalFormatting sqref="E161">
    <cfRule type="cellIs" dxfId="418" priority="419" operator="greaterThan">
      <formula>0</formula>
    </cfRule>
  </conditionalFormatting>
  <conditionalFormatting sqref="E161">
    <cfRule type="cellIs" dxfId="417" priority="420" operator="greaterThan">
      <formula>0</formula>
    </cfRule>
  </conditionalFormatting>
  <conditionalFormatting sqref="E161">
    <cfRule type="cellIs" dxfId="416" priority="421" operator="greaterThan">
      <formula>0</formula>
    </cfRule>
  </conditionalFormatting>
  <conditionalFormatting sqref="F161">
    <cfRule type="cellIs" dxfId="415" priority="418" operator="greaterThan">
      <formula>0</formula>
    </cfRule>
  </conditionalFormatting>
  <conditionalFormatting sqref="A242">
    <cfRule type="cellIs" dxfId="414" priority="410" operator="equal">
      <formula>0</formula>
    </cfRule>
  </conditionalFormatting>
  <conditionalFormatting sqref="C242:F242">
    <cfRule type="cellIs" dxfId="413" priority="414" operator="equal">
      <formula>0</formula>
    </cfRule>
  </conditionalFormatting>
  <conditionalFormatting sqref="D242">
    <cfRule type="cellIs" dxfId="412" priority="411" operator="greaterThan">
      <formula>0</formula>
    </cfRule>
  </conditionalFormatting>
  <conditionalFormatting sqref="E242">
    <cfRule type="cellIs" dxfId="411" priority="413" operator="greaterThan">
      <formula>0</formula>
    </cfRule>
  </conditionalFormatting>
  <conditionalFormatting sqref="E242">
    <cfRule type="cellIs" dxfId="410" priority="415" operator="greaterThan">
      <formula>0</formula>
    </cfRule>
  </conditionalFormatting>
  <conditionalFormatting sqref="F242">
    <cfRule type="cellIs" dxfId="409" priority="412" operator="greaterThan">
      <formula>0</formula>
    </cfRule>
  </conditionalFormatting>
  <conditionalFormatting sqref="A323">
    <cfRule type="cellIs" dxfId="408" priority="404" operator="equal">
      <formula>0</formula>
    </cfRule>
  </conditionalFormatting>
  <conditionalFormatting sqref="C323:F323">
    <cfRule type="cellIs" dxfId="407" priority="408" operator="equal">
      <formula>0</formula>
    </cfRule>
  </conditionalFormatting>
  <conditionalFormatting sqref="D323">
    <cfRule type="cellIs" dxfId="406" priority="405" operator="greaterThan">
      <formula>0</formula>
    </cfRule>
  </conditionalFormatting>
  <conditionalFormatting sqref="E323">
    <cfRule type="cellIs" dxfId="405" priority="407" operator="greaterThan">
      <formula>0</formula>
    </cfRule>
  </conditionalFormatting>
  <conditionalFormatting sqref="E323">
    <cfRule type="cellIs" dxfId="404" priority="409" operator="greaterThan">
      <formula>0</formula>
    </cfRule>
  </conditionalFormatting>
  <conditionalFormatting sqref="F323">
    <cfRule type="cellIs" dxfId="403" priority="406" operator="greaterThan">
      <formula>0</formula>
    </cfRule>
  </conditionalFormatting>
  <conditionalFormatting sqref="A404">
    <cfRule type="cellIs" dxfId="402" priority="398" operator="equal">
      <formula>0</formula>
    </cfRule>
  </conditionalFormatting>
  <conditionalFormatting sqref="C404:F404">
    <cfRule type="cellIs" dxfId="401" priority="402" operator="equal">
      <formula>0</formula>
    </cfRule>
  </conditionalFormatting>
  <conditionalFormatting sqref="D404">
    <cfRule type="cellIs" dxfId="400" priority="399" operator="greaterThan">
      <formula>0</formula>
    </cfRule>
  </conditionalFormatting>
  <conditionalFormatting sqref="E404">
    <cfRule type="cellIs" dxfId="399" priority="401" operator="greaterThan">
      <formula>0</formula>
    </cfRule>
  </conditionalFormatting>
  <conditionalFormatting sqref="E404">
    <cfRule type="cellIs" dxfId="398" priority="403" operator="greaterThan">
      <formula>0</formula>
    </cfRule>
  </conditionalFormatting>
  <conditionalFormatting sqref="F404">
    <cfRule type="cellIs" dxfId="397" priority="400" operator="greaterThan">
      <formula>0</formula>
    </cfRule>
  </conditionalFormatting>
  <conditionalFormatting sqref="A485">
    <cfRule type="cellIs" dxfId="396" priority="392" operator="equal">
      <formula>0</formula>
    </cfRule>
  </conditionalFormatting>
  <conditionalFormatting sqref="C485:F485">
    <cfRule type="cellIs" dxfId="395" priority="396" operator="equal">
      <formula>0</formula>
    </cfRule>
  </conditionalFormatting>
  <conditionalFormatting sqref="D485">
    <cfRule type="cellIs" dxfId="394" priority="393" operator="greaterThan">
      <formula>0</formula>
    </cfRule>
  </conditionalFormatting>
  <conditionalFormatting sqref="E485">
    <cfRule type="cellIs" dxfId="393" priority="395" operator="greaterThan">
      <formula>0</formula>
    </cfRule>
  </conditionalFormatting>
  <conditionalFormatting sqref="E485">
    <cfRule type="cellIs" dxfId="392" priority="397" operator="greaterThan">
      <formula>0</formula>
    </cfRule>
  </conditionalFormatting>
  <conditionalFormatting sqref="F485">
    <cfRule type="cellIs" dxfId="391" priority="394" operator="greaterThan">
      <formula>0</formula>
    </cfRule>
  </conditionalFormatting>
  <conditionalFormatting sqref="A566">
    <cfRule type="cellIs" dxfId="390" priority="386" operator="equal">
      <formula>0</formula>
    </cfRule>
  </conditionalFormatting>
  <conditionalFormatting sqref="C566:F566">
    <cfRule type="cellIs" dxfId="389" priority="390" operator="equal">
      <formula>0</formula>
    </cfRule>
  </conditionalFormatting>
  <conditionalFormatting sqref="D566">
    <cfRule type="cellIs" dxfId="388" priority="387" operator="greaterThan">
      <formula>0</formula>
    </cfRule>
  </conditionalFormatting>
  <conditionalFormatting sqref="E566">
    <cfRule type="cellIs" dxfId="387" priority="389" operator="greaterThan">
      <formula>0</formula>
    </cfRule>
  </conditionalFormatting>
  <conditionalFormatting sqref="E566">
    <cfRule type="cellIs" dxfId="386" priority="391" operator="greaterThan">
      <formula>0</formula>
    </cfRule>
  </conditionalFormatting>
  <conditionalFormatting sqref="F566">
    <cfRule type="cellIs" dxfId="385" priority="388" operator="greaterThan">
      <formula>0</formula>
    </cfRule>
  </conditionalFormatting>
  <conditionalFormatting sqref="A647">
    <cfRule type="cellIs" dxfId="384" priority="380" operator="equal">
      <formula>0</formula>
    </cfRule>
  </conditionalFormatting>
  <conditionalFormatting sqref="C647:F647">
    <cfRule type="cellIs" dxfId="383" priority="384" operator="equal">
      <formula>0</formula>
    </cfRule>
  </conditionalFormatting>
  <conditionalFormatting sqref="D647">
    <cfRule type="cellIs" dxfId="382" priority="381" operator="greaterThan">
      <formula>0</formula>
    </cfRule>
  </conditionalFormatting>
  <conditionalFormatting sqref="E647">
    <cfRule type="cellIs" dxfId="381" priority="383" operator="greaterThan">
      <formula>0</formula>
    </cfRule>
  </conditionalFormatting>
  <conditionalFormatting sqref="E647">
    <cfRule type="cellIs" dxfId="380" priority="385" operator="greaterThan">
      <formula>0</formula>
    </cfRule>
  </conditionalFormatting>
  <conditionalFormatting sqref="F647">
    <cfRule type="cellIs" dxfId="379" priority="382" operator="greaterThan">
      <formula>0</formula>
    </cfRule>
  </conditionalFormatting>
  <conditionalFormatting sqref="A728">
    <cfRule type="cellIs" dxfId="378" priority="374" operator="equal">
      <formula>0</formula>
    </cfRule>
  </conditionalFormatting>
  <conditionalFormatting sqref="C728:F728">
    <cfRule type="cellIs" dxfId="377" priority="378" operator="equal">
      <formula>0</formula>
    </cfRule>
  </conditionalFormatting>
  <conditionalFormatting sqref="D728">
    <cfRule type="cellIs" dxfId="376" priority="375" operator="greaterThan">
      <formula>0</formula>
    </cfRule>
  </conditionalFormatting>
  <conditionalFormatting sqref="E728">
    <cfRule type="cellIs" dxfId="375" priority="377" operator="greaterThan">
      <formula>0</formula>
    </cfRule>
  </conditionalFormatting>
  <conditionalFormatting sqref="E728">
    <cfRule type="cellIs" dxfId="374" priority="379" operator="greaterThan">
      <formula>0</formula>
    </cfRule>
  </conditionalFormatting>
  <conditionalFormatting sqref="F728">
    <cfRule type="cellIs" dxfId="373" priority="376" operator="greaterThan">
      <formula>0</formula>
    </cfRule>
  </conditionalFormatting>
  <conditionalFormatting sqref="A809">
    <cfRule type="cellIs" dxfId="372" priority="368" operator="equal">
      <formula>0</formula>
    </cfRule>
  </conditionalFormatting>
  <conditionalFormatting sqref="C809:F809">
    <cfRule type="cellIs" dxfId="371" priority="372" operator="equal">
      <formula>0</formula>
    </cfRule>
  </conditionalFormatting>
  <conditionalFormatting sqref="D809">
    <cfRule type="cellIs" dxfId="370" priority="369" operator="greaterThan">
      <formula>0</formula>
    </cfRule>
  </conditionalFormatting>
  <conditionalFormatting sqref="E809">
    <cfRule type="cellIs" dxfId="369" priority="371" operator="greaterThan">
      <formula>0</formula>
    </cfRule>
  </conditionalFormatting>
  <conditionalFormatting sqref="E809">
    <cfRule type="cellIs" dxfId="368" priority="373" operator="greaterThan">
      <formula>0</formula>
    </cfRule>
  </conditionalFormatting>
  <conditionalFormatting sqref="F809">
    <cfRule type="cellIs" dxfId="367" priority="370" operator="greaterThan">
      <formula>0</formula>
    </cfRule>
  </conditionalFormatting>
  <conditionalFormatting sqref="A890">
    <cfRule type="cellIs" dxfId="366" priority="362" operator="equal">
      <formula>0</formula>
    </cfRule>
  </conditionalFormatting>
  <conditionalFormatting sqref="C890:F890">
    <cfRule type="cellIs" dxfId="365" priority="366" operator="equal">
      <formula>0</formula>
    </cfRule>
  </conditionalFormatting>
  <conditionalFormatting sqref="D890">
    <cfRule type="cellIs" dxfId="364" priority="363" operator="greaterThan">
      <formula>0</formula>
    </cfRule>
  </conditionalFormatting>
  <conditionalFormatting sqref="E890">
    <cfRule type="cellIs" dxfId="363" priority="365" operator="greaterThan">
      <formula>0</formula>
    </cfRule>
  </conditionalFormatting>
  <conditionalFormatting sqref="E890">
    <cfRule type="cellIs" dxfId="362" priority="367" operator="greaterThan">
      <formula>0</formula>
    </cfRule>
  </conditionalFormatting>
  <conditionalFormatting sqref="F890">
    <cfRule type="cellIs" dxfId="361" priority="364" operator="greaterThan">
      <formula>0</formula>
    </cfRule>
  </conditionalFormatting>
  <conditionalFormatting sqref="A971">
    <cfRule type="cellIs" dxfId="360" priority="356" operator="equal">
      <formula>0</formula>
    </cfRule>
  </conditionalFormatting>
  <conditionalFormatting sqref="C971:F971">
    <cfRule type="cellIs" dxfId="359" priority="360" operator="equal">
      <formula>0</formula>
    </cfRule>
  </conditionalFormatting>
  <conditionalFormatting sqref="D971">
    <cfRule type="cellIs" dxfId="358" priority="357" operator="greaterThan">
      <formula>0</formula>
    </cfRule>
  </conditionalFormatting>
  <conditionalFormatting sqref="E971">
    <cfRule type="cellIs" dxfId="357" priority="359" operator="greaterThan">
      <formula>0</formula>
    </cfRule>
  </conditionalFormatting>
  <conditionalFormatting sqref="E971">
    <cfRule type="cellIs" dxfId="356" priority="361" operator="greaterThan">
      <formula>0</formula>
    </cfRule>
  </conditionalFormatting>
  <conditionalFormatting sqref="F971">
    <cfRule type="cellIs" dxfId="355" priority="358" operator="greaterThan">
      <formula>0</formula>
    </cfRule>
  </conditionalFormatting>
  <conditionalFormatting sqref="A1052">
    <cfRule type="cellIs" dxfId="354" priority="350" operator="equal">
      <formula>0</formula>
    </cfRule>
  </conditionalFormatting>
  <conditionalFormatting sqref="C1052:F1052">
    <cfRule type="cellIs" dxfId="353" priority="354" operator="equal">
      <formula>0</formula>
    </cfRule>
  </conditionalFormatting>
  <conditionalFormatting sqref="D1052">
    <cfRule type="cellIs" dxfId="352" priority="351" operator="greaterThan">
      <formula>0</formula>
    </cfRule>
  </conditionalFormatting>
  <conditionalFormatting sqref="E1052">
    <cfRule type="cellIs" dxfId="351" priority="353" operator="greaterThan">
      <formula>0</formula>
    </cfRule>
  </conditionalFormatting>
  <conditionalFormatting sqref="E1052">
    <cfRule type="cellIs" dxfId="350" priority="355" operator="greaterThan">
      <formula>0</formula>
    </cfRule>
  </conditionalFormatting>
  <conditionalFormatting sqref="F1052">
    <cfRule type="cellIs" dxfId="349" priority="352" operator="greaterThan">
      <formula>0</formula>
    </cfRule>
  </conditionalFormatting>
  <conditionalFormatting sqref="A1133">
    <cfRule type="cellIs" dxfId="348" priority="345" operator="equal">
      <formula>0</formula>
    </cfRule>
  </conditionalFormatting>
  <conditionalFormatting sqref="C1133:F1133">
    <cfRule type="cellIs" dxfId="347" priority="344" operator="equal">
      <formula>0</formula>
    </cfRule>
  </conditionalFormatting>
  <conditionalFormatting sqref="D1133">
    <cfRule type="cellIs" dxfId="346" priority="346" operator="greaterThan">
      <formula>0</formula>
    </cfRule>
  </conditionalFormatting>
  <conditionalFormatting sqref="E1133">
    <cfRule type="cellIs" dxfId="345" priority="348" operator="greaterThan">
      <formula>0</formula>
    </cfRule>
  </conditionalFormatting>
  <conditionalFormatting sqref="E1133">
    <cfRule type="cellIs" dxfId="344" priority="349" operator="greaterThan">
      <formula>0</formula>
    </cfRule>
  </conditionalFormatting>
  <conditionalFormatting sqref="F1133">
    <cfRule type="cellIs" dxfId="343" priority="347" operator="greaterThan">
      <formula>0</formula>
    </cfRule>
  </conditionalFormatting>
  <conditionalFormatting sqref="A1214">
    <cfRule type="cellIs" dxfId="342" priority="339" operator="equal">
      <formula>0</formula>
    </cfRule>
  </conditionalFormatting>
  <conditionalFormatting sqref="C1214:F1214">
    <cfRule type="cellIs" dxfId="341" priority="338" operator="equal">
      <formula>0</formula>
    </cfRule>
  </conditionalFormatting>
  <conditionalFormatting sqref="D1214">
    <cfRule type="cellIs" dxfId="340" priority="340" operator="greaterThan">
      <formula>0</formula>
    </cfRule>
  </conditionalFormatting>
  <conditionalFormatting sqref="E1214">
    <cfRule type="cellIs" dxfId="339" priority="342" operator="greaterThan">
      <formula>0</formula>
    </cfRule>
  </conditionalFormatting>
  <conditionalFormatting sqref="E1214">
    <cfRule type="cellIs" dxfId="338" priority="343" operator="greaterThan">
      <formula>0</formula>
    </cfRule>
  </conditionalFormatting>
  <conditionalFormatting sqref="F1214">
    <cfRule type="cellIs" dxfId="337" priority="341" operator="greaterThan">
      <formula>0</formula>
    </cfRule>
  </conditionalFormatting>
  <conditionalFormatting sqref="A1295">
    <cfRule type="cellIs" dxfId="336" priority="333" operator="equal">
      <formula>0</formula>
    </cfRule>
  </conditionalFormatting>
  <conditionalFormatting sqref="C1295:F1295">
    <cfRule type="cellIs" dxfId="335" priority="332" operator="equal">
      <formula>0</formula>
    </cfRule>
  </conditionalFormatting>
  <conditionalFormatting sqref="D1295">
    <cfRule type="cellIs" dxfId="334" priority="334" operator="greaterThan">
      <formula>0</formula>
    </cfRule>
  </conditionalFormatting>
  <conditionalFormatting sqref="E1295">
    <cfRule type="cellIs" dxfId="333" priority="336" operator="greaterThan">
      <formula>0</formula>
    </cfRule>
  </conditionalFormatting>
  <conditionalFormatting sqref="E1295">
    <cfRule type="cellIs" dxfId="332" priority="337" operator="greaterThan">
      <formula>0</formula>
    </cfRule>
  </conditionalFormatting>
  <conditionalFormatting sqref="F1295">
    <cfRule type="cellIs" dxfId="331" priority="335" operator="greaterThan">
      <formula>0</formula>
    </cfRule>
  </conditionalFormatting>
  <conditionalFormatting sqref="A1376">
    <cfRule type="cellIs" dxfId="330" priority="327" operator="equal">
      <formula>0</formula>
    </cfRule>
  </conditionalFormatting>
  <conditionalFormatting sqref="C1376:F1376">
    <cfRule type="cellIs" dxfId="329" priority="326" operator="equal">
      <formula>0</formula>
    </cfRule>
  </conditionalFormatting>
  <conditionalFormatting sqref="D1376">
    <cfRule type="cellIs" dxfId="328" priority="328" operator="greaterThan">
      <formula>0</formula>
    </cfRule>
  </conditionalFormatting>
  <conditionalFormatting sqref="E1376">
    <cfRule type="cellIs" dxfId="327" priority="330" operator="greaterThan">
      <formula>0</formula>
    </cfRule>
  </conditionalFormatting>
  <conditionalFormatting sqref="E1376">
    <cfRule type="cellIs" dxfId="326" priority="331" operator="greaterThan">
      <formula>0</formula>
    </cfRule>
  </conditionalFormatting>
  <conditionalFormatting sqref="F1376">
    <cfRule type="cellIs" dxfId="325" priority="329" operator="greaterThan">
      <formula>0</formula>
    </cfRule>
  </conditionalFormatting>
  <conditionalFormatting sqref="A1457">
    <cfRule type="cellIs" dxfId="324" priority="321" operator="equal">
      <formula>0</formula>
    </cfRule>
  </conditionalFormatting>
  <conditionalFormatting sqref="C1457:F1457">
    <cfRule type="cellIs" dxfId="323" priority="320" operator="equal">
      <formula>0</formula>
    </cfRule>
  </conditionalFormatting>
  <conditionalFormatting sqref="D1457">
    <cfRule type="cellIs" dxfId="322" priority="322" operator="greaterThan">
      <formula>0</formula>
    </cfRule>
  </conditionalFormatting>
  <conditionalFormatting sqref="E1457">
    <cfRule type="cellIs" dxfId="321" priority="324" operator="greaterThan">
      <formula>0</formula>
    </cfRule>
  </conditionalFormatting>
  <conditionalFormatting sqref="E1457">
    <cfRule type="cellIs" dxfId="320" priority="325" operator="greaterThan">
      <formula>0</formula>
    </cfRule>
  </conditionalFormatting>
  <conditionalFormatting sqref="F1457">
    <cfRule type="cellIs" dxfId="319" priority="323" operator="greaterThan">
      <formula>0</formula>
    </cfRule>
  </conditionalFormatting>
  <conditionalFormatting sqref="A1538">
    <cfRule type="cellIs" dxfId="318" priority="315" operator="equal">
      <formula>0</formula>
    </cfRule>
  </conditionalFormatting>
  <conditionalFormatting sqref="C1538:F1538">
    <cfRule type="cellIs" dxfId="317" priority="314" operator="equal">
      <formula>0</formula>
    </cfRule>
  </conditionalFormatting>
  <conditionalFormatting sqref="D1538">
    <cfRule type="cellIs" dxfId="316" priority="316" operator="greaterThan">
      <formula>0</formula>
    </cfRule>
  </conditionalFormatting>
  <conditionalFormatting sqref="E1538">
    <cfRule type="cellIs" dxfId="315" priority="318" operator="greaterThan">
      <formula>0</formula>
    </cfRule>
  </conditionalFormatting>
  <conditionalFormatting sqref="E1538">
    <cfRule type="cellIs" dxfId="314" priority="319" operator="greaterThan">
      <formula>0</formula>
    </cfRule>
  </conditionalFormatting>
  <conditionalFormatting sqref="F1538">
    <cfRule type="cellIs" dxfId="313" priority="317" operator="greaterThan">
      <formula>0</formula>
    </cfRule>
  </conditionalFormatting>
  <conditionalFormatting sqref="A1619">
    <cfRule type="cellIs" dxfId="312" priority="309" operator="equal">
      <formula>0</formula>
    </cfRule>
  </conditionalFormatting>
  <conditionalFormatting sqref="C1619:F1619">
    <cfRule type="cellIs" dxfId="311" priority="308" operator="equal">
      <formula>0</formula>
    </cfRule>
  </conditionalFormatting>
  <conditionalFormatting sqref="D1619">
    <cfRule type="cellIs" dxfId="310" priority="310" operator="greaterThan">
      <formula>0</formula>
    </cfRule>
  </conditionalFormatting>
  <conditionalFormatting sqref="E1619">
    <cfRule type="cellIs" dxfId="309" priority="312" operator="greaterThan">
      <formula>0</formula>
    </cfRule>
  </conditionalFormatting>
  <conditionalFormatting sqref="E1619">
    <cfRule type="cellIs" dxfId="308" priority="313" operator="greaterThan">
      <formula>0</formula>
    </cfRule>
  </conditionalFormatting>
  <conditionalFormatting sqref="F1619">
    <cfRule type="cellIs" dxfId="307" priority="311" operator="greaterThan">
      <formula>0</formula>
    </cfRule>
  </conditionalFormatting>
  <conditionalFormatting sqref="A1700">
    <cfRule type="cellIs" dxfId="306" priority="303" operator="equal">
      <formula>0</formula>
    </cfRule>
  </conditionalFormatting>
  <conditionalFormatting sqref="C1700:F1700">
    <cfRule type="cellIs" dxfId="305" priority="302" operator="equal">
      <formula>0</formula>
    </cfRule>
  </conditionalFormatting>
  <conditionalFormatting sqref="D1700">
    <cfRule type="cellIs" dxfId="304" priority="304" operator="greaterThan">
      <formula>0</formula>
    </cfRule>
  </conditionalFormatting>
  <conditionalFormatting sqref="E1700">
    <cfRule type="cellIs" dxfId="303" priority="306" operator="greaterThan">
      <formula>0</formula>
    </cfRule>
  </conditionalFormatting>
  <conditionalFormatting sqref="E1700">
    <cfRule type="cellIs" dxfId="302" priority="307" operator="greaterThan">
      <formula>0</formula>
    </cfRule>
  </conditionalFormatting>
  <conditionalFormatting sqref="F1700">
    <cfRule type="cellIs" dxfId="301" priority="305" operator="greaterThan">
      <formula>0</formula>
    </cfRule>
  </conditionalFormatting>
  <conditionalFormatting sqref="A1781">
    <cfRule type="cellIs" dxfId="300" priority="297" operator="equal">
      <formula>0</formula>
    </cfRule>
  </conditionalFormatting>
  <conditionalFormatting sqref="C1781:F1781">
    <cfRule type="cellIs" dxfId="299" priority="296" operator="equal">
      <formula>0</formula>
    </cfRule>
  </conditionalFormatting>
  <conditionalFormatting sqref="D1781">
    <cfRule type="cellIs" dxfId="298" priority="298" operator="greaterThan">
      <formula>0</formula>
    </cfRule>
  </conditionalFormatting>
  <conditionalFormatting sqref="E1781">
    <cfRule type="cellIs" dxfId="297" priority="300" operator="greaterThan">
      <formula>0</formula>
    </cfRule>
  </conditionalFormatting>
  <conditionalFormatting sqref="E1781">
    <cfRule type="cellIs" dxfId="296" priority="301" operator="greaterThan">
      <formula>0</formula>
    </cfRule>
  </conditionalFormatting>
  <conditionalFormatting sqref="F1781">
    <cfRule type="cellIs" dxfId="295" priority="299" operator="greaterThan">
      <formula>0</formula>
    </cfRule>
  </conditionalFormatting>
  <conditionalFormatting sqref="A1862">
    <cfRule type="cellIs" dxfId="294" priority="291" operator="equal">
      <formula>0</formula>
    </cfRule>
  </conditionalFormatting>
  <conditionalFormatting sqref="C1862:F1862">
    <cfRule type="cellIs" dxfId="293" priority="290" operator="equal">
      <formula>0</formula>
    </cfRule>
  </conditionalFormatting>
  <conditionalFormatting sqref="D1862">
    <cfRule type="cellIs" dxfId="292" priority="292" operator="greaterThan">
      <formula>0</formula>
    </cfRule>
  </conditionalFormatting>
  <conditionalFormatting sqref="E1862">
    <cfRule type="cellIs" dxfId="291" priority="294" operator="greaterThan">
      <formula>0</formula>
    </cfRule>
  </conditionalFormatting>
  <conditionalFormatting sqref="E1862">
    <cfRule type="cellIs" dxfId="290" priority="295" operator="greaterThan">
      <formula>0</formula>
    </cfRule>
  </conditionalFormatting>
  <conditionalFormatting sqref="F1862">
    <cfRule type="cellIs" dxfId="289" priority="293" operator="greaterThan">
      <formula>0</formula>
    </cfRule>
  </conditionalFormatting>
  <conditionalFormatting sqref="A1943">
    <cfRule type="cellIs" dxfId="288" priority="285" operator="equal">
      <formula>0</formula>
    </cfRule>
  </conditionalFormatting>
  <conditionalFormatting sqref="C1943:G1943">
    <cfRule type="cellIs" dxfId="287" priority="284" operator="equal">
      <formula>0</formula>
    </cfRule>
  </conditionalFormatting>
  <conditionalFormatting sqref="D1943">
    <cfRule type="cellIs" dxfId="286" priority="286" operator="greaterThan">
      <formula>0</formula>
    </cfRule>
  </conditionalFormatting>
  <conditionalFormatting sqref="E1943">
    <cfRule type="cellIs" dxfId="285" priority="288" operator="greaterThan">
      <formula>0</formula>
    </cfRule>
  </conditionalFormatting>
  <conditionalFormatting sqref="E1943">
    <cfRule type="cellIs" dxfId="284" priority="289" operator="greaterThan">
      <formula>0</formula>
    </cfRule>
  </conditionalFormatting>
  <conditionalFormatting sqref="F1943">
    <cfRule type="cellIs" dxfId="283" priority="287" operator="greaterThan">
      <formula>0</formula>
    </cfRule>
  </conditionalFormatting>
  <conditionalFormatting sqref="G1943">
    <cfRule type="cellIs" dxfId="282" priority="283" operator="greaterThan">
      <formula>0</formula>
    </cfRule>
  </conditionalFormatting>
  <conditionalFormatting sqref="A2024">
    <cfRule type="cellIs" dxfId="281" priority="278" operator="equal">
      <formula>0</formula>
    </cfRule>
  </conditionalFormatting>
  <conditionalFormatting sqref="C2024:G2024">
    <cfRule type="cellIs" dxfId="280" priority="277" operator="equal">
      <formula>0</formula>
    </cfRule>
  </conditionalFormatting>
  <conditionalFormatting sqref="D2024">
    <cfRule type="cellIs" dxfId="279" priority="279" operator="greaterThan">
      <formula>0</formula>
    </cfRule>
  </conditionalFormatting>
  <conditionalFormatting sqref="E2024">
    <cfRule type="cellIs" dxfId="278" priority="281" operator="greaterThan">
      <formula>0</formula>
    </cfRule>
  </conditionalFormatting>
  <conditionalFormatting sqref="E2024">
    <cfRule type="cellIs" dxfId="277" priority="282" operator="greaterThan">
      <formula>0</formula>
    </cfRule>
  </conditionalFormatting>
  <conditionalFormatting sqref="F2024">
    <cfRule type="cellIs" dxfId="276" priority="280" operator="greaterThan">
      <formula>0</formula>
    </cfRule>
  </conditionalFormatting>
  <conditionalFormatting sqref="G2024">
    <cfRule type="cellIs" dxfId="275" priority="276" operator="greaterThan">
      <formula>0</formula>
    </cfRule>
  </conditionalFormatting>
  <conditionalFormatting sqref="A2105">
    <cfRule type="cellIs" dxfId="274" priority="271" operator="equal">
      <formula>0</formula>
    </cfRule>
  </conditionalFormatting>
  <conditionalFormatting sqref="C2105:G2105">
    <cfRule type="cellIs" dxfId="273" priority="270" operator="equal">
      <formula>0</formula>
    </cfRule>
  </conditionalFormatting>
  <conditionalFormatting sqref="D2105">
    <cfRule type="cellIs" dxfId="272" priority="272" operator="greaterThan">
      <formula>0</formula>
    </cfRule>
  </conditionalFormatting>
  <conditionalFormatting sqref="E2105">
    <cfRule type="cellIs" dxfId="271" priority="274" operator="greaterThan">
      <formula>0</formula>
    </cfRule>
  </conditionalFormatting>
  <conditionalFormatting sqref="E2105">
    <cfRule type="cellIs" dxfId="270" priority="275" operator="greaterThan">
      <formula>0</formula>
    </cfRule>
  </conditionalFormatting>
  <conditionalFormatting sqref="F2105">
    <cfRule type="cellIs" dxfId="269" priority="273" operator="greaterThan">
      <formula>0</formula>
    </cfRule>
  </conditionalFormatting>
  <conditionalFormatting sqref="G2105">
    <cfRule type="cellIs" dxfId="268" priority="269" operator="greaterThan">
      <formula>0</formula>
    </cfRule>
  </conditionalFormatting>
  <conditionalFormatting sqref="A2186">
    <cfRule type="cellIs" dxfId="267" priority="264" operator="equal">
      <formula>0</formula>
    </cfRule>
  </conditionalFormatting>
  <conditionalFormatting sqref="C2186:G2186">
    <cfRule type="cellIs" dxfId="266" priority="263" operator="equal">
      <formula>0</formula>
    </cfRule>
  </conditionalFormatting>
  <conditionalFormatting sqref="D2186">
    <cfRule type="cellIs" dxfId="265" priority="265" operator="greaterThan">
      <formula>0</formula>
    </cfRule>
  </conditionalFormatting>
  <conditionalFormatting sqref="E2186">
    <cfRule type="cellIs" dxfId="264" priority="267" operator="greaterThan">
      <formula>0</formula>
    </cfRule>
  </conditionalFormatting>
  <conditionalFormatting sqref="E2186">
    <cfRule type="cellIs" dxfId="263" priority="268" operator="greaterThan">
      <formula>0</formula>
    </cfRule>
  </conditionalFormatting>
  <conditionalFormatting sqref="F2186">
    <cfRule type="cellIs" dxfId="262" priority="266" operator="greaterThan">
      <formula>0</formula>
    </cfRule>
  </conditionalFormatting>
  <conditionalFormatting sqref="G2186">
    <cfRule type="cellIs" dxfId="261" priority="262" operator="greaterThan">
      <formula>0</formula>
    </cfRule>
  </conditionalFormatting>
  <conditionalFormatting sqref="A2267">
    <cfRule type="cellIs" dxfId="260" priority="257" operator="equal">
      <formula>0</formula>
    </cfRule>
  </conditionalFormatting>
  <conditionalFormatting sqref="C2267:G2267">
    <cfRule type="cellIs" dxfId="259" priority="256" operator="equal">
      <formula>0</formula>
    </cfRule>
  </conditionalFormatting>
  <conditionalFormatting sqref="D2267">
    <cfRule type="cellIs" dxfId="258" priority="258" operator="greaterThan">
      <formula>0</formula>
    </cfRule>
  </conditionalFormatting>
  <conditionalFormatting sqref="E2267">
    <cfRule type="cellIs" dxfId="257" priority="260" operator="greaterThan">
      <formula>0</formula>
    </cfRule>
  </conditionalFormatting>
  <conditionalFormatting sqref="E2267">
    <cfRule type="cellIs" dxfId="256" priority="261" operator="greaterThan">
      <formula>0</formula>
    </cfRule>
  </conditionalFormatting>
  <conditionalFormatting sqref="F2267">
    <cfRule type="cellIs" dxfId="255" priority="259" operator="greaterThan">
      <formula>0</formula>
    </cfRule>
  </conditionalFormatting>
  <conditionalFormatting sqref="G2267">
    <cfRule type="cellIs" dxfId="254" priority="255" operator="greaterThan">
      <formula>0</formula>
    </cfRule>
  </conditionalFormatting>
  <conditionalFormatting sqref="A2348">
    <cfRule type="cellIs" dxfId="253" priority="250" operator="equal">
      <formula>0</formula>
    </cfRule>
  </conditionalFormatting>
  <conditionalFormatting sqref="C2348:G2348">
    <cfRule type="cellIs" dxfId="252" priority="249" operator="equal">
      <formula>0</formula>
    </cfRule>
  </conditionalFormatting>
  <conditionalFormatting sqref="D2348">
    <cfRule type="cellIs" dxfId="251" priority="251" operator="greaterThan">
      <formula>0</formula>
    </cfRule>
  </conditionalFormatting>
  <conditionalFormatting sqref="E2348">
    <cfRule type="cellIs" dxfId="250" priority="253" operator="greaterThan">
      <formula>0</formula>
    </cfRule>
  </conditionalFormatting>
  <conditionalFormatting sqref="E2348">
    <cfRule type="cellIs" dxfId="249" priority="254" operator="greaterThan">
      <formula>0</formula>
    </cfRule>
  </conditionalFormatting>
  <conditionalFormatting sqref="F2348">
    <cfRule type="cellIs" dxfId="248" priority="252" operator="greaterThan">
      <formula>0</formula>
    </cfRule>
  </conditionalFormatting>
  <conditionalFormatting sqref="G2348">
    <cfRule type="cellIs" dxfId="247" priority="248" operator="greaterThan">
      <formula>0</formula>
    </cfRule>
  </conditionalFormatting>
  <conditionalFormatting sqref="A2429">
    <cfRule type="cellIs" dxfId="246" priority="243" operator="equal">
      <formula>0</formula>
    </cfRule>
  </conditionalFormatting>
  <conditionalFormatting sqref="C2429:G2429">
    <cfRule type="cellIs" dxfId="245" priority="242" operator="equal">
      <formula>0</formula>
    </cfRule>
  </conditionalFormatting>
  <conditionalFormatting sqref="D2429">
    <cfRule type="cellIs" dxfId="244" priority="244" operator="greaterThan">
      <formula>0</formula>
    </cfRule>
  </conditionalFormatting>
  <conditionalFormatting sqref="E2429">
    <cfRule type="cellIs" dxfId="243" priority="246" operator="greaterThan">
      <formula>0</formula>
    </cfRule>
  </conditionalFormatting>
  <conditionalFormatting sqref="E2429">
    <cfRule type="cellIs" dxfId="242" priority="247" operator="greaterThan">
      <formula>0</formula>
    </cfRule>
  </conditionalFormatting>
  <conditionalFormatting sqref="F2429">
    <cfRule type="cellIs" dxfId="241" priority="245" operator="greaterThan">
      <formula>0</formula>
    </cfRule>
  </conditionalFormatting>
  <conditionalFormatting sqref="G2429">
    <cfRule type="cellIs" dxfId="240" priority="241" operator="greaterThan">
      <formula>0</formula>
    </cfRule>
  </conditionalFormatting>
  <conditionalFormatting sqref="A2510">
    <cfRule type="cellIs" dxfId="239" priority="236" operator="equal">
      <formula>0</formula>
    </cfRule>
  </conditionalFormatting>
  <conditionalFormatting sqref="C2510:G2510">
    <cfRule type="cellIs" dxfId="238" priority="235" operator="equal">
      <formula>0</formula>
    </cfRule>
  </conditionalFormatting>
  <conditionalFormatting sqref="D2510">
    <cfRule type="cellIs" dxfId="237" priority="237" operator="greaterThan">
      <formula>0</formula>
    </cfRule>
  </conditionalFormatting>
  <conditionalFormatting sqref="E2510">
    <cfRule type="cellIs" dxfId="236" priority="239" operator="greaterThan">
      <formula>0</formula>
    </cfRule>
  </conditionalFormatting>
  <conditionalFormatting sqref="E2510">
    <cfRule type="cellIs" dxfId="235" priority="240" operator="greaterThan">
      <formula>0</formula>
    </cfRule>
  </conditionalFormatting>
  <conditionalFormatting sqref="F2510">
    <cfRule type="cellIs" dxfId="234" priority="238" operator="greaterThan">
      <formula>0</formula>
    </cfRule>
  </conditionalFormatting>
  <conditionalFormatting sqref="G2510">
    <cfRule type="cellIs" dxfId="233" priority="234" operator="greaterThan">
      <formula>0</formula>
    </cfRule>
  </conditionalFormatting>
  <conditionalFormatting sqref="A2591">
    <cfRule type="cellIs" dxfId="232" priority="229" operator="equal">
      <formula>0</formula>
    </cfRule>
  </conditionalFormatting>
  <conditionalFormatting sqref="C2591:G2591">
    <cfRule type="cellIs" dxfId="231" priority="228" operator="equal">
      <formula>0</formula>
    </cfRule>
  </conditionalFormatting>
  <conditionalFormatting sqref="D2591">
    <cfRule type="cellIs" dxfId="230" priority="230" operator="greaterThan">
      <formula>0</formula>
    </cfRule>
  </conditionalFormatting>
  <conditionalFormatting sqref="E2591">
    <cfRule type="cellIs" dxfId="229" priority="232" operator="greaterThan">
      <formula>0</formula>
    </cfRule>
  </conditionalFormatting>
  <conditionalFormatting sqref="E2591">
    <cfRule type="cellIs" dxfId="228" priority="233" operator="greaterThan">
      <formula>0</formula>
    </cfRule>
  </conditionalFormatting>
  <conditionalFormatting sqref="F2591">
    <cfRule type="cellIs" dxfId="227" priority="231" operator="greaterThan">
      <formula>0</formula>
    </cfRule>
  </conditionalFormatting>
  <conditionalFormatting sqref="G2591">
    <cfRule type="cellIs" dxfId="226" priority="227" operator="greaterThan">
      <formula>0</formula>
    </cfRule>
  </conditionalFormatting>
  <conditionalFormatting sqref="A2672">
    <cfRule type="cellIs" dxfId="225" priority="222" operator="equal">
      <formula>0</formula>
    </cfRule>
  </conditionalFormatting>
  <conditionalFormatting sqref="C2672:G2672">
    <cfRule type="cellIs" dxfId="224" priority="221" operator="equal">
      <formula>0</formula>
    </cfRule>
  </conditionalFormatting>
  <conditionalFormatting sqref="D2672">
    <cfRule type="cellIs" dxfId="223" priority="223" operator="greaterThan">
      <formula>0</formula>
    </cfRule>
  </conditionalFormatting>
  <conditionalFormatting sqref="E2672">
    <cfRule type="cellIs" dxfId="222" priority="225" operator="greaterThan">
      <formula>0</formula>
    </cfRule>
  </conditionalFormatting>
  <conditionalFormatting sqref="E2672">
    <cfRule type="cellIs" dxfId="221" priority="226" operator="greaterThan">
      <formula>0</formula>
    </cfRule>
  </conditionalFormatting>
  <conditionalFormatting sqref="F2672">
    <cfRule type="cellIs" dxfId="220" priority="224" operator="greaterThan">
      <formula>0</formula>
    </cfRule>
  </conditionalFormatting>
  <conditionalFormatting sqref="G2672">
    <cfRule type="cellIs" dxfId="219" priority="220" operator="greaterThan">
      <formula>0</formula>
    </cfRule>
  </conditionalFormatting>
  <conditionalFormatting sqref="A2753">
    <cfRule type="cellIs" dxfId="218" priority="215" operator="equal">
      <formula>0</formula>
    </cfRule>
  </conditionalFormatting>
  <conditionalFormatting sqref="C2753:G2753">
    <cfRule type="cellIs" dxfId="217" priority="214" operator="equal">
      <formula>0</formula>
    </cfRule>
  </conditionalFormatting>
  <conditionalFormatting sqref="D2753">
    <cfRule type="cellIs" dxfId="216" priority="216" operator="greaterThan">
      <formula>0</formula>
    </cfRule>
  </conditionalFormatting>
  <conditionalFormatting sqref="E2753">
    <cfRule type="cellIs" dxfId="215" priority="218" operator="greaterThan">
      <formula>0</formula>
    </cfRule>
  </conditionalFormatting>
  <conditionalFormatting sqref="E2753">
    <cfRule type="cellIs" dxfId="214" priority="219" operator="greaterThan">
      <formula>0</formula>
    </cfRule>
  </conditionalFormatting>
  <conditionalFormatting sqref="F2753">
    <cfRule type="cellIs" dxfId="213" priority="217" operator="greaterThan">
      <formula>0</formula>
    </cfRule>
  </conditionalFormatting>
  <conditionalFormatting sqref="G2753">
    <cfRule type="cellIs" dxfId="212" priority="213" operator="greaterThan">
      <formula>0</formula>
    </cfRule>
  </conditionalFormatting>
  <conditionalFormatting sqref="A2834">
    <cfRule type="cellIs" dxfId="211" priority="208" operator="equal">
      <formula>0</formula>
    </cfRule>
  </conditionalFormatting>
  <conditionalFormatting sqref="C2834:G2834">
    <cfRule type="cellIs" dxfId="210" priority="207" operator="equal">
      <formula>0</formula>
    </cfRule>
  </conditionalFormatting>
  <conditionalFormatting sqref="D2834">
    <cfRule type="cellIs" dxfId="209" priority="209" operator="greaterThan">
      <formula>0</formula>
    </cfRule>
  </conditionalFormatting>
  <conditionalFormatting sqref="E2834">
    <cfRule type="cellIs" dxfId="208" priority="211" operator="greaterThan">
      <formula>0</formula>
    </cfRule>
  </conditionalFormatting>
  <conditionalFormatting sqref="E2834">
    <cfRule type="cellIs" dxfId="207" priority="212" operator="greaterThan">
      <formula>0</formula>
    </cfRule>
  </conditionalFormatting>
  <conditionalFormatting sqref="F2834">
    <cfRule type="cellIs" dxfId="206" priority="210" operator="greaterThan">
      <formula>0</formula>
    </cfRule>
  </conditionalFormatting>
  <conditionalFormatting sqref="G2834">
    <cfRule type="cellIs" dxfId="205" priority="206" operator="greaterThan">
      <formula>0</formula>
    </cfRule>
  </conditionalFormatting>
  <conditionalFormatting sqref="A2915">
    <cfRule type="cellIs" dxfId="204" priority="201" operator="equal">
      <formula>0</formula>
    </cfRule>
  </conditionalFormatting>
  <conditionalFormatting sqref="C2915:G2915">
    <cfRule type="cellIs" dxfId="203" priority="200" operator="equal">
      <formula>0</formula>
    </cfRule>
  </conditionalFormatting>
  <conditionalFormatting sqref="D2915">
    <cfRule type="cellIs" dxfId="202" priority="202" operator="greaterThan">
      <formula>0</formula>
    </cfRule>
  </conditionalFormatting>
  <conditionalFormatting sqref="E2915">
    <cfRule type="cellIs" dxfId="201" priority="204" operator="greaterThan">
      <formula>0</formula>
    </cfRule>
  </conditionalFormatting>
  <conditionalFormatting sqref="E2915">
    <cfRule type="cellIs" dxfId="200" priority="205" operator="greaterThan">
      <formula>0</formula>
    </cfRule>
  </conditionalFormatting>
  <conditionalFormatting sqref="F2915">
    <cfRule type="cellIs" dxfId="199" priority="203" operator="greaterThan">
      <formula>0</formula>
    </cfRule>
  </conditionalFormatting>
  <conditionalFormatting sqref="G2915">
    <cfRule type="cellIs" dxfId="198" priority="199" operator="greaterThan">
      <formula>0</formula>
    </cfRule>
  </conditionalFormatting>
  <conditionalFormatting sqref="A2996">
    <cfRule type="cellIs" dxfId="197" priority="194" operator="equal">
      <formula>0</formula>
    </cfRule>
  </conditionalFormatting>
  <conditionalFormatting sqref="C2996:G2996">
    <cfRule type="cellIs" dxfId="196" priority="193" operator="equal">
      <formula>0</formula>
    </cfRule>
  </conditionalFormatting>
  <conditionalFormatting sqref="D2996">
    <cfRule type="cellIs" dxfId="195" priority="195" operator="greaterThan">
      <formula>0</formula>
    </cfRule>
  </conditionalFormatting>
  <conditionalFormatting sqref="E2996">
    <cfRule type="cellIs" dxfId="194" priority="197" operator="greaterThan">
      <formula>0</formula>
    </cfRule>
  </conditionalFormatting>
  <conditionalFormatting sqref="E2996">
    <cfRule type="cellIs" dxfId="193" priority="198" operator="greaterThan">
      <formula>0</formula>
    </cfRule>
  </conditionalFormatting>
  <conditionalFormatting sqref="F2996">
    <cfRule type="cellIs" dxfId="192" priority="196" operator="greaterThan">
      <formula>0</formula>
    </cfRule>
  </conditionalFormatting>
  <conditionalFormatting sqref="G2996">
    <cfRule type="cellIs" dxfId="191" priority="192" operator="greaterThan">
      <formula>0</formula>
    </cfRule>
  </conditionalFormatting>
  <conditionalFormatting sqref="A3077">
    <cfRule type="cellIs" dxfId="190" priority="187" operator="equal">
      <formula>0</formula>
    </cfRule>
  </conditionalFormatting>
  <conditionalFormatting sqref="C3077:G3077">
    <cfRule type="cellIs" dxfId="189" priority="186" operator="equal">
      <formula>0</formula>
    </cfRule>
  </conditionalFormatting>
  <conditionalFormatting sqref="D3077">
    <cfRule type="cellIs" dxfId="188" priority="188" operator="greaterThan">
      <formula>0</formula>
    </cfRule>
  </conditionalFormatting>
  <conditionalFormatting sqref="E3077">
    <cfRule type="cellIs" dxfId="187" priority="190" operator="greaterThan">
      <formula>0</formula>
    </cfRule>
  </conditionalFormatting>
  <conditionalFormatting sqref="E3077">
    <cfRule type="cellIs" dxfId="186" priority="191" operator="greaterThan">
      <formula>0</formula>
    </cfRule>
  </conditionalFormatting>
  <conditionalFormatting sqref="F3077">
    <cfRule type="cellIs" dxfId="185" priority="189" operator="greaterThan">
      <formula>0</formula>
    </cfRule>
  </conditionalFormatting>
  <conditionalFormatting sqref="G3077">
    <cfRule type="cellIs" dxfId="184" priority="185" operator="greaterThan">
      <formula>0</formula>
    </cfRule>
  </conditionalFormatting>
  <conditionalFormatting sqref="A3158">
    <cfRule type="cellIs" dxfId="183" priority="180" operator="equal">
      <formula>0</formula>
    </cfRule>
  </conditionalFormatting>
  <conditionalFormatting sqref="C3158:G3158">
    <cfRule type="cellIs" dxfId="182" priority="179" operator="equal">
      <formula>0</formula>
    </cfRule>
  </conditionalFormatting>
  <conditionalFormatting sqref="D3158">
    <cfRule type="cellIs" dxfId="181" priority="181" operator="greaterThan">
      <formula>0</formula>
    </cfRule>
  </conditionalFormatting>
  <conditionalFormatting sqref="E3158">
    <cfRule type="cellIs" dxfId="180" priority="183" operator="greaterThan">
      <formula>0</formula>
    </cfRule>
  </conditionalFormatting>
  <conditionalFormatting sqref="E3158">
    <cfRule type="cellIs" dxfId="179" priority="184" operator="greaterThan">
      <formula>0</formula>
    </cfRule>
  </conditionalFormatting>
  <conditionalFormatting sqref="F3158">
    <cfRule type="cellIs" dxfId="178" priority="182" operator="greaterThan">
      <formula>0</formula>
    </cfRule>
  </conditionalFormatting>
  <conditionalFormatting sqref="G3158">
    <cfRule type="cellIs" dxfId="177" priority="178" operator="greaterThan">
      <formula>0</formula>
    </cfRule>
  </conditionalFormatting>
  <conditionalFormatting sqref="A3239">
    <cfRule type="cellIs" dxfId="176" priority="173" operator="equal">
      <formula>0</formula>
    </cfRule>
  </conditionalFormatting>
  <conditionalFormatting sqref="C3239:G3239">
    <cfRule type="cellIs" dxfId="175" priority="172" operator="equal">
      <formula>0</formula>
    </cfRule>
  </conditionalFormatting>
  <conditionalFormatting sqref="D3239">
    <cfRule type="cellIs" dxfId="174" priority="174" operator="greaterThan">
      <formula>0</formula>
    </cfRule>
  </conditionalFormatting>
  <conditionalFormatting sqref="E3239">
    <cfRule type="cellIs" dxfId="173" priority="176" operator="greaterThan">
      <formula>0</formula>
    </cfRule>
  </conditionalFormatting>
  <conditionalFormatting sqref="E3239">
    <cfRule type="cellIs" dxfId="172" priority="177" operator="greaterThan">
      <formula>0</formula>
    </cfRule>
  </conditionalFormatting>
  <conditionalFormatting sqref="F3239">
    <cfRule type="cellIs" dxfId="171" priority="175" operator="greaterThan">
      <formula>0</formula>
    </cfRule>
  </conditionalFormatting>
  <conditionalFormatting sqref="G3239">
    <cfRule type="cellIs" dxfId="170" priority="171" operator="greaterThan">
      <formula>0</formula>
    </cfRule>
  </conditionalFormatting>
  <conditionalFormatting sqref="A3320">
    <cfRule type="cellIs" dxfId="169" priority="166" operator="equal">
      <formula>0</formula>
    </cfRule>
  </conditionalFormatting>
  <conditionalFormatting sqref="C3320:G3320">
    <cfRule type="cellIs" dxfId="168" priority="165" operator="equal">
      <formula>0</formula>
    </cfRule>
  </conditionalFormatting>
  <conditionalFormatting sqref="D3320">
    <cfRule type="cellIs" dxfId="167" priority="167" operator="greaterThan">
      <formula>0</formula>
    </cfRule>
  </conditionalFormatting>
  <conditionalFormatting sqref="E3320">
    <cfRule type="cellIs" dxfId="166" priority="169" operator="greaterThan">
      <formula>0</formula>
    </cfRule>
  </conditionalFormatting>
  <conditionalFormatting sqref="E3320">
    <cfRule type="cellIs" dxfId="165" priority="170" operator="greaterThan">
      <formula>0</formula>
    </cfRule>
  </conditionalFormatting>
  <conditionalFormatting sqref="F3320">
    <cfRule type="cellIs" dxfId="164" priority="168" operator="greaterThan">
      <formula>0</formula>
    </cfRule>
  </conditionalFormatting>
  <conditionalFormatting sqref="G3320">
    <cfRule type="cellIs" dxfId="163" priority="164" operator="greaterThan">
      <formula>0</formula>
    </cfRule>
  </conditionalFormatting>
  <conditionalFormatting sqref="A3401">
    <cfRule type="cellIs" dxfId="162" priority="159" operator="equal">
      <formula>0</formula>
    </cfRule>
  </conditionalFormatting>
  <conditionalFormatting sqref="C3401:G3401">
    <cfRule type="cellIs" dxfId="161" priority="158" operator="equal">
      <formula>0</formula>
    </cfRule>
  </conditionalFormatting>
  <conditionalFormatting sqref="D3401">
    <cfRule type="cellIs" dxfId="160" priority="160" operator="greaterThan">
      <formula>0</formula>
    </cfRule>
  </conditionalFormatting>
  <conditionalFormatting sqref="E3401">
    <cfRule type="cellIs" dxfId="159" priority="162" operator="greaterThan">
      <formula>0</formula>
    </cfRule>
  </conditionalFormatting>
  <conditionalFormatting sqref="E3401">
    <cfRule type="cellIs" dxfId="158" priority="163" operator="greaterThan">
      <formula>0</formula>
    </cfRule>
  </conditionalFormatting>
  <conditionalFormatting sqref="F3401">
    <cfRule type="cellIs" dxfId="157" priority="161" operator="greaterThan">
      <formula>0</formula>
    </cfRule>
  </conditionalFormatting>
  <conditionalFormatting sqref="G3401">
    <cfRule type="cellIs" dxfId="156" priority="157" operator="greaterThan">
      <formula>0</formula>
    </cfRule>
  </conditionalFormatting>
  <conditionalFormatting sqref="A3482">
    <cfRule type="cellIs" dxfId="155" priority="152" operator="equal">
      <formula>0</formula>
    </cfRule>
  </conditionalFormatting>
  <conditionalFormatting sqref="C3482:G3482">
    <cfRule type="cellIs" dxfId="154" priority="151" operator="equal">
      <formula>0</formula>
    </cfRule>
  </conditionalFormatting>
  <conditionalFormatting sqref="D3482">
    <cfRule type="cellIs" dxfId="153" priority="153" operator="greaterThan">
      <formula>0</formula>
    </cfRule>
  </conditionalFormatting>
  <conditionalFormatting sqref="E3482">
    <cfRule type="cellIs" dxfId="152" priority="155" operator="greaterThan">
      <formula>0</formula>
    </cfRule>
  </conditionalFormatting>
  <conditionalFormatting sqref="E3482">
    <cfRule type="cellIs" dxfId="151" priority="156" operator="greaterThan">
      <formula>0</formula>
    </cfRule>
  </conditionalFormatting>
  <conditionalFormatting sqref="F3482">
    <cfRule type="cellIs" dxfId="150" priority="154" operator="greaterThan">
      <formula>0</formula>
    </cfRule>
  </conditionalFormatting>
  <conditionalFormatting sqref="G3482">
    <cfRule type="cellIs" dxfId="149" priority="150" operator="greaterThan">
      <formula>0</formula>
    </cfRule>
  </conditionalFormatting>
  <conditionalFormatting sqref="A3563">
    <cfRule type="cellIs" dxfId="148" priority="145" operator="equal">
      <formula>0</formula>
    </cfRule>
  </conditionalFormatting>
  <conditionalFormatting sqref="C3563:G3563">
    <cfRule type="cellIs" dxfId="147" priority="144" operator="equal">
      <formula>0</formula>
    </cfRule>
  </conditionalFormatting>
  <conditionalFormatting sqref="D3563">
    <cfRule type="cellIs" dxfId="146" priority="146" operator="greaterThan">
      <formula>0</formula>
    </cfRule>
  </conditionalFormatting>
  <conditionalFormatting sqref="E3563">
    <cfRule type="cellIs" dxfId="145" priority="148" operator="greaterThan">
      <formula>0</formula>
    </cfRule>
  </conditionalFormatting>
  <conditionalFormatting sqref="E3563">
    <cfRule type="cellIs" dxfId="144" priority="149" operator="greaterThan">
      <formula>0</formula>
    </cfRule>
  </conditionalFormatting>
  <conditionalFormatting sqref="F3563">
    <cfRule type="cellIs" dxfId="143" priority="147" operator="greaterThan">
      <formula>0</formula>
    </cfRule>
  </conditionalFormatting>
  <conditionalFormatting sqref="G3563">
    <cfRule type="cellIs" dxfId="142" priority="143" operator="greaterThan">
      <formula>0</formula>
    </cfRule>
  </conditionalFormatting>
  <conditionalFormatting sqref="A3644">
    <cfRule type="cellIs" dxfId="141" priority="138" operator="equal">
      <formula>0</formula>
    </cfRule>
  </conditionalFormatting>
  <conditionalFormatting sqref="C3644:G3644">
    <cfRule type="cellIs" dxfId="140" priority="137" operator="equal">
      <formula>0</formula>
    </cfRule>
  </conditionalFormatting>
  <conditionalFormatting sqref="D3644">
    <cfRule type="cellIs" dxfId="139" priority="139" operator="greaterThan">
      <formula>0</formula>
    </cfRule>
  </conditionalFormatting>
  <conditionalFormatting sqref="E3644">
    <cfRule type="cellIs" dxfId="138" priority="141" operator="greaterThan">
      <formula>0</formula>
    </cfRule>
  </conditionalFormatting>
  <conditionalFormatting sqref="E3644">
    <cfRule type="cellIs" dxfId="137" priority="142" operator="greaterThan">
      <formula>0</formula>
    </cfRule>
  </conditionalFormatting>
  <conditionalFormatting sqref="F3644">
    <cfRule type="cellIs" dxfId="136" priority="140" operator="greaterThan">
      <formula>0</formula>
    </cfRule>
  </conditionalFormatting>
  <conditionalFormatting sqref="G3644">
    <cfRule type="cellIs" dxfId="135" priority="136" operator="greaterThan">
      <formula>0</formula>
    </cfRule>
  </conditionalFormatting>
  <conditionalFormatting sqref="A3725">
    <cfRule type="cellIs" dxfId="134" priority="131" operator="equal">
      <formula>0</formula>
    </cfRule>
  </conditionalFormatting>
  <conditionalFormatting sqref="C3725:G3725">
    <cfRule type="cellIs" dxfId="133" priority="130" operator="equal">
      <formula>0</formula>
    </cfRule>
  </conditionalFormatting>
  <conditionalFormatting sqref="D3725">
    <cfRule type="cellIs" dxfId="132" priority="132" operator="greaterThan">
      <formula>0</formula>
    </cfRule>
  </conditionalFormatting>
  <conditionalFormatting sqref="E3725">
    <cfRule type="cellIs" dxfId="131" priority="134" operator="greaterThan">
      <formula>0</formula>
    </cfRule>
  </conditionalFormatting>
  <conditionalFormatting sqref="E3725">
    <cfRule type="cellIs" dxfId="130" priority="135" operator="greaterThan">
      <formula>0</formula>
    </cfRule>
  </conditionalFormatting>
  <conditionalFormatting sqref="F3725">
    <cfRule type="cellIs" dxfId="129" priority="133" operator="greaterThan">
      <formula>0</formula>
    </cfRule>
  </conditionalFormatting>
  <conditionalFormatting sqref="G3725">
    <cfRule type="cellIs" dxfId="128" priority="129" operator="greaterThan">
      <formula>0</formula>
    </cfRule>
  </conditionalFormatting>
  <conditionalFormatting sqref="A3806">
    <cfRule type="cellIs" dxfId="127" priority="124" operator="equal">
      <formula>0</formula>
    </cfRule>
  </conditionalFormatting>
  <conditionalFormatting sqref="C3806:G3806">
    <cfRule type="cellIs" dxfId="126" priority="123" operator="equal">
      <formula>0</formula>
    </cfRule>
  </conditionalFormatting>
  <conditionalFormatting sqref="D3806">
    <cfRule type="cellIs" dxfId="125" priority="125" operator="greaterThan">
      <formula>0</formula>
    </cfRule>
  </conditionalFormatting>
  <conditionalFormatting sqref="E3806">
    <cfRule type="cellIs" dxfId="124" priority="127" operator="greaterThan">
      <formula>0</formula>
    </cfRule>
  </conditionalFormatting>
  <conditionalFormatting sqref="E3806">
    <cfRule type="cellIs" dxfId="123" priority="128" operator="greaterThan">
      <formula>0</formula>
    </cfRule>
  </conditionalFormatting>
  <conditionalFormatting sqref="F3806">
    <cfRule type="cellIs" dxfId="122" priority="126" operator="greaterThan">
      <formula>0</formula>
    </cfRule>
  </conditionalFormatting>
  <conditionalFormatting sqref="G3806">
    <cfRule type="cellIs" dxfId="121" priority="122" operator="greaterThan">
      <formula>0</formula>
    </cfRule>
  </conditionalFormatting>
  <conditionalFormatting sqref="A3887">
    <cfRule type="cellIs" dxfId="120" priority="117" operator="equal">
      <formula>0</formula>
    </cfRule>
  </conditionalFormatting>
  <conditionalFormatting sqref="C3887:G3887">
    <cfRule type="cellIs" dxfId="119" priority="116" operator="equal">
      <formula>0</formula>
    </cfRule>
  </conditionalFormatting>
  <conditionalFormatting sqref="D3887">
    <cfRule type="cellIs" dxfId="118" priority="118" operator="greaterThan">
      <formula>0</formula>
    </cfRule>
  </conditionalFormatting>
  <conditionalFormatting sqref="E3887">
    <cfRule type="cellIs" dxfId="117" priority="120" operator="greaterThan">
      <formula>0</formula>
    </cfRule>
  </conditionalFormatting>
  <conditionalFormatting sqref="E3887">
    <cfRule type="cellIs" dxfId="116" priority="121" operator="greaterThan">
      <formula>0</formula>
    </cfRule>
  </conditionalFormatting>
  <conditionalFormatting sqref="F3887">
    <cfRule type="cellIs" dxfId="115" priority="119" operator="greaterThan">
      <formula>0</formula>
    </cfRule>
  </conditionalFormatting>
  <conditionalFormatting sqref="G3887">
    <cfRule type="cellIs" dxfId="114" priority="115" operator="greaterThan">
      <formula>0</formula>
    </cfRule>
  </conditionalFormatting>
  <conditionalFormatting sqref="A3968">
    <cfRule type="cellIs" dxfId="113" priority="110" operator="equal">
      <formula>0</formula>
    </cfRule>
  </conditionalFormatting>
  <conditionalFormatting sqref="C3968:G3968">
    <cfRule type="cellIs" dxfId="112" priority="109" operator="equal">
      <formula>0</formula>
    </cfRule>
  </conditionalFormatting>
  <conditionalFormatting sqref="D3968">
    <cfRule type="cellIs" dxfId="111" priority="111" operator="greaterThan">
      <formula>0</formula>
    </cfRule>
  </conditionalFormatting>
  <conditionalFormatting sqref="E3968">
    <cfRule type="cellIs" dxfId="110" priority="113" operator="greaterThan">
      <formula>0</formula>
    </cfRule>
  </conditionalFormatting>
  <conditionalFormatting sqref="E3968">
    <cfRule type="cellIs" dxfId="109" priority="114" operator="greaterThan">
      <formula>0</formula>
    </cfRule>
  </conditionalFormatting>
  <conditionalFormatting sqref="F3968">
    <cfRule type="cellIs" dxfId="108" priority="112" operator="greaterThan">
      <formula>0</formula>
    </cfRule>
  </conditionalFormatting>
  <conditionalFormatting sqref="G3968">
    <cfRule type="cellIs" dxfId="107" priority="108" operator="greaterThan">
      <formula>0</formula>
    </cfRule>
  </conditionalFormatting>
  <conditionalFormatting sqref="A4049">
    <cfRule type="cellIs" dxfId="106" priority="103" operator="equal">
      <formula>0</formula>
    </cfRule>
  </conditionalFormatting>
  <conditionalFormatting sqref="C4049:G4049">
    <cfRule type="cellIs" dxfId="105" priority="102" operator="equal">
      <formula>0</formula>
    </cfRule>
  </conditionalFormatting>
  <conditionalFormatting sqref="D4049">
    <cfRule type="cellIs" dxfId="104" priority="104" operator="greaterThan">
      <formula>0</formula>
    </cfRule>
  </conditionalFormatting>
  <conditionalFormatting sqref="E4049">
    <cfRule type="cellIs" dxfId="103" priority="106" operator="greaterThan">
      <formula>0</formula>
    </cfRule>
  </conditionalFormatting>
  <conditionalFormatting sqref="E4049">
    <cfRule type="cellIs" dxfId="102" priority="107" operator="greaterThan">
      <formula>0</formula>
    </cfRule>
  </conditionalFormatting>
  <conditionalFormatting sqref="F4049">
    <cfRule type="cellIs" dxfId="101" priority="105" operator="greaterThan">
      <formula>0</formula>
    </cfRule>
  </conditionalFormatting>
  <conditionalFormatting sqref="G4049">
    <cfRule type="cellIs" dxfId="100" priority="101" operator="greaterThan">
      <formula>0</formula>
    </cfRule>
  </conditionalFormatting>
  <conditionalFormatting sqref="G4052:G4129">
    <cfRule type="cellIs" dxfId="99" priority="100" operator="equal">
      <formula>0</formula>
    </cfRule>
  </conditionalFormatting>
  <conditionalFormatting sqref="G4052:G4129">
    <cfRule type="cellIs" dxfId="98" priority="99" operator="greaterThan">
      <formula>0</formula>
    </cfRule>
  </conditionalFormatting>
  <conditionalFormatting sqref="G4133:G4210">
    <cfRule type="cellIs" dxfId="97" priority="98" operator="equal">
      <formula>0</formula>
    </cfRule>
  </conditionalFormatting>
  <conditionalFormatting sqref="G4133:G4210">
    <cfRule type="cellIs" dxfId="96" priority="97" operator="greaterThan">
      <formula>0</formula>
    </cfRule>
  </conditionalFormatting>
  <conditionalFormatting sqref="G4214:G4291">
    <cfRule type="cellIs" dxfId="95" priority="96" operator="equal">
      <formula>0</formula>
    </cfRule>
  </conditionalFormatting>
  <conditionalFormatting sqref="G4214:G4291">
    <cfRule type="cellIs" dxfId="94" priority="95" operator="greaterThan">
      <formula>0</formula>
    </cfRule>
  </conditionalFormatting>
  <conditionalFormatting sqref="G4295:G4372">
    <cfRule type="cellIs" dxfId="93" priority="94" operator="equal">
      <formula>0</formula>
    </cfRule>
  </conditionalFormatting>
  <conditionalFormatting sqref="G4295:G4372">
    <cfRule type="cellIs" dxfId="92" priority="93" operator="greaterThan">
      <formula>0</formula>
    </cfRule>
  </conditionalFormatting>
  <conditionalFormatting sqref="G4376:G4453">
    <cfRule type="cellIs" dxfId="91" priority="92" operator="equal">
      <formula>0</formula>
    </cfRule>
  </conditionalFormatting>
  <conditionalFormatting sqref="G4376:G4453">
    <cfRule type="cellIs" dxfId="90" priority="91" operator="greaterThan">
      <formula>0</formula>
    </cfRule>
  </conditionalFormatting>
  <conditionalFormatting sqref="G4457:G4534">
    <cfRule type="cellIs" dxfId="89" priority="90" operator="equal">
      <formula>0</formula>
    </cfRule>
  </conditionalFormatting>
  <conditionalFormatting sqref="G4457:G4534">
    <cfRule type="cellIs" dxfId="88" priority="89" operator="greaterThan">
      <formula>0</formula>
    </cfRule>
  </conditionalFormatting>
  <conditionalFormatting sqref="G4538:G4615">
    <cfRule type="cellIs" dxfId="87" priority="88" operator="equal">
      <formula>0</formula>
    </cfRule>
  </conditionalFormatting>
  <conditionalFormatting sqref="G4538:G4615">
    <cfRule type="cellIs" dxfId="86" priority="87" operator="greaterThan">
      <formula>0</formula>
    </cfRule>
  </conditionalFormatting>
  <conditionalFormatting sqref="G4619:G4696">
    <cfRule type="cellIs" dxfId="85" priority="86" operator="equal">
      <formula>0</formula>
    </cfRule>
  </conditionalFormatting>
  <conditionalFormatting sqref="G4619:G4696">
    <cfRule type="cellIs" dxfId="84" priority="85" operator="greaterThan">
      <formula>0</formula>
    </cfRule>
  </conditionalFormatting>
  <conditionalFormatting sqref="G4700:G4777">
    <cfRule type="cellIs" dxfId="83" priority="84" operator="equal">
      <formula>0</formula>
    </cfRule>
  </conditionalFormatting>
  <conditionalFormatting sqref="G4700:G4777">
    <cfRule type="cellIs" dxfId="82" priority="83" operator="greaterThan">
      <formula>0</formula>
    </cfRule>
  </conditionalFormatting>
  <conditionalFormatting sqref="G4781:G4858">
    <cfRule type="cellIs" dxfId="81" priority="82" operator="equal">
      <formula>0</formula>
    </cfRule>
  </conditionalFormatting>
  <conditionalFormatting sqref="G4781:G4858">
    <cfRule type="cellIs" dxfId="80" priority="81" operator="greaterThan">
      <formula>0</formula>
    </cfRule>
  </conditionalFormatting>
  <conditionalFormatting sqref="A4130">
    <cfRule type="cellIs" dxfId="79" priority="76" operator="equal">
      <formula>0</formula>
    </cfRule>
  </conditionalFormatting>
  <conditionalFormatting sqref="C4130:F4130">
    <cfRule type="cellIs" dxfId="78" priority="75" operator="equal">
      <formula>0</formula>
    </cfRule>
  </conditionalFormatting>
  <conditionalFormatting sqref="D4130">
    <cfRule type="cellIs" dxfId="77" priority="77" operator="greaterThan">
      <formula>0</formula>
    </cfRule>
  </conditionalFormatting>
  <conditionalFormatting sqref="E4130">
    <cfRule type="cellIs" dxfId="76" priority="79" operator="greaterThan">
      <formula>0</formula>
    </cfRule>
  </conditionalFormatting>
  <conditionalFormatting sqref="E4130">
    <cfRule type="cellIs" dxfId="75" priority="80" operator="greaterThan">
      <formula>0</formula>
    </cfRule>
  </conditionalFormatting>
  <conditionalFormatting sqref="F4130">
    <cfRule type="cellIs" dxfId="74" priority="78" operator="greaterThan">
      <formula>0</formula>
    </cfRule>
  </conditionalFormatting>
  <conditionalFormatting sqref="G4130">
    <cfRule type="cellIs" dxfId="73" priority="74" operator="equal">
      <formula>0</formula>
    </cfRule>
  </conditionalFormatting>
  <conditionalFormatting sqref="G4130">
    <cfRule type="cellIs" dxfId="72" priority="73" operator="greaterThan">
      <formula>0</formula>
    </cfRule>
  </conditionalFormatting>
  <conditionalFormatting sqref="A4211">
    <cfRule type="cellIs" dxfId="71" priority="68" operator="equal">
      <formula>0</formula>
    </cfRule>
  </conditionalFormatting>
  <conditionalFormatting sqref="C4211:F4211">
    <cfRule type="cellIs" dxfId="70" priority="67" operator="equal">
      <formula>0</formula>
    </cfRule>
  </conditionalFormatting>
  <conditionalFormatting sqref="D4211">
    <cfRule type="cellIs" dxfId="69" priority="69" operator="greaterThan">
      <formula>0</formula>
    </cfRule>
  </conditionalFormatting>
  <conditionalFormatting sqref="E4211">
    <cfRule type="cellIs" dxfId="68" priority="71" operator="greaterThan">
      <formula>0</formula>
    </cfRule>
  </conditionalFormatting>
  <conditionalFormatting sqref="E4211">
    <cfRule type="cellIs" dxfId="67" priority="72" operator="greaterThan">
      <formula>0</formula>
    </cfRule>
  </conditionalFormatting>
  <conditionalFormatting sqref="F4211">
    <cfRule type="cellIs" dxfId="66" priority="70" operator="greaterThan">
      <formula>0</formula>
    </cfRule>
  </conditionalFormatting>
  <conditionalFormatting sqref="G4211">
    <cfRule type="cellIs" dxfId="65" priority="66" operator="equal">
      <formula>0</formula>
    </cfRule>
  </conditionalFormatting>
  <conditionalFormatting sqref="G4211">
    <cfRule type="cellIs" dxfId="64" priority="65" operator="greaterThan">
      <formula>0</formula>
    </cfRule>
  </conditionalFormatting>
  <conditionalFormatting sqref="A4292">
    <cfRule type="cellIs" dxfId="63" priority="60" operator="equal">
      <formula>0</formula>
    </cfRule>
  </conditionalFormatting>
  <conditionalFormatting sqref="C4292:F4292">
    <cfRule type="cellIs" dxfId="62" priority="59" operator="equal">
      <formula>0</formula>
    </cfRule>
  </conditionalFormatting>
  <conditionalFormatting sqref="D4292">
    <cfRule type="cellIs" dxfId="61" priority="61" operator="greaterThan">
      <formula>0</formula>
    </cfRule>
  </conditionalFormatting>
  <conditionalFormatting sqref="E4292">
    <cfRule type="cellIs" dxfId="60" priority="63" operator="greaterThan">
      <formula>0</formula>
    </cfRule>
  </conditionalFormatting>
  <conditionalFormatting sqref="E4292">
    <cfRule type="cellIs" dxfId="59" priority="64" operator="greaterThan">
      <formula>0</formula>
    </cfRule>
  </conditionalFormatting>
  <conditionalFormatting sqref="F4292">
    <cfRule type="cellIs" dxfId="58" priority="62" operator="greaterThan">
      <formula>0</formula>
    </cfRule>
  </conditionalFormatting>
  <conditionalFormatting sqref="G4292">
    <cfRule type="cellIs" dxfId="57" priority="58" operator="equal">
      <formula>0</formula>
    </cfRule>
  </conditionalFormatting>
  <conditionalFormatting sqref="G4292">
    <cfRule type="cellIs" dxfId="56" priority="57" operator="greaterThan">
      <formula>0</formula>
    </cfRule>
  </conditionalFormatting>
  <conditionalFormatting sqref="A4373">
    <cfRule type="cellIs" dxfId="55" priority="52" operator="equal">
      <formula>0</formula>
    </cfRule>
  </conditionalFormatting>
  <conditionalFormatting sqref="C4373:F4373">
    <cfRule type="cellIs" dxfId="54" priority="51" operator="equal">
      <formula>0</formula>
    </cfRule>
  </conditionalFormatting>
  <conditionalFormatting sqref="D4373">
    <cfRule type="cellIs" dxfId="53" priority="53" operator="greaterThan">
      <formula>0</formula>
    </cfRule>
  </conditionalFormatting>
  <conditionalFormatting sqref="E4373">
    <cfRule type="cellIs" dxfId="52" priority="55" operator="greaterThan">
      <formula>0</formula>
    </cfRule>
  </conditionalFormatting>
  <conditionalFormatting sqref="E4373">
    <cfRule type="cellIs" dxfId="51" priority="56" operator="greaterThan">
      <formula>0</formula>
    </cfRule>
  </conditionalFormatting>
  <conditionalFormatting sqref="F4373">
    <cfRule type="cellIs" dxfId="50" priority="54" operator="greaterThan">
      <formula>0</formula>
    </cfRule>
  </conditionalFormatting>
  <conditionalFormatting sqref="G4373">
    <cfRule type="cellIs" dxfId="49" priority="50" operator="equal">
      <formula>0</formula>
    </cfRule>
  </conditionalFormatting>
  <conditionalFormatting sqref="G4373">
    <cfRule type="cellIs" dxfId="48" priority="49" operator="greaterThan">
      <formula>0</formula>
    </cfRule>
  </conditionalFormatting>
  <conditionalFormatting sqref="A4454">
    <cfRule type="cellIs" dxfId="47" priority="44" operator="equal">
      <formula>0</formula>
    </cfRule>
  </conditionalFormatting>
  <conditionalFormatting sqref="C4454:F4454">
    <cfRule type="cellIs" dxfId="46" priority="43" operator="equal">
      <formula>0</formula>
    </cfRule>
  </conditionalFormatting>
  <conditionalFormatting sqref="D4454">
    <cfRule type="cellIs" dxfId="45" priority="45" operator="greaterThan">
      <formula>0</formula>
    </cfRule>
  </conditionalFormatting>
  <conditionalFormatting sqref="E4454">
    <cfRule type="cellIs" dxfId="44" priority="47" operator="greaterThan">
      <formula>0</formula>
    </cfRule>
  </conditionalFormatting>
  <conditionalFormatting sqref="E4454">
    <cfRule type="cellIs" dxfId="43" priority="48" operator="greaterThan">
      <formula>0</formula>
    </cfRule>
  </conditionalFormatting>
  <conditionalFormatting sqref="F4454">
    <cfRule type="cellIs" dxfId="42" priority="46" operator="greaterThan">
      <formula>0</formula>
    </cfRule>
  </conditionalFormatting>
  <conditionalFormatting sqref="G4454">
    <cfRule type="cellIs" dxfId="41" priority="42" operator="equal">
      <formula>0</formula>
    </cfRule>
  </conditionalFormatting>
  <conditionalFormatting sqref="G4454">
    <cfRule type="cellIs" dxfId="40" priority="41" operator="greaterThan">
      <formula>0</formula>
    </cfRule>
  </conditionalFormatting>
  <conditionalFormatting sqref="A4535">
    <cfRule type="cellIs" dxfId="39" priority="36" operator="equal">
      <formula>0</formula>
    </cfRule>
  </conditionalFormatting>
  <conditionalFormatting sqref="C4535:F4535">
    <cfRule type="cellIs" dxfId="38" priority="35" operator="equal">
      <formula>0</formula>
    </cfRule>
  </conditionalFormatting>
  <conditionalFormatting sqref="D4535">
    <cfRule type="cellIs" dxfId="37" priority="37" operator="greaterThan">
      <formula>0</formula>
    </cfRule>
  </conditionalFormatting>
  <conditionalFormatting sqref="E4535">
    <cfRule type="cellIs" dxfId="36" priority="39" operator="greaterThan">
      <formula>0</formula>
    </cfRule>
  </conditionalFormatting>
  <conditionalFormatting sqref="E4535">
    <cfRule type="cellIs" dxfId="35" priority="40" operator="greaterThan">
      <formula>0</formula>
    </cfRule>
  </conditionalFormatting>
  <conditionalFormatting sqref="F4535">
    <cfRule type="cellIs" dxfId="34" priority="38" operator="greaterThan">
      <formula>0</formula>
    </cfRule>
  </conditionalFormatting>
  <conditionalFormatting sqref="G4535">
    <cfRule type="cellIs" dxfId="33" priority="34" operator="equal">
      <formula>0</formula>
    </cfRule>
  </conditionalFormatting>
  <conditionalFormatting sqref="G4535">
    <cfRule type="cellIs" dxfId="32" priority="33" operator="greaterThan">
      <formula>0</formula>
    </cfRule>
  </conditionalFormatting>
  <conditionalFormatting sqref="A4616">
    <cfRule type="cellIs" dxfId="31" priority="28" operator="equal">
      <formula>0</formula>
    </cfRule>
  </conditionalFormatting>
  <conditionalFormatting sqref="C4616:F4616">
    <cfRule type="cellIs" dxfId="30" priority="27" operator="equal">
      <formula>0</formula>
    </cfRule>
  </conditionalFormatting>
  <conditionalFormatting sqref="D4616">
    <cfRule type="cellIs" dxfId="29" priority="29" operator="greaterThan">
      <formula>0</formula>
    </cfRule>
  </conditionalFormatting>
  <conditionalFormatting sqref="E4616">
    <cfRule type="cellIs" dxfId="28" priority="31" operator="greaterThan">
      <formula>0</formula>
    </cfRule>
  </conditionalFormatting>
  <conditionalFormatting sqref="E4616">
    <cfRule type="cellIs" dxfId="27" priority="32" operator="greaterThan">
      <formula>0</formula>
    </cfRule>
  </conditionalFormatting>
  <conditionalFormatting sqref="F4616">
    <cfRule type="cellIs" dxfId="26" priority="30" operator="greaterThan">
      <formula>0</formula>
    </cfRule>
  </conditionalFormatting>
  <conditionalFormatting sqref="G4616">
    <cfRule type="cellIs" dxfId="25" priority="26" operator="equal">
      <formula>0</formula>
    </cfRule>
  </conditionalFormatting>
  <conditionalFormatting sqref="G4616">
    <cfRule type="cellIs" dxfId="24" priority="25" operator="greaterThan">
      <formula>0</formula>
    </cfRule>
  </conditionalFormatting>
  <conditionalFormatting sqref="A4697">
    <cfRule type="cellIs" dxfId="23" priority="20" operator="equal">
      <formula>0</formula>
    </cfRule>
  </conditionalFormatting>
  <conditionalFormatting sqref="C4697:F4697">
    <cfRule type="cellIs" dxfId="22" priority="19" operator="equal">
      <formula>0</formula>
    </cfRule>
  </conditionalFormatting>
  <conditionalFormatting sqref="D4697">
    <cfRule type="cellIs" dxfId="21" priority="21" operator="greaterThan">
      <formula>0</formula>
    </cfRule>
  </conditionalFormatting>
  <conditionalFormatting sqref="E4697">
    <cfRule type="cellIs" dxfId="20" priority="23" operator="greaterThan">
      <formula>0</formula>
    </cfRule>
  </conditionalFormatting>
  <conditionalFormatting sqref="E4697">
    <cfRule type="cellIs" dxfId="19" priority="24" operator="greaterThan">
      <formula>0</formula>
    </cfRule>
  </conditionalFormatting>
  <conditionalFormatting sqref="F4697">
    <cfRule type="cellIs" dxfId="18" priority="22" operator="greaterThan">
      <formula>0</formula>
    </cfRule>
  </conditionalFormatting>
  <conditionalFormatting sqref="G4697">
    <cfRule type="cellIs" dxfId="17" priority="18" operator="equal">
      <formula>0</formula>
    </cfRule>
  </conditionalFormatting>
  <conditionalFormatting sqref="G4697">
    <cfRule type="cellIs" dxfId="16" priority="17" operator="greaterThan">
      <formula>0</formula>
    </cfRule>
  </conditionalFormatting>
  <conditionalFormatting sqref="A4778">
    <cfRule type="cellIs" dxfId="15" priority="12" operator="equal">
      <formula>0</formula>
    </cfRule>
  </conditionalFormatting>
  <conditionalFormatting sqref="C4778:F4778">
    <cfRule type="cellIs" dxfId="14" priority="11" operator="equal">
      <formula>0</formula>
    </cfRule>
  </conditionalFormatting>
  <conditionalFormatting sqref="D4778">
    <cfRule type="cellIs" dxfId="13" priority="13" operator="greaterThan">
      <formula>0</formula>
    </cfRule>
  </conditionalFormatting>
  <conditionalFormatting sqref="E4778">
    <cfRule type="cellIs" dxfId="12" priority="15" operator="greaterThan">
      <formula>0</formula>
    </cfRule>
  </conditionalFormatting>
  <conditionalFormatting sqref="E4778">
    <cfRule type="cellIs" dxfId="11" priority="16" operator="greaterThan">
      <formula>0</formula>
    </cfRule>
  </conditionalFormatting>
  <conditionalFormatting sqref="F4778">
    <cfRule type="cellIs" dxfId="10" priority="14" operator="greaterThan">
      <formula>0</formula>
    </cfRule>
  </conditionalFormatting>
  <conditionalFormatting sqref="G4778">
    <cfRule type="cellIs" dxfId="9" priority="10" operator="equal">
      <formula>0</formula>
    </cfRule>
  </conditionalFormatting>
  <conditionalFormatting sqref="G4778">
    <cfRule type="cellIs" dxfId="8" priority="9" operator="greaterThan">
      <formula>0</formula>
    </cfRule>
  </conditionalFormatting>
  <conditionalFormatting sqref="A4859">
    <cfRule type="cellIs" dxfId="7" priority="4" operator="equal">
      <formula>0</formula>
    </cfRule>
  </conditionalFormatting>
  <conditionalFormatting sqref="C4859:F4859">
    <cfRule type="cellIs" dxfId="6" priority="3" operator="equal">
      <formula>0</formula>
    </cfRule>
  </conditionalFormatting>
  <conditionalFormatting sqref="D4859">
    <cfRule type="cellIs" dxfId="5" priority="5" operator="greaterThan">
      <formula>0</formula>
    </cfRule>
  </conditionalFormatting>
  <conditionalFormatting sqref="E4859">
    <cfRule type="cellIs" dxfId="4" priority="7" operator="greaterThan">
      <formula>0</formula>
    </cfRule>
  </conditionalFormatting>
  <conditionalFormatting sqref="E4859">
    <cfRule type="cellIs" dxfId="3" priority="8" operator="greaterThan">
      <formula>0</formula>
    </cfRule>
  </conditionalFormatting>
  <conditionalFormatting sqref="F4859">
    <cfRule type="cellIs" dxfId="2" priority="6" operator="greaterThan">
      <formula>0</formula>
    </cfRule>
  </conditionalFormatting>
  <conditionalFormatting sqref="G4859">
    <cfRule type="cellIs" dxfId="1" priority="2" operator="equal">
      <formula>0</formula>
    </cfRule>
  </conditionalFormatting>
  <conditionalFormatting sqref="G4859">
    <cfRule type="cellIs" dxfId="0" priority="1" operator="greaterThan">
      <formula>0</formula>
    </cfRule>
  </conditionalFormatting>
  <printOptions horizontalCentered="1"/>
  <pageMargins left="0.19685039370078741" right="0.19685039370078741" top="0.39370078740157483" bottom="0.39370078740157483" header="0.19685039370078741" footer="0.19685039370078741"/>
  <pageSetup paperSize="9" scale="7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"/>
  <sheetViews>
    <sheetView topLeftCell="A34" workbookViewId="0">
      <selection activeCell="C60" sqref="C60"/>
    </sheetView>
  </sheetViews>
  <sheetFormatPr defaultRowHeight="15" x14ac:dyDescent="0.25"/>
  <cols>
    <col min="1" max="1" width="13.28515625" bestFit="1" customWidth="1" collapsed="1"/>
    <col min="2" max="2" width="56.28515625" bestFit="1" customWidth="1" collapsed="1"/>
    <col min="3" max="3" width="21.85546875" bestFit="1" customWidth="1" collapsed="1"/>
  </cols>
  <sheetData>
    <row r="1" spans="1:3" ht="20.25" x14ac:dyDescent="0.25">
      <c r="A1" s="6" t="s">
        <v>52</v>
      </c>
      <c r="B1" s="6" t="s">
        <v>97</v>
      </c>
      <c r="C1" s="6" t="s">
        <v>51</v>
      </c>
    </row>
    <row r="2" spans="1:3" x14ac:dyDescent="0.25">
      <c r="A2" s="11">
        <v>1204</v>
      </c>
      <c r="B2" s="8" t="s">
        <v>480</v>
      </c>
      <c r="C2" s="31">
        <v>1</v>
      </c>
    </row>
    <row r="3" spans="1:3" x14ac:dyDescent="0.25">
      <c r="A3" s="11">
        <v>1232</v>
      </c>
      <c r="B3" s="8" t="s">
        <v>481</v>
      </c>
      <c r="C3" s="31">
        <v>1</v>
      </c>
    </row>
    <row r="4" spans="1:3" x14ac:dyDescent="0.25">
      <c r="A4" s="11">
        <v>1228</v>
      </c>
      <c r="B4" s="8" t="s">
        <v>482</v>
      </c>
      <c r="C4" s="31">
        <v>1</v>
      </c>
    </row>
    <row r="5" spans="1:3" x14ac:dyDescent="0.25">
      <c r="A5" s="11">
        <v>1216</v>
      </c>
      <c r="B5" s="8" t="s">
        <v>483</v>
      </c>
      <c r="C5" s="31">
        <v>1</v>
      </c>
    </row>
    <row r="6" spans="1:3" x14ac:dyDescent="0.25">
      <c r="A6" s="11">
        <v>1160</v>
      </c>
      <c r="B6" s="8" t="s">
        <v>484</v>
      </c>
      <c r="C6" s="31">
        <v>2</v>
      </c>
    </row>
    <row r="7" spans="1:3" x14ac:dyDescent="0.25">
      <c r="A7" s="11">
        <v>1109</v>
      </c>
      <c r="B7" s="8" t="s">
        <v>485</v>
      </c>
      <c r="C7" s="31">
        <v>1</v>
      </c>
    </row>
    <row r="8" spans="1:3" x14ac:dyDescent="0.25">
      <c r="A8" s="11">
        <v>1137</v>
      </c>
      <c r="B8" s="8" t="s">
        <v>486</v>
      </c>
      <c r="C8" s="31">
        <v>1</v>
      </c>
    </row>
    <row r="9" spans="1:3" x14ac:dyDescent="0.25">
      <c r="A9" s="11">
        <v>23</v>
      </c>
      <c r="B9" s="8" t="s">
        <v>487</v>
      </c>
      <c r="C9" s="31">
        <v>6</v>
      </c>
    </row>
    <row r="10" spans="1:3" x14ac:dyDescent="0.25">
      <c r="A10" s="11">
        <v>291</v>
      </c>
      <c r="B10" s="8" t="s">
        <v>488</v>
      </c>
      <c r="C10" s="31">
        <v>6</v>
      </c>
    </row>
    <row r="11" spans="1:3" x14ac:dyDescent="0.25">
      <c r="A11" s="11">
        <v>25709</v>
      </c>
      <c r="B11" s="8" t="s">
        <v>489</v>
      </c>
      <c r="C11" s="31">
        <v>2</v>
      </c>
    </row>
    <row r="12" spans="1:3" x14ac:dyDescent="0.25">
      <c r="A12" s="11">
        <v>230</v>
      </c>
      <c r="B12" s="8" t="s">
        <v>490</v>
      </c>
      <c r="C12" s="31">
        <v>33</v>
      </c>
    </row>
    <row r="13" spans="1:3" x14ac:dyDescent="0.25">
      <c r="A13" s="11">
        <v>5</v>
      </c>
      <c r="B13" s="8" t="s">
        <v>491</v>
      </c>
      <c r="C13" s="31">
        <v>28</v>
      </c>
    </row>
    <row r="14" spans="1:3" x14ac:dyDescent="0.25">
      <c r="A14" s="11">
        <v>258</v>
      </c>
      <c r="B14" s="8" t="s">
        <v>492</v>
      </c>
      <c r="C14" s="31">
        <v>245</v>
      </c>
    </row>
    <row r="15" spans="1:3" x14ac:dyDescent="0.25">
      <c r="A15" s="11">
        <v>1</v>
      </c>
      <c r="B15" s="8" t="s">
        <v>493</v>
      </c>
      <c r="C15" s="31">
        <v>22</v>
      </c>
    </row>
    <row r="16" spans="1:3" x14ac:dyDescent="0.25">
      <c r="A16" s="11">
        <v>282</v>
      </c>
      <c r="B16" s="8" t="s">
        <v>494</v>
      </c>
      <c r="C16" s="31">
        <v>168</v>
      </c>
    </row>
    <row r="17" spans="1:3" x14ac:dyDescent="0.25">
      <c r="A17" s="11">
        <v>239</v>
      </c>
      <c r="B17" s="8" t="s">
        <v>495</v>
      </c>
      <c r="C17" s="31">
        <v>14</v>
      </c>
    </row>
    <row r="18" spans="1:3" x14ac:dyDescent="0.25">
      <c r="A18" s="11">
        <v>233</v>
      </c>
      <c r="B18" s="8" t="s">
        <v>496</v>
      </c>
      <c r="C18" s="31">
        <v>10</v>
      </c>
    </row>
    <row r="19" spans="1:3" x14ac:dyDescent="0.25">
      <c r="A19" s="11">
        <v>35</v>
      </c>
      <c r="B19" s="8" t="s">
        <v>497</v>
      </c>
      <c r="C19" s="31">
        <v>5</v>
      </c>
    </row>
    <row r="20" spans="1:3" x14ac:dyDescent="0.25">
      <c r="A20" s="11">
        <v>294</v>
      </c>
      <c r="B20" s="8" t="s">
        <v>498</v>
      </c>
      <c r="C20" s="31">
        <v>6</v>
      </c>
    </row>
    <row r="21" spans="1:3" x14ac:dyDescent="0.25">
      <c r="A21" s="11">
        <v>39</v>
      </c>
      <c r="B21" s="8" t="s">
        <v>499</v>
      </c>
      <c r="C21" s="31">
        <v>3</v>
      </c>
    </row>
    <row r="22" spans="1:3" x14ac:dyDescent="0.25">
      <c r="A22" s="11">
        <v>295</v>
      </c>
      <c r="B22" s="8" t="s">
        <v>500</v>
      </c>
      <c r="C22" s="31">
        <v>16</v>
      </c>
    </row>
    <row r="23" spans="1:3" x14ac:dyDescent="0.25">
      <c r="A23" s="11">
        <v>963</v>
      </c>
      <c r="B23" s="8" t="s">
        <v>501</v>
      </c>
      <c r="C23" s="31">
        <v>1</v>
      </c>
    </row>
    <row r="24" spans="1:3" x14ac:dyDescent="0.25">
      <c r="A24" s="11">
        <v>964</v>
      </c>
      <c r="B24" s="8" t="s">
        <v>502</v>
      </c>
      <c r="C24" s="31">
        <v>6</v>
      </c>
    </row>
    <row r="25" spans="1:3" x14ac:dyDescent="0.25">
      <c r="A25" s="11">
        <v>966</v>
      </c>
      <c r="B25" s="8" t="s">
        <v>503</v>
      </c>
      <c r="C25" s="31">
        <v>1</v>
      </c>
    </row>
    <row r="26" spans="1:3" x14ac:dyDescent="0.25">
      <c r="A26" s="11">
        <v>44</v>
      </c>
      <c r="B26" s="8" t="s">
        <v>504</v>
      </c>
      <c r="C26" s="31">
        <v>3</v>
      </c>
    </row>
    <row r="27" spans="1:3" x14ac:dyDescent="0.25">
      <c r="A27" s="11">
        <v>283</v>
      </c>
      <c r="B27" s="8" t="s">
        <v>505</v>
      </c>
      <c r="C27" s="31">
        <v>29</v>
      </c>
    </row>
    <row r="28" spans="1:3" x14ac:dyDescent="0.25">
      <c r="A28" s="11">
        <v>100</v>
      </c>
      <c r="B28" s="8" t="s">
        <v>506</v>
      </c>
      <c r="C28" s="31">
        <v>2</v>
      </c>
    </row>
    <row r="29" spans="1:3" x14ac:dyDescent="0.25">
      <c r="A29" s="11">
        <v>48</v>
      </c>
      <c r="B29" s="8" t="s">
        <v>507</v>
      </c>
      <c r="C29" s="31">
        <v>2</v>
      </c>
    </row>
    <row r="30" spans="1:3" x14ac:dyDescent="0.25">
      <c r="A30" s="11">
        <v>298</v>
      </c>
      <c r="B30" s="8" t="s">
        <v>508</v>
      </c>
      <c r="C30" s="31">
        <v>10</v>
      </c>
    </row>
    <row r="31" spans="1:3" x14ac:dyDescent="0.25">
      <c r="A31" s="11">
        <v>307</v>
      </c>
      <c r="B31" s="8" t="s">
        <v>509</v>
      </c>
      <c r="C31" s="31">
        <v>2</v>
      </c>
    </row>
    <row r="32" spans="1:3" x14ac:dyDescent="0.25">
      <c r="A32" s="11">
        <v>299</v>
      </c>
      <c r="B32" s="8" t="s">
        <v>510</v>
      </c>
      <c r="C32" s="31">
        <v>4</v>
      </c>
    </row>
    <row r="33" spans="1:3" x14ac:dyDescent="0.25">
      <c r="A33" s="11">
        <v>56</v>
      </c>
      <c r="B33" s="8" t="s">
        <v>511</v>
      </c>
      <c r="C33" s="31">
        <v>1</v>
      </c>
    </row>
    <row r="34" spans="1:3" x14ac:dyDescent="0.25">
      <c r="A34" s="11">
        <v>300</v>
      </c>
      <c r="B34" s="8" t="s">
        <v>512</v>
      </c>
      <c r="C34" s="31">
        <v>5</v>
      </c>
    </row>
    <row r="35" spans="1:3" x14ac:dyDescent="0.25">
      <c r="A35" s="11">
        <v>25711</v>
      </c>
      <c r="B35" s="8" t="s">
        <v>513</v>
      </c>
      <c r="C35" s="31">
        <v>6</v>
      </c>
    </row>
    <row r="36" spans="1:3" x14ac:dyDescent="0.25">
      <c r="A36" s="11">
        <v>25713</v>
      </c>
      <c r="B36" s="8" t="s">
        <v>514</v>
      </c>
      <c r="C36" s="31">
        <v>5</v>
      </c>
    </row>
    <row r="37" spans="1:3" x14ac:dyDescent="0.25">
      <c r="A37" s="11"/>
      <c r="B37" s="8"/>
      <c r="C37" s="31"/>
    </row>
    <row r="38" spans="1:3" x14ac:dyDescent="0.25">
      <c r="A38" s="11"/>
      <c r="B38" s="8"/>
      <c r="C38" s="31"/>
    </row>
    <row r="39" spans="1:3" x14ac:dyDescent="0.25">
      <c r="A39" s="11"/>
      <c r="B39" s="8"/>
      <c r="C39" s="31"/>
    </row>
    <row r="40" spans="1:3" x14ac:dyDescent="0.25">
      <c r="A40" s="11"/>
      <c r="B40" s="8"/>
      <c r="C40" s="31"/>
    </row>
    <row r="41" spans="1:3" x14ac:dyDescent="0.25">
      <c r="A41" s="11"/>
      <c r="B41" s="8"/>
      <c r="C41" s="31"/>
    </row>
    <row r="42" spans="1:3" x14ac:dyDescent="0.25">
      <c r="A42" s="11"/>
      <c r="B42" s="8"/>
      <c r="C42" s="31"/>
    </row>
    <row r="43" spans="1:3" x14ac:dyDescent="0.25">
      <c r="A43" s="11"/>
      <c r="B43" s="8"/>
      <c r="C43" s="31"/>
    </row>
    <row r="44" spans="1:3" x14ac:dyDescent="0.25">
      <c r="A44" s="11"/>
      <c r="B44" s="8"/>
      <c r="C44" s="31"/>
    </row>
    <row r="45" spans="1:3" x14ac:dyDescent="0.25">
      <c r="A45" s="11"/>
      <c r="B45" s="8"/>
      <c r="C45" s="31"/>
    </row>
    <row r="46" spans="1:3" x14ac:dyDescent="0.25">
      <c r="A46" s="11"/>
      <c r="B46" s="8"/>
      <c r="C46" s="31"/>
    </row>
    <row r="47" spans="1:3" x14ac:dyDescent="0.25">
      <c r="A47" s="11"/>
      <c r="B47" s="8"/>
      <c r="C47" s="31"/>
    </row>
    <row r="48" spans="1:3" x14ac:dyDescent="0.25">
      <c r="A48" s="11"/>
      <c r="B48" s="8"/>
      <c r="C48" s="31"/>
    </row>
    <row r="49" spans="1:3" x14ac:dyDescent="0.25">
      <c r="A49" s="11"/>
      <c r="B49" s="8"/>
      <c r="C49" s="31"/>
    </row>
    <row r="50" spans="1:3" x14ac:dyDescent="0.25">
      <c r="A50" s="11"/>
      <c r="B50" s="8"/>
      <c r="C50" s="31"/>
    </row>
    <row r="51" spans="1:3" x14ac:dyDescent="0.25">
      <c r="A51" s="11"/>
      <c r="B51" s="8"/>
      <c r="C51" s="31"/>
    </row>
    <row r="52" spans="1:3" x14ac:dyDescent="0.25">
      <c r="A52" s="11"/>
      <c r="B52" s="8"/>
      <c r="C52" s="31"/>
    </row>
    <row r="53" spans="1:3" x14ac:dyDescent="0.25">
      <c r="A53" s="11"/>
      <c r="B53" s="8"/>
      <c r="C53" s="31"/>
    </row>
    <row r="54" spans="1:3" x14ac:dyDescent="0.25">
      <c r="A54" s="11"/>
      <c r="B54" s="8"/>
      <c r="C54" s="31"/>
    </row>
    <row r="55" spans="1:3" x14ac:dyDescent="0.25">
      <c r="A55" s="11"/>
      <c r="B55" s="8"/>
      <c r="C55" s="31"/>
    </row>
    <row r="56" spans="1:3" x14ac:dyDescent="0.25">
      <c r="A56" s="11"/>
      <c r="B56" s="8"/>
      <c r="C56" s="31"/>
    </row>
    <row r="57" spans="1:3" x14ac:dyDescent="0.25">
      <c r="A57" s="11"/>
      <c r="B57" s="8"/>
      <c r="C57" s="31"/>
    </row>
    <row r="58" spans="1:3" x14ac:dyDescent="0.25">
      <c r="A58" s="11"/>
      <c r="B58" s="8"/>
      <c r="C58" s="31"/>
    </row>
    <row r="59" spans="1:3" x14ac:dyDescent="0.25">
      <c r="A59" s="11"/>
      <c r="B59" s="8"/>
      <c r="C59" s="31"/>
    </row>
    <row r="60" spans="1:3" x14ac:dyDescent="0.25">
      <c r="A60" s="11"/>
      <c r="B60" s="8"/>
      <c r="C60" s="3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60"/>
  <sheetViews>
    <sheetView workbookViewId="0">
      <selection activeCell="E4" sqref="E4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22" customWidth="1" collapsed="1"/>
    <col min="4" max="4" width="50.7109375" customWidth="1" collapsed="1"/>
    <col min="5" max="5" width="20.5703125" bestFit="1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515</v>
      </c>
      <c r="B2" s="9" t="s">
        <v>516</v>
      </c>
      <c r="C2" s="21">
        <v>1109</v>
      </c>
      <c r="D2" s="8" t="s">
        <v>485</v>
      </c>
      <c r="E2" s="23">
        <v>1</v>
      </c>
    </row>
    <row r="3" spans="1:5" x14ac:dyDescent="0.25">
      <c r="A3" s="11" t="s">
        <v>515</v>
      </c>
      <c r="B3" s="9" t="s">
        <v>516</v>
      </c>
      <c r="C3" s="21">
        <v>1137</v>
      </c>
      <c r="D3" s="8" t="s">
        <v>486</v>
      </c>
      <c r="E3" s="23">
        <v>1</v>
      </c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517</v>
      </c>
      <c r="B2" s="9" t="s">
        <v>516</v>
      </c>
      <c r="C2" s="21">
        <v>1</v>
      </c>
      <c r="D2" s="8" t="s">
        <v>493</v>
      </c>
      <c r="E2" s="23">
        <v>16</v>
      </c>
    </row>
    <row r="3" spans="1:5" x14ac:dyDescent="0.25">
      <c r="A3" s="11" t="s">
        <v>517</v>
      </c>
      <c r="B3" s="9" t="s">
        <v>516</v>
      </c>
      <c r="C3" s="21">
        <v>100</v>
      </c>
      <c r="D3" s="8" t="s">
        <v>506</v>
      </c>
      <c r="E3" s="23">
        <v>2</v>
      </c>
    </row>
    <row r="4" spans="1:5" x14ac:dyDescent="0.25">
      <c r="A4" s="11" t="s">
        <v>517</v>
      </c>
      <c r="B4" s="9" t="s">
        <v>516</v>
      </c>
      <c r="C4" s="21">
        <v>35</v>
      </c>
      <c r="D4" s="8" t="s">
        <v>497</v>
      </c>
      <c r="E4" s="23">
        <v>4</v>
      </c>
    </row>
    <row r="5" spans="1:5" x14ac:dyDescent="0.25">
      <c r="A5" s="11" t="s">
        <v>517</v>
      </c>
      <c r="B5" s="9" t="s">
        <v>516</v>
      </c>
      <c r="C5" s="21">
        <v>44</v>
      </c>
      <c r="D5" s="8" t="s">
        <v>504</v>
      </c>
      <c r="E5" s="23">
        <v>3</v>
      </c>
    </row>
    <row r="6" spans="1:5" x14ac:dyDescent="0.25">
      <c r="A6" s="11" t="s">
        <v>517</v>
      </c>
      <c r="B6" s="9" t="s">
        <v>516</v>
      </c>
      <c r="C6" s="21">
        <v>48</v>
      </c>
      <c r="D6" s="8" t="s">
        <v>507</v>
      </c>
      <c r="E6" s="23">
        <v>2</v>
      </c>
    </row>
    <row r="7" spans="1:5" x14ac:dyDescent="0.25">
      <c r="A7" s="11" t="s">
        <v>517</v>
      </c>
      <c r="B7" s="9" t="s">
        <v>516</v>
      </c>
      <c r="C7" s="21">
        <v>5</v>
      </c>
      <c r="D7" s="8" t="s">
        <v>491</v>
      </c>
      <c r="E7" s="23">
        <v>28</v>
      </c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518</v>
      </c>
      <c r="B2" s="9" t="s">
        <v>519</v>
      </c>
      <c r="C2" s="21">
        <v>1232</v>
      </c>
      <c r="D2" s="8" t="s">
        <v>481</v>
      </c>
      <c r="E2" s="23">
        <v>1</v>
      </c>
    </row>
    <row r="3" spans="1:5" x14ac:dyDescent="0.25">
      <c r="A3" s="11" t="s">
        <v>518</v>
      </c>
      <c r="B3" s="9" t="s">
        <v>519</v>
      </c>
      <c r="C3" s="21">
        <v>25709</v>
      </c>
      <c r="D3" s="8" t="s">
        <v>489</v>
      </c>
      <c r="E3" s="23">
        <v>1</v>
      </c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520</v>
      </c>
      <c r="B2" s="9" t="s">
        <v>521</v>
      </c>
      <c r="C2" s="21">
        <v>299</v>
      </c>
      <c r="D2" s="8" t="s">
        <v>510</v>
      </c>
      <c r="E2" s="23">
        <v>1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522</v>
      </c>
      <c r="B2" s="9" t="s">
        <v>521</v>
      </c>
      <c r="C2" s="21">
        <v>258</v>
      </c>
      <c r="D2" s="8" t="s">
        <v>492</v>
      </c>
      <c r="E2" s="23">
        <v>25</v>
      </c>
    </row>
    <row r="3" spans="1:5" x14ac:dyDescent="0.25">
      <c r="A3" s="11" t="s">
        <v>522</v>
      </c>
      <c r="B3" s="9" t="s">
        <v>521</v>
      </c>
      <c r="C3" s="21">
        <v>299</v>
      </c>
      <c r="D3" s="8" t="s">
        <v>510</v>
      </c>
      <c r="E3" s="23">
        <v>3</v>
      </c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523</v>
      </c>
      <c r="B2" s="9" t="s">
        <v>524</v>
      </c>
      <c r="C2" s="21">
        <v>282</v>
      </c>
      <c r="D2" s="8" t="s">
        <v>494</v>
      </c>
      <c r="E2" s="23">
        <v>42</v>
      </c>
    </row>
    <row r="3" spans="1:5" x14ac:dyDescent="0.25">
      <c r="A3" s="11" t="s">
        <v>523</v>
      </c>
      <c r="B3" s="9" t="s">
        <v>524</v>
      </c>
      <c r="C3" s="21">
        <v>283</v>
      </c>
      <c r="D3" s="8" t="s">
        <v>505</v>
      </c>
      <c r="E3" s="23">
        <v>4</v>
      </c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525</v>
      </c>
      <c r="B2" s="9" t="s">
        <v>526</v>
      </c>
      <c r="C2" s="21">
        <v>1</v>
      </c>
      <c r="D2" s="8" t="s">
        <v>493</v>
      </c>
      <c r="E2" s="23">
        <v>6</v>
      </c>
    </row>
    <row r="3" spans="1:5" x14ac:dyDescent="0.25">
      <c r="A3" s="11" t="s">
        <v>525</v>
      </c>
      <c r="B3" s="9" t="s">
        <v>526</v>
      </c>
      <c r="C3" s="21">
        <v>23</v>
      </c>
      <c r="D3" s="8" t="s">
        <v>487</v>
      </c>
      <c r="E3" s="23">
        <v>6</v>
      </c>
    </row>
    <row r="4" spans="1:5" x14ac:dyDescent="0.25">
      <c r="A4" s="11" t="s">
        <v>525</v>
      </c>
      <c r="B4" s="9" t="s">
        <v>526</v>
      </c>
      <c r="C4" s="21">
        <v>294</v>
      </c>
      <c r="D4" s="8" t="s">
        <v>498</v>
      </c>
      <c r="E4" s="23">
        <v>1</v>
      </c>
    </row>
    <row r="5" spans="1:5" x14ac:dyDescent="0.25">
      <c r="A5" s="11" t="s">
        <v>525</v>
      </c>
      <c r="B5" s="9" t="s">
        <v>526</v>
      </c>
      <c r="C5" s="21">
        <v>295</v>
      </c>
      <c r="D5" s="8" t="s">
        <v>500</v>
      </c>
      <c r="E5" s="23">
        <v>1</v>
      </c>
    </row>
    <row r="6" spans="1:5" x14ac:dyDescent="0.25">
      <c r="A6" s="11" t="s">
        <v>525</v>
      </c>
      <c r="B6" s="9" t="s">
        <v>526</v>
      </c>
      <c r="C6" s="21">
        <v>39</v>
      </c>
      <c r="D6" s="8" t="s">
        <v>499</v>
      </c>
      <c r="E6" s="23">
        <v>3</v>
      </c>
    </row>
    <row r="7" spans="1:5" x14ac:dyDescent="0.25">
      <c r="A7" s="11" t="s">
        <v>525</v>
      </c>
      <c r="B7" s="9" t="s">
        <v>526</v>
      </c>
      <c r="C7" s="21">
        <v>56</v>
      </c>
      <c r="D7" s="8" t="s">
        <v>511</v>
      </c>
      <c r="E7" s="23">
        <v>1</v>
      </c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527</v>
      </c>
      <c r="B2" s="9" t="s">
        <v>528</v>
      </c>
      <c r="C2" s="21">
        <v>1204</v>
      </c>
      <c r="D2" s="8" t="s">
        <v>480</v>
      </c>
      <c r="E2" s="23">
        <v>1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529</v>
      </c>
      <c r="B2" s="9" t="s">
        <v>528</v>
      </c>
      <c r="C2" s="21">
        <v>230</v>
      </c>
      <c r="D2" s="8" t="s">
        <v>490</v>
      </c>
      <c r="E2" s="23">
        <v>10</v>
      </c>
    </row>
    <row r="3" spans="1:5" x14ac:dyDescent="0.25">
      <c r="A3" s="11" t="s">
        <v>529</v>
      </c>
      <c r="B3" s="9" t="s">
        <v>528</v>
      </c>
      <c r="C3" s="21">
        <v>258</v>
      </c>
      <c r="D3" s="8" t="s">
        <v>492</v>
      </c>
      <c r="E3" s="23">
        <v>56</v>
      </c>
    </row>
    <row r="4" spans="1:5" x14ac:dyDescent="0.25">
      <c r="A4" s="11" t="s">
        <v>529</v>
      </c>
      <c r="B4" s="9" t="s">
        <v>528</v>
      </c>
      <c r="C4" s="21">
        <v>283</v>
      </c>
      <c r="D4" s="8" t="s">
        <v>505</v>
      </c>
      <c r="E4" s="23">
        <v>3</v>
      </c>
    </row>
    <row r="5" spans="1:5" x14ac:dyDescent="0.25">
      <c r="A5" s="11" t="s">
        <v>529</v>
      </c>
      <c r="B5" s="9" t="s">
        <v>528</v>
      </c>
      <c r="C5" s="21">
        <v>298</v>
      </c>
      <c r="D5" s="8" t="s">
        <v>508</v>
      </c>
      <c r="E5" s="23">
        <v>3</v>
      </c>
    </row>
    <row r="6" spans="1:5" x14ac:dyDescent="0.25">
      <c r="A6" s="11" t="s">
        <v>529</v>
      </c>
      <c r="B6" s="9" t="s">
        <v>528</v>
      </c>
      <c r="C6" s="21">
        <v>300</v>
      </c>
      <c r="D6" s="8" t="s">
        <v>512</v>
      </c>
      <c r="E6" s="23">
        <v>2</v>
      </c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530</v>
      </c>
      <c r="B2" s="9" t="s">
        <v>531</v>
      </c>
      <c r="C2" s="21">
        <v>258</v>
      </c>
      <c r="D2" s="8" t="s">
        <v>492</v>
      </c>
      <c r="E2" s="23">
        <v>20</v>
      </c>
    </row>
    <row r="3" spans="1:5" x14ac:dyDescent="0.25">
      <c r="A3" s="11" t="s">
        <v>530</v>
      </c>
      <c r="B3" s="9" t="s">
        <v>531</v>
      </c>
      <c r="C3" s="21">
        <v>294</v>
      </c>
      <c r="D3" s="8" t="s">
        <v>498</v>
      </c>
      <c r="E3" s="23">
        <v>3</v>
      </c>
    </row>
    <row r="4" spans="1:5" x14ac:dyDescent="0.25">
      <c r="A4" s="11" t="s">
        <v>530</v>
      </c>
      <c r="B4" s="9" t="s">
        <v>531</v>
      </c>
      <c r="C4" s="21">
        <v>295</v>
      </c>
      <c r="D4" s="8" t="s">
        <v>500</v>
      </c>
      <c r="E4" s="23">
        <v>2</v>
      </c>
    </row>
    <row r="5" spans="1:5" x14ac:dyDescent="0.25">
      <c r="A5" s="11" t="s">
        <v>530</v>
      </c>
      <c r="B5" s="9" t="s">
        <v>531</v>
      </c>
      <c r="C5" s="21">
        <v>298</v>
      </c>
      <c r="D5" s="8" t="s">
        <v>508</v>
      </c>
      <c r="E5" s="23">
        <v>1</v>
      </c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532</v>
      </c>
      <c r="B2" s="9" t="s">
        <v>533</v>
      </c>
      <c r="C2" s="21">
        <v>230</v>
      </c>
      <c r="D2" s="8" t="s">
        <v>490</v>
      </c>
      <c r="E2" s="23">
        <v>1</v>
      </c>
    </row>
    <row r="3" spans="1:5" x14ac:dyDescent="0.25">
      <c r="A3" s="11" t="s">
        <v>532</v>
      </c>
      <c r="B3" s="9" t="s">
        <v>533</v>
      </c>
      <c r="C3" s="21">
        <v>282</v>
      </c>
      <c r="D3" s="8" t="s">
        <v>494</v>
      </c>
      <c r="E3" s="23">
        <v>40</v>
      </c>
    </row>
    <row r="4" spans="1:5" x14ac:dyDescent="0.25">
      <c r="A4" s="11" t="s">
        <v>532</v>
      </c>
      <c r="B4" s="9" t="s">
        <v>533</v>
      </c>
      <c r="C4" s="21">
        <v>283</v>
      </c>
      <c r="D4" s="8" t="s">
        <v>505</v>
      </c>
      <c r="E4" s="23">
        <v>5</v>
      </c>
    </row>
    <row r="5" spans="1:5" x14ac:dyDescent="0.25">
      <c r="A5" s="11" t="s">
        <v>532</v>
      </c>
      <c r="B5" s="9" t="s">
        <v>533</v>
      </c>
      <c r="C5" s="21">
        <v>294</v>
      </c>
      <c r="D5" s="8" t="s">
        <v>498</v>
      </c>
      <c r="E5" s="23">
        <v>1</v>
      </c>
    </row>
    <row r="6" spans="1:5" x14ac:dyDescent="0.25">
      <c r="A6" s="11" t="s">
        <v>532</v>
      </c>
      <c r="B6" s="9" t="s">
        <v>533</v>
      </c>
      <c r="C6" s="21">
        <v>295</v>
      </c>
      <c r="D6" s="8" t="s">
        <v>500</v>
      </c>
      <c r="E6" s="23">
        <v>3</v>
      </c>
    </row>
    <row r="7" spans="1:5" x14ac:dyDescent="0.25">
      <c r="A7" s="11" t="s">
        <v>532</v>
      </c>
      <c r="B7" s="9" t="s">
        <v>533</v>
      </c>
      <c r="C7" s="21">
        <v>298</v>
      </c>
      <c r="D7" s="8" t="s">
        <v>508</v>
      </c>
      <c r="E7" s="23">
        <v>2</v>
      </c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534</v>
      </c>
      <c r="B2" s="9" t="s">
        <v>535</v>
      </c>
      <c r="C2" s="21">
        <v>282</v>
      </c>
      <c r="D2" s="8" t="s">
        <v>494</v>
      </c>
      <c r="E2" s="23">
        <v>16</v>
      </c>
    </row>
    <row r="3" spans="1:5" x14ac:dyDescent="0.25">
      <c r="A3" s="11" t="s">
        <v>534</v>
      </c>
      <c r="B3" s="9" t="s">
        <v>535</v>
      </c>
      <c r="C3" s="21">
        <v>283</v>
      </c>
      <c r="D3" s="8" t="s">
        <v>505</v>
      </c>
      <c r="E3" s="23">
        <v>4</v>
      </c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536</v>
      </c>
      <c r="B2" s="9" t="s">
        <v>537</v>
      </c>
      <c r="C2" s="21">
        <v>230</v>
      </c>
      <c r="D2" s="8" t="s">
        <v>490</v>
      </c>
      <c r="E2" s="23">
        <v>5</v>
      </c>
    </row>
    <row r="3" spans="1:5" x14ac:dyDescent="0.25">
      <c r="A3" s="11" t="s">
        <v>536</v>
      </c>
      <c r="B3" s="9" t="s">
        <v>537</v>
      </c>
      <c r="C3" s="21">
        <v>258</v>
      </c>
      <c r="D3" s="8" t="s">
        <v>492</v>
      </c>
      <c r="E3" s="23">
        <v>60</v>
      </c>
    </row>
    <row r="4" spans="1:5" x14ac:dyDescent="0.25">
      <c r="A4" s="11" t="s">
        <v>536</v>
      </c>
      <c r="B4" s="9" t="s">
        <v>537</v>
      </c>
      <c r="C4" s="21">
        <v>282</v>
      </c>
      <c r="D4" s="8" t="s">
        <v>494</v>
      </c>
      <c r="E4" s="23">
        <v>50</v>
      </c>
    </row>
    <row r="5" spans="1:5" x14ac:dyDescent="0.25">
      <c r="A5" s="11" t="s">
        <v>536</v>
      </c>
      <c r="B5" s="9" t="s">
        <v>537</v>
      </c>
      <c r="C5" s="21">
        <v>283</v>
      </c>
      <c r="D5" s="8" t="s">
        <v>505</v>
      </c>
      <c r="E5" s="23">
        <v>10</v>
      </c>
    </row>
    <row r="6" spans="1:5" x14ac:dyDescent="0.25">
      <c r="A6" s="11" t="s">
        <v>536</v>
      </c>
      <c r="B6" s="9" t="s">
        <v>537</v>
      </c>
      <c r="C6" s="21">
        <v>295</v>
      </c>
      <c r="D6" s="8" t="s">
        <v>500</v>
      </c>
      <c r="E6" s="23">
        <v>10</v>
      </c>
    </row>
    <row r="7" spans="1:5" x14ac:dyDescent="0.25">
      <c r="A7" s="11" t="s">
        <v>536</v>
      </c>
      <c r="B7" s="9" t="s">
        <v>537</v>
      </c>
      <c r="C7" s="21">
        <v>300</v>
      </c>
      <c r="D7" s="8" t="s">
        <v>512</v>
      </c>
      <c r="E7" s="23">
        <v>2</v>
      </c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538</v>
      </c>
      <c r="B2" s="9" t="s">
        <v>539</v>
      </c>
      <c r="C2" s="21">
        <v>1160</v>
      </c>
      <c r="D2" s="8" t="s">
        <v>484</v>
      </c>
      <c r="E2" s="23">
        <v>2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540</v>
      </c>
      <c r="B2" s="9" t="s">
        <v>541</v>
      </c>
      <c r="C2" s="21">
        <v>25711</v>
      </c>
      <c r="D2" s="8" t="s">
        <v>513</v>
      </c>
      <c r="E2" s="23">
        <v>6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542</v>
      </c>
      <c r="B2" s="9" t="s">
        <v>541</v>
      </c>
      <c r="C2" s="21">
        <v>230</v>
      </c>
      <c r="D2" s="8" t="s">
        <v>490</v>
      </c>
      <c r="E2" s="23">
        <v>3</v>
      </c>
    </row>
    <row r="3" spans="1:5" x14ac:dyDescent="0.25">
      <c r="A3" s="11" t="s">
        <v>542</v>
      </c>
      <c r="B3" s="9" t="s">
        <v>541</v>
      </c>
      <c r="C3" s="21">
        <v>239</v>
      </c>
      <c r="D3" s="8" t="s">
        <v>495</v>
      </c>
      <c r="E3" s="23">
        <v>4</v>
      </c>
    </row>
    <row r="4" spans="1:5" x14ac:dyDescent="0.25">
      <c r="A4" s="11" t="s">
        <v>542</v>
      </c>
      <c r="B4" s="9" t="s">
        <v>541</v>
      </c>
      <c r="C4" s="21">
        <v>258</v>
      </c>
      <c r="D4" s="8" t="s">
        <v>492</v>
      </c>
      <c r="E4" s="23">
        <v>6</v>
      </c>
    </row>
    <row r="5" spans="1:5" x14ac:dyDescent="0.25">
      <c r="A5" s="11" t="s">
        <v>542</v>
      </c>
      <c r="B5" s="9" t="s">
        <v>541</v>
      </c>
      <c r="C5" s="21">
        <v>282</v>
      </c>
      <c r="D5" s="8" t="s">
        <v>494</v>
      </c>
      <c r="E5" s="23">
        <v>6</v>
      </c>
    </row>
    <row r="6" spans="1:5" x14ac:dyDescent="0.25">
      <c r="A6" s="11" t="s">
        <v>542</v>
      </c>
      <c r="B6" s="9" t="s">
        <v>541</v>
      </c>
      <c r="C6" s="21">
        <v>298</v>
      </c>
      <c r="D6" s="8" t="s">
        <v>508</v>
      </c>
      <c r="E6" s="23">
        <v>2</v>
      </c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543</v>
      </c>
      <c r="B2" s="9" t="s">
        <v>544</v>
      </c>
      <c r="C2" s="21">
        <v>1216</v>
      </c>
      <c r="D2" s="8" t="s">
        <v>483</v>
      </c>
      <c r="E2" s="23">
        <v>1</v>
      </c>
    </row>
    <row r="3" spans="1:5" x14ac:dyDescent="0.25">
      <c r="A3" s="11" t="s">
        <v>543</v>
      </c>
      <c r="B3" s="9" t="s">
        <v>544</v>
      </c>
      <c r="C3" s="21">
        <v>1228</v>
      </c>
      <c r="D3" s="8" t="s">
        <v>482</v>
      </c>
      <c r="E3" s="23">
        <v>1</v>
      </c>
    </row>
    <row r="4" spans="1:5" x14ac:dyDescent="0.25">
      <c r="A4" s="11" t="s">
        <v>543</v>
      </c>
      <c r="B4" s="9" t="s">
        <v>544</v>
      </c>
      <c r="C4" s="21">
        <v>25713</v>
      </c>
      <c r="D4" s="8" t="s">
        <v>514</v>
      </c>
      <c r="E4" s="23">
        <v>5</v>
      </c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545</v>
      </c>
      <c r="B2" s="9" t="s">
        <v>546</v>
      </c>
      <c r="C2" s="21">
        <v>25709</v>
      </c>
      <c r="D2" s="8" t="s">
        <v>489</v>
      </c>
      <c r="E2" s="23">
        <v>1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547</v>
      </c>
      <c r="B2" s="9" t="s">
        <v>546</v>
      </c>
      <c r="C2" s="21">
        <v>230</v>
      </c>
      <c r="D2" s="8" t="s">
        <v>490</v>
      </c>
      <c r="E2" s="23">
        <v>10</v>
      </c>
    </row>
    <row r="3" spans="1:5" x14ac:dyDescent="0.25">
      <c r="A3" s="11" t="s">
        <v>547</v>
      </c>
      <c r="B3" s="9" t="s">
        <v>546</v>
      </c>
      <c r="C3" s="21">
        <v>233</v>
      </c>
      <c r="D3" s="8" t="s">
        <v>496</v>
      </c>
      <c r="E3" s="23">
        <v>2</v>
      </c>
    </row>
    <row r="4" spans="1:5" x14ac:dyDescent="0.25">
      <c r="A4" s="11" t="s">
        <v>547</v>
      </c>
      <c r="B4" s="9" t="s">
        <v>546</v>
      </c>
      <c r="C4" s="21">
        <v>239</v>
      </c>
      <c r="D4" s="8" t="s">
        <v>495</v>
      </c>
      <c r="E4" s="23">
        <v>4</v>
      </c>
    </row>
    <row r="5" spans="1:5" x14ac:dyDescent="0.25">
      <c r="A5" s="11" t="s">
        <v>547</v>
      </c>
      <c r="B5" s="9" t="s">
        <v>546</v>
      </c>
      <c r="C5" s="21">
        <v>258</v>
      </c>
      <c r="D5" s="8" t="s">
        <v>492</v>
      </c>
      <c r="E5" s="23">
        <v>28</v>
      </c>
    </row>
    <row r="6" spans="1:5" x14ac:dyDescent="0.25">
      <c r="A6" s="11" t="s">
        <v>547</v>
      </c>
      <c r="B6" s="9" t="s">
        <v>546</v>
      </c>
      <c r="C6" s="21">
        <v>282</v>
      </c>
      <c r="D6" s="8" t="s">
        <v>494</v>
      </c>
      <c r="E6" s="23">
        <v>10</v>
      </c>
    </row>
    <row r="7" spans="1:5" x14ac:dyDescent="0.25">
      <c r="A7" s="11" t="s">
        <v>547</v>
      </c>
      <c r="B7" s="9" t="s">
        <v>546</v>
      </c>
      <c r="C7" s="21">
        <v>283</v>
      </c>
      <c r="D7" s="8" t="s">
        <v>505</v>
      </c>
      <c r="E7" s="23">
        <v>1</v>
      </c>
    </row>
    <row r="8" spans="1:5" x14ac:dyDescent="0.25">
      <c r="A8" s="11" t="s">
        <v>547</v>
      </c>
      <c r="B8" s="9" t="s">
        <v>546</v>
      </c>
      <c r="C8" s="21">
        <v>298</v>
      </c>
      <c r="D8" s="8" t="s">
        <v>508</v>
      </c>
      <c r="E8" s="23">
        <v>1</v>
      </c>
    </row>
    <row r="9" spans="1:5" x14ac:dyDescent="0.25">
      <c r="A9" s="11" t="s">
        <v>547</v>
      </c>
      <c r="B9" s="9" t="s">
        <v>546</v>
      </c>
      <c r="C9" s="21">
        <v>307</v>
      </c>
      <c r="D9" s="8" t="s">
        <v>509</v>
      </c>
      <c r="E9" s="23">
        <v>2</v>
      </c>
    </row>
    <row r="10" spans="1:5" x14ac:dyDescent="0.25">
      <c r="A10" s="11" t="s">
        <v>547</v>
      </c>
      <c r="B10" s="9" t="s">
        <v>546</v>
      </c>
      <c r="C10" s="21">
        <v>964</v>
      </c>
      <c r="D10" s="8" t="s">
        <v>502</v>
      </c>
      <c r="E10" s="23">
        <v>4</v>
      </c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548</v>
      </c>
      <c r="B2" s="9" t="s">
        <v>549</v>
      </c>
      <c r="C2" s="21">
        <v>233</v>
      </c>
      <c r="D2" s="8" t="s">
        <v>496</v>
      </c>
      <c r="E2" s="23">
        <v>3</v>
      </c>
    </row>
    <row r="3" spans="1:5" x14ac:dyDescent="0.25">
      <c r="A3" s="11" t="s">
        <v>548</v>
      </c>
      <c r="B3" s="9" t="s">
        <v>549</v>
      </c>
      <c r="C3" s="21">
        <v>239</v>
      </c>
      <c r="D3" s="8" t="s">
        <v>495</v>
      </c>
      <c r="E3" s="23">
        <v>2</v>
      </c>
    </row>
    <row r="4" spans="1:5" x14ac:dyDescent="0.25">
      <c r="A4" s="11" t="s">
        <v>548</v>
      </c>
      <c r="B4" s="9" t="s">
        <v>549</v>
      </c>
      <c r="C4" s="21">
        <v>282</v>
      </c>
      <c r="D4" s="8" t="s">
        <v>494</v>
      </c>
      <c r="E4" s="23">
        <v>4</v>
      </c>
    </row>
    <row r="5" spans="1:5" x14ac:dyDescent="0.25">
      <c r="A5" s="11" t="s">
        <v>548</v>
      </c>
      <c r="B5" s="9" t="s">
        <v>549</v>
      </c>
      <c r="C5" s="21">
        <v>283</v>
      </c>
      <c r="D5" s="8" t="s">
        <v>505</v>
      </c>
      <c r="E5" s="23">
        <v>1</v>
      </c>
    </row>
    <row r="6" spans="1:5" x14ac:dyDescent="0.25">
      <c r="A6" s="11" t="s">
        <v>548</v>
      </c>
      <c r="B6" s="9" t="s">
        <v>549</v>
      </c>
      <c r="C6" s="21">
        <v>294</v>
      </c>
      <c r="D6" s="8" t="s">
        <v>498</v>
      </c>
      <c r="E6" s="23">
        <v>1</v>
      </c>
    </row>
    <row r="7" spans="1:5" x14ac:dyDescent="0.25">
      <c r="A7" s="11" t="s">
        <v>548</v>
      </c>
      <c r="B7" s="9" t="s">
        <v>549</v>
      </c>
      <c r="C7" s="21">
        <v>35</v>
      </c>
      <c r="D7" s="8" t="s">
        <v>497</v>
      </c>
      <c r="E7" s="23">
        <v>1</v>
      </c>
    </row>
    <row r="8" spans="1:5" x14ac:dyDescent="0.25">
      <c r="A8" s="11" t="s">
        <v>548</v>
      </c>
      <c r="B8" s="9" t="s">
        <v>549</v>
      </c>
      <c r="C8" s="21">
        <v>963</v>
      </c>
      <c r="D8" s="8" t="s">
        <v>501</v>
      </c>
      <c r="E8" s="23">
        <v>1</v>
      </c>
    </row>
    <row r="9" spans="1:5" x14ac:dyDescent="0.25">
      <c r="A9" s="11" t="s">
        <v>548</v>
      </c>
      <c r="B9" s="9" t="s">
        <v>549</v>
      </c>
      <c r="C9" s="21">
        <v>964</v>
      </c>
      <c r="D9" s="8" t="s">
        <v>502</v>
      </c>
      <c r="E9" s="23">
        <v>2</v>
      </c>
    </row>
    <row r="10" spans="1:5" x14ac:dyDescent="0.25">
      <c r="A10" s="11" t="s">
        <v>548</v>
      </c>
      <c r="B10" s="9" t="s">
        <v>549</v>
      </c>
      <c r="C10" s="21">
        <v>966</v>
      </c>
      <c r="D10" s="8" t="s">
        <v>503</v>
      </c>
      <c r="E10" s="23">
        <v>1</v>
      </c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550</v>
      </c>
      <c r="B2" s="9" t="s">
        <v>551</v>
      </c>
      <c r="C2" s="21">
        <v>230</v>
      </c>
      <c r="D2" s="8" t="s">
        <v>490</v>
      </c>
      <c r="E2" s="23">
        <v>4</v>
      </c>
    </row>
    <row r="3" spans="1:5" x14ac:dyDescent="0.25">
      <c r="A3" s="11" t="s">
        <v>550</v>
      </c>
      <c r="B3" s="9" t="s">
        <v>551</v>
      </c>
      <c r="C3" s="21">
        <v>233</v>
      </c>
      <c r="D3" s="8" t="s">
        <v>496</v>
      </c>
      <c r="E3" s="23">
        <v>5</v>
      </c>
    </row>
    <row r="4" spans="1:5" x14ac:dyDescent="0.25">
      <c r="A4" s="11" t="s">
        <v>550</v>
      </c>
      <c r="B4" s="9" t="s">
        <v>551</v>
      </c>
      <c r="C4" s="21">
        <v>239</v>
      </c>
      <c r="D4" s="8" t="s">
        <v>495</v>
      </c>
      <c r="E4" s="23">
        <v>4</v>
      </c>
    </row>
    <row r="5" spans="1:5" x14ac:dyDescent="0.25">
      <c r="A5" s="11" t="s">
        <v>550</v>
      </c>
      <c r="B5" s="9" t="s">
        <v>551</v>
      </c>
      <c r="C5" s="21">
        <v>258</v>
      </c>
      <c r="D5" s="8" t="s">
        <v>492</v>
      </c>
      <c r="E5" s="23">
        <v>30</v>
      </c>
    </row>
    <row r="6" spans="1:5" x14ac:dyDescent="0.25">
      <c r="A6" s="11" t="s">
        <v>550</v>
      </c>
      <c r="B6" s="9" t="s">
        <v>551</v>
      </c>
      <c r="C6" s="21">
        <v>283</v>
      </c>
      <c r="D6" s="8" t="s">
        <v>505</v>
      </c>
      <c r="E6" s="23">
        <v>1</v>
      </c>
    </row>
    <row r="7" spans="1:5" x14ac:dyDescent="0.25">
      <c r="A7" s="11" t="s">
        <v>550</v>
      </c>
      <c r="B7" s="9" t="s">
        <v>551</v>
      </c>
      <c r="C7" s="21">
        <v>291</v>
      </c>
      <c r="D7" s="8" t="s">
        <v>488</v>
      </c>
      <c r="E7" s="23">
        <v>6</v>
      </c>
    </row>
    <row r="8" spans="1:5" x14ac:dyDescent="0.25">
      <c r="A8" s="11" t="s">
        <v>550</v>
      </c>
      <c r="B8" s="9" t="s">
        <v>551</v>
      </c>
      <c r="C8" s="21">
        <v>298</v>
      </c>
      <c r="D8" s="8" t="s">
        <v>508</v>
      </c>
      <c r="E8" s="23">
        <v>1</v>
      </c>
    </row>
    <row r="9" spans="1:5" x14ac:dyDescent="0.25">
      <c r="A9" s="11" t="s">
        <v>550</v>
      </c>
      <c r="B9" s="9" t="s">
        <v>551</v>
      </c>
      <c r="C9" s="21">
        <v>300</v>
      </c>
      <c r="D9" s="8" t="s">
        <v>512</v>
      </c>
      <c r="E9" s="23">
        <v>1</v>
      </c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 t="s">
        <v>552</v>
      </c>
      <c r="B2" s="9" t="s">
        <v>553</v>
      </c>
      <c r="C2" s="21">
        <v>258</v>
      </c>
      <c r="D2" s="8" t="s">
        <v>492</v>
      </c>
      <c r="E2" s="23">
        <v>20</v>
      </c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6411-4BFE-4E5F-9B52-4E32E58A4C17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8BEA-13D7-4F4A-8ACA-24A8476705CA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4231-3046-4E77-8CF6-4813E4BAAD02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54BC-B035-4C65-B3C1-7F2E046AD97A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44C6-FABC-41C1-91CB-6B909F4BF462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CB5C-64D2-4E8E-BF0E-64F3265C87E5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706B-2D74-4067-93AC-EF4970498BCA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071-85A9-4C9B-A15A-CAB235A208D0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C102-705B-40A3-8B5A-04734A89E64B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E6C4-9177-4825-AE29-6BE25DD5E5B9}">
  <sheetPr>
    <pageSetUpPr fitToPage="1"/>
  </sheetPr>
  <dimension ref="A1:E60"/>
  <sheetViews>
    <sheetView workbookViewId="0">
      <selection activeCell="A2" sqref="A2"/>
    </sheetView>
  </sheetViews>
  <sheetFormatPr defaultRowHeight="15" x14ac:dyDescent="0.25"/>
  <cols>
    <col min="1" max="1" width="15.7109375" style="7" customWidth="1" collapsed="1"/>
    <col min="2" max="2" width="50.7109375" style="7" customWidth="1" collapsed="1"/>
    <col min="3" max="3" width="15.7109375" style="7" customWidth="1" collapsed="1"/>
    <col min="4" max="4" width="50.7109375" customWidth="1" collapsed="1"/>
    <col min="5" max="5" width="20.7109375" customWidth="1" collapsed="1"/>
  </cols>
  <sheetData>
    <row r="1" spans="1:5" ht="20.25" x14ac:dyDescent="0.25">
      <c r="A1" s="6" t="s">
        <v>94</v>
      </c>
      <c r="B1" s="6" t="s">
        <v>53</v>
      </c>
      <c r="C1" s="6" t="s">
        <v>52</v>
      </c>
      <c r="D1" s="6" t="s">
        <v>92</v>
      </c>
      <c r="E1" s="6" t="s">
        <v>51</v>
      </c>
    </row>
    <row r="2" spans="1:5" x14ac:dyDescent="0.25">
      <c r="A2" s="11"/>
      <c r="B2" s="9"/>
      <c r="C2" s="21"/>
      <c r="D2" s="8"/>
      <c r="E2" s="23"/>
    </row>
    <row r="3" spans="1:5" x14ac:dyDescent="0.25">
      <c r="A3" s="11"/>
      <c r="B3" s="9"/>
      <c r="C3" s="21"/>
      <c r="D3" s="8"/>
      <c r="E3" s="23"/>
    </row>
    <row r="4" spans="1:5" x14ac:dyDescent="0.25">
      <c r="A4" s="11"/>
      <c r="B4" s="9"/>
      <c r="C4" s="21"/>
      <c r="D4" s="8"/>
      <c r="E4" s="23"/>
    </row>
    <row r="5" spans="1:5" x14ac:dyDescent="0.25">
      <c r="A5" s="11"/>
      <c r="B5" s="9"/>
      <c r="C5" s="21"/>
      <c r="D5" s="8"/>
      <c r="E5" s="23"/>
    </row>
    <row r="6" spans="1:5" x14ac:dyDescent="0.25">
      <c r="A6" s="11"/>
      <c r="B6" s="9"/>
      <c r="C6" s="21"/>
      <c r="D6" s="8"/>
      <c r="E6" s="23"/>
    </row>
    <row r="7" spans="1:5" x14ac:dyDescent="0.25">
      <c r="A7" s="11"/>
      <c r="B7" s="9"/>
      <c r="C7" s="21"/>
      <c r="D7" s="8"/>
      <c r="E7" s="23"/>
    </row>
    <row r="8" spans="1:5" x14ac:dyDescent="0.25">
      <c r="A8" s="11"/>
      <c r="B8" s="9"/>
      <c r="C8" s="21"/>
      <c r="D8" s="8"/>
      <c r="E8" s="23"/>
    </row>
    <row r="9" spans="1:5" x14ac:dyDescent="0.25">
      <c r="A9" s="11"/>
      <c r="B9" s="9"/>
      <c r="C9" s="21"/>
      <c r="D9" s="8"/>
      <c r="E9" s="23"/>
    </row>
    <row r="10" spans="1:5" x14ac:dyDescent="0.25">
      <c r="A10" s="11"/>
      <c r="B10" s="9"/>
      <c r="C10" s="21"/>
      <c r="D10" s="8"/>
      <c r="E10" s="23"/>
    </row>
    <row r="11" spans="1:5" x14ac:dyDescent="0.25">
      <c r="A11" s="11"/>
      <c r="B11" s="9"/>
      <c r="C11" s="21"/>
      <c r="D11" s="8"/>
      <c r="E11" s="23"/>
    </row>
    <row r="12" spans="1:5" x14ac:dyDescent="0.25">
      <c r="A12" s="11"/>
      <c r="B12" s="9"/>
      <c r="C12" s="21"/>
      <c r="D12" s="8"/>
      <c r="E12" s="23"/>
    </row>
    <row r="13" spans="1:5" x14ac:dyDescent="0.25">
      <c r="A13" s="11"/>
      <c r="B13" s="9"/>
      <c r="C13" s="21"/>
      <c r="D13" s="8"/>
      <c r="E13" s="23"/>
    </row>
    <row r="14" spans="1:5" x14ac:dyDescent="0.25">
      <c r="A14" s="11"/>
      <c r="B14" s="9"/>
      <c r="C14" s="21"/>
      <c r="D14" s="8"/>
      <c r="E14" s="23"/>
    </row>
    <row r="15" spans="1:5" x14ac:dyDescent="0.25">
      <c r="A15" s="11"/>
      <c r="B15" s="9"/>
      <c r="C15" s="21"/>
      <c r="D15" s="8"/>
      <c r="E15" s="23"/>
    </row>
    <row r="16" spans="1:5" x14ac:dyDescent="0.25">
      <c r="A16" s="11"/>
      <c r="B16" s="9"/>
      <c r="C16" s="21"/>
      <c r="D16" s="8"/>
      <c r="E16" s="23"/>
    </row>
    <row r="17" spans="1:5" x14ac:dyDescent="0.25">
      <c r="A17" s="11"/>
      <c r="B17" s="9"/>
      <c r="C17" s="21"/>
      <c r="D17" s="8"/>
      <c r="E17" s="23"/>
    </row>
    <row r="18" spans="1:5" x14ac:dyDescent="0.25">
      <c r="A18" s="11"/>
      <c r="B18" s="9"/>
      <c r="C18" s="21"/>
      <c r="D18" s="8"/>
      <c r="E18" s="23"/>
    </row>
    <row r="19" spans="1:5" x14ac:dyDescent="0.25">
      <c r="A19" s="11"/>
      <c r="B19" s="9"/>
      <c r="C19" s="21"/>
      <c r="D19" s="8"/>
      <c r="E19" s="23"/>
    </row>
    <row r="20" spans="1:5" x14ac:dyDescent="0.25">
      <c r="A20" s="11"/>
      <c r="B20" s="9"/>
      <c r="C20" s="21"/>
      <c r="D20" s="8"/>
      <c r="E20" s="23"/>
    </row>
    <row r="21" spans="1:5" x14ac:dyDescent="0.25">
      <c r="A21" s="11"/>
      <c r="B21" s="9"/>
      <c r="C21" s="21"/>
      <c r="D21" s="8"/>
      <c r="E21" s="23"/>
    </row>
    <row r="22" spans="1:5" x14ac:dyDescent="0.25">
      <c r="A22" s="11"/>
      <c r="B22" s="9"/>
      <c r="C22" s="21"/>
      <c r="D22" s="8"/>
      <c r="E22" s="23"/>
    </row>
    <row r="23" spans="1:5" x14ac:dyDescent="0.25">
      <c r="A23" s="11"/>
      <c r="B23" s="9"/>
      <c r="C23" s="21"/>
      <c r="D23" s="8"/>
      <c r="E23" s="23"/>
    </row>
    <row r="24" spans="1:5" x14ac:dyDescent="0.25">
      <c r="A24" s="11"/>
      <c r="B24" s="9"/>
      <c r="C24" s="21"/>
      <c r="D24" s="8"/>
      <c r="E24" s="23"/>
    </row>
    <row r="25" spans="1:5" x14ac:dyDescent="0.25">
      <c r="A25" s="11"/>
      <c r="B25" s="9"/>
      <c r="C25" s="21"/>
      <c r="D25" s="8"/>
      <c r="E25" s="23"/>
    </row>
    <row r="26" spans="1:5" x14ac:dyDescent="0.25">
      <c r="A26" s="11"/>
      <c r="B26" s="9"/>
      <c r="C26" s="21"/>
      <c r="D26" s="8"/>
      <c r="E26" s="23"/>
    </row>
    <row r="27" spans="1:5" x14ac:dyDescent="0.25">
      <c r="A27" s="11"/>
      <c r="B27" s="9"/>
      <c r="C27" s="21"/>
      <c r="D27" s="8"/>
      <c r="E27" s="23"/>
    </row>
    <row r="28" spans="1:5" x14ac:dyDescent="0.25">
      <c r="A28" s="11"/>
      <c r="B28" s="9"/>
      <c r="C28" s="21"/>
      <c r="D28" s="8"/>
      <c r="E28" s="23"/>
    </row>
    <row r="29" spans="1:5" x14ac:dyDescent="0.25">
      <c r="A29" s="11"/>
      <c r="B29" s="9"/>
      <c r="C29" s="21"/>
      <c r="D29" s="8"/>
      <c r="E29" s="23"/>
    </row>
    <row r="30" spans="1:5" x14ac:dyDescent="0.25">
      <c r="A30" s="11"/>
      <c r="B30" s="9"/>
      <c r="C30" s="21"/>
      <c r="D30" s="8"/>
      <c r="E30" s="23"/>
    </row>
    <row r="31" spans="1:5" x14ac:dyDescent="0.25">
      <c r="A31" s="11"/>
      <c r="B31" s="9"/>
      <c r="C31" s="21"/>
      <c r="D31" s="8"/>
      <c r="E31" s="23"/>
    </row>
    <row r="32" spans="1:5" x14ac:dyDescent="0.25">
      <c r="A32" s="11"/>
      <c r="B32" s="9"/>
      <c r="C32" s="21"/>
      <c r="D32" s="8"/>
      <c r="E32" s="23"/>
    </row>
    <row r="33" spans="1:5" x14ac:dyDescent="0.25">
      <c r="A33" s="11"/>
      <c r="B33" s="9"/>
      <c r="C33" s="21"/>
      <c r="D33" s="8"/>
      <c r="E33" s="23"/>
    </row>
    <row r="34" spans="1:5" x14ac:dyDescent="0.25">
      <c r="A34" s="11"/>
      <c r="B34" s="9"/>
      <c r="C34" s="21"/>
      <c r="D34" s="8"/>
      <c r="E34" s="23"/>
    </row>
    <row r="35" spans="1:5" x14ac:dyDescent="0.25">
      <c r="A35" s="11"/>
      <c r="B35" s="9"/>
      <c r="C35" s="21"/>
      <c r="D35" s="8"/>
      <c r="E35" s="23"/>
    </row>
    <row r="36" spans="1:5" x14ac:dyDescent="0.25">
      <c r="A36" s="11"/>
      <c r="B36" s="9"/>
      <c r="C36" s="21"/>
      <c r="D36" s="8"/>
      <c r="E36" s="23"/>
    </row>
    <row r="37" spans="1:5" x14ac:dyDescent="0.25">
      <c r="A37" s="11"/>
      <c r="B37" s="9"/>
      <c r="C37" s="21"/>
      <c r="D37" s="8"/>
      <c r="E37" s="23"/>
    </row>
    <row r="38" spans="1:5" x14ac:dyDescent="0.25">
      <c r="A38" s="11"/>
      <c r="B38" s="9"/>
      <c r="C38" s="21"/>
      <c r="D38" s="8"/>
      <c r="E38" s="23"/>
    </row>
    <row r="39" spans="1:5" x14ac:dyDescent="0.25">
      <c r="A39" s="11"/>
      <c r="B39" s="9"/>
      <c r="C39" s="21"/>
      <c r="D39" s="8"/>
      <c r="E39" s="23"/>
    </row>
    <row r="40" spans="1:5" x14ac:dyDescent="0.25">
      <c r="A40" s="11"/>
      <c r="B40" s="9"/>
      <c r="C40" s="21"/>
      <c r="D40" s="8"/>
      <c r="E40" s="23"/>
    </row>
    <row r="41" spans="1:5" x14ac:dyDescent="0.25">
      <c r="A41" s="11"/>
      <c r="B41" s="9"/>
      <c r="C41" s="21"/>
      <c r="D41" s="8"/>
      <c r="E41" s="23"/>
    </row>
    <row r="42" spans="1:5" x14ac:dyDescent="0.25">
      <c r="A42" s="11"/>
      <c r="B42" s="9"/>
      <c r="C42" s="21"/>
      <c r="D42" s="8"/>
      <c r="E42" s="23"/>
    </row>
    <row r="43" spans="1:5" x14ac:dyDescent="0.25">
      <c r="A43" s="11"/>
      <c r="B43" s="9"/>
      <c r="C43" s="21"/>
      <c r="D43" s="8"/>
      <c r="E43" s="23"/>
    </row>
    <row r="44" spans="1:5" x14ac:dyDescent="0.25">
      <c r="A44" s="11"/>
      <c r="B44" s="9"/>
      <c r="C44" s="21"/>
      <c r="D44" s="8"/>
      <c r="E44" s="23"/>
    </row>
    <row r="45" spans="1:5" x14ac:dyDescent="0.25">
      <c r="A45" s="11"/>
      <c r="B45" s="9"/>
      <c r="C45" s="21"/>
      <c r="D45" s="8"/>
      <c r="E45" s="23"/>
    </row>
    <row r="46" spans="1:5" x14ac:dyDescent="0.25">
      <c r="A46" s="11"/>
      <c r="B46" s="9"/>
      <c r="C46" s="21"/>
      <c r="D46" s="8"/>
      <c r="E46" s="23"/>
    </row>
    <row r="47" spans="1:5" x14ac:dyDescent="0.25">
      <c r="A47" s="11"/>
      <c r="B47" s="9"/>
      <c r="C47" s="21"/>
      <c r="D47" s="8"/>
      <c r="E47" s="23"/>
    </row>
    <row r="48" spans="1:5" x14ac:dyDescent="0.25">
      <c r="A48" s="11"/>
      <c r="B48" s="9"/>
      <c r="C48" s="21"/>
      <c r="D48" s="8"/>
      <c r="E48" s="23"/>
    </row>
    <row r="49" spans="1:5" x14ac:dyDescent="0.25">
      <c r="A49" s="11"/>
      <c r="B49" s="9"/>
      <c r="C49" s="21"/>
      <c r="D49" s="8"/>
      <c r="E49" s="23"/>
    </row>
    <row r="50" spans="1:5" x14ac:dyDescent="0.25">
      <c r="A50" s="11"/>
      <c r="B50" s="9"/>
      <c r="C50" s="21"/>
      <c r="D50" s="8"/>
      <c r="E50" s="23"/>
    </row>
    <row r="51" spans="1:5" x14ac:dyDescent="0.25">
      <c r="A51" s="11"/>
      <c r="B51" s="9"/>
      <c r="C51" s="21"/>
      <c r="D51" s="8"/>
      <c r="E51" s="23"/>
    </row>
    <row r="52" spans="1:5" x14ac:dyDescent="0.25">
      <c r="A52" s="11"/>
      <c r="B52" s="9"/>
      <c r="C52" s="21"/>
      <c r="D52" s="8"/>
      <c r="E52" s="23"/>
    </row>
    <row r="53" spans="1:5" x14ac:dyDescent="0.25">
      <c r="A53" s="11"/>
      <c r="B53" s="9"/>
      <c r="C53" s="21"/>
      <c r="D53" s="8"/>
      <c r="E53" s="23"/>
    </row>
    <row r="54" spans="1:5" x14ac:dyDescent="0.25">
      <c r="A54" s="11"/>
      <c r="B54" s="9"/>
      <c r="C54" s="21"/>
      <c r="D54" s="8"/>
      <c r="E54" s="23"/>
    </row>
    <row r="55" spans="1:5" x14ac:dyDescent="0.25">
      <c r="A55" s="11"/>
      <c r="B55" s="9"/>
      <c r="C55" s="21"/>
      <c r="D55" s="8"/>
      <c r="E55" s="23"/>
    </row>
    <row r="56" spans="1:5" x14ac:dyDescent="0.25">
      <c r="A56" s="11"/>
      <c r="B56" s="9"/>
      <c r="C56" s="21"/>
      <c r="D56" s="8"/>
      <c r="E56" s="23"/>
    </row>
    <row r="57" spans="1:5" x14ac:dyDescent="0.25">
      <c r="A57" s="11"/>
      <c r="B57" s="9"/>
      <c r="C57" s="21"/>
      <c r="D57" s="8"/>
      <c r="E57" s="23"/>
    </row>
    <row r="58" spans="1:5" x14ac:dyDescent="0.25">
      <c r="A58" s="11"/>
      <c r="B58" s="9"/>
      <c r="C58" s="21"/>
      <c r="D58" s="8"/>
      <c r="E58" s="23"/>
    </row>
    <row r="59" spans="1:5" x14ac:dyDescent="0.25">
      <c r="A59" s="11"/>
      <c r="B59" s="9"/>
      <c r="C59" s="21"/>
      <c r="D59" s="8"/>
      <c r="E59" s="23"/>
    </row>
    <row r="60" spans="1:5" x14ac:dyDescent="0.25">
      <c r="A60" s="11"/>
      <c r="B60" s="9"/>
      <c r="C60" s="21"/>
      <c r="D60" s="8"/>
      <c r="E60" s="23"/>
    </row>
  </sheetData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8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67</vt:i4>
      </vt:variant>
      <vt:variant>
        <vt:lpstr>Intervalos Nomeados</vt:lpstr>
      </vt:variant>
      <vt:variant>
        <vt:i4>1</vt:i4>
      </vt:variant>
    </vt:vector>
  </HeadingPairs>
  <TitlesOfParts>
    <vt:vector size="68" baseType="lpstr">
      <vt:lpstr>LISTA COMPLETA</vt:lpstr>
      <vt:lpstr>CARGA</vt:lpstr>
      <vt:lpstr>PRODUÇÃO</vt:lpstr>
      <vt:lpstr>SIMULADOR</vt:lpstr>
      <vt:lpstr>CUBAGEM PRODUTOS</vt:lpstr>
      <vt:lpstr>LISTA POR PEDIDO</vt:lpstr>
      <vt:lpstr>CARGA TOTAL</vt:lpstr>
      <vt:lpstr>PEDIDO 1</vt:lpstr>
      <vt:lpstr>PEDIDO 2</vt:lpstr>
      <vt:lpstr>PEDIDO 3</vt:lpstr>
      <vt:lpstr>PEDIDO 4</vt:lpstr>
      <vt:lpstr>PEDIDO 5</vt:lpstr>
      <vt:lpstr>PEDIDO 6</vt:lpstr>
      <vt:lpstr>PEDIDO 7</vt:lpstr>
      <vt:lpstr>PEDIDO 8</vt:lpstr>
      <vt:lpstr>PEDIDO 9</vt:lpstr>
      <vt:lpstr>PEDIDO 10</vt:lpstr>
      <vt:lpstr>PEDIDO 11</vt:lpstr>
      <vt:lpstr>PEDIDO 12</vt:lpstr>
      <vt:lpstr>PEDIDO 13</vt:lpstr>
      <vt:lpstr>PEDIDO 14</vt:lpstr>
      <vt:lpstr>PEDIDO 15</vt:lpstr>
      <vt:lpstr>PEDIDO 16</vt:lpstr>
      <vt:lpstr>PEDIDO 17</vt:lpstr>
      <vt:lpstr>PEDIDO 18</vt:lpstr>
      <vt:lpstr>PEDIDO 19</vt:lpstr>
      <vt:lpstr>PEDIDO 20</vt:lpstr>
      <vt:lpstr>PEDIDO 21</vt:lpstr>
      <vt:lpstr>PEDIDO 22</vt:lpstr>
      <vt:lpstr>PEDIDO 23</vt:lpstr>
      <vt:lpstr>PEDIDO 24</vt:lpstr>
      <vt:lpstr>PEDIDO 25</vt:lpstr>
      <vt:lpstr>PEDIDO 26</vt:lpstr>
      <vt:lpstr>PEDIDO 27</vt:lpstr>
      <vt:lpstr>PEDIDO 28</vt:lpstr>
      <vt:lpstr>PEDIDO 29</vt:lpstr>
      <vt:lpstr>PEDIDO 30</vt:lpstr>
      <vt:lpstr>PEDIDO 31</vt:lpstr>
      <vt:lpstr>PEDIDO 32</vt:lpstr>
      <vt:lpstr>PEDIDO 33</vt:lpstr>
      <vt:lpstr>PEDIDO 34</vt:lpstr>
      <vt:lpstr>PEDIDO 35</vt:lpstr>
      <vt:lpstr>PEDIDO 36</vt:lpstr>
      <vt:lpstr>PEDIDO 37</vt:lpstr>
      <vt:lpstr>PEDIDO 38</vt:lpstr>
      <vt:lpstr>PEDIDO 39</vt:lpstr>
      <vt:lpstr>PEDIDO 40</vt:lpstr>
      <vt:lpstr>PEDIDO 41</vt:lpstr>
      <vt:lpstr>PEDIDO 42</vt:lpstr>
      <vt:lpstr>PEDIDO 43</vt:lpstr>
      <vt:lpstr>PEDIDO 44</vt:lpstr>
      <vt:lpstr>PEDIDO 45</vt:lpstr>
      <vt:lpstr>PEDIDO 46</vt:lpstr>
      <vt:lpstr>PEDIDO 47</vt:lpstr>
      <vt:lpstr>PEDIDO 48</vt:lpstr>
      <vt:lpstr>PEDIDO 49</vt:lpstr>
      <vt:lpstr>PEDIDO 50</vt:lpstr>
      <vt:lpstr>PEDIDO 51</vt:lpstr>
      <vt:lpstr>PEDIDO 52</vt:lpstr>
      <vt:lpstr>PEDIDO 53</vt:lpstr>
      <vt:lpstr>PEDIDO 54</vt:lpstr>
      <vt:lpstr>PEDIDO 55</vt:lpstr>
      <vt:lpstr>PEDIDO 56</vt:lpstr>
      <vt:lpstr>PEDIDO 57</vt:lpstr>
      <vt:lpstr>PEDIDO 58</vt:lpstr>
      <vt:lpstr>PEDIDO 59</vt:lpstr>
      <vt:lpstr>PEDIDO 60</vt:lpstr>
      <vt:lpstr>CARGA!Area_de_impressao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Móveis Bonafé</cp:lastModifiedBy>
  <cp:lastPrinted>2024-08-15T16:56:16Z</cp:lastPrinted>
  <dcterms:created xsi:type="dcterms:W3CDTF">2024-02-27T22:08:30Z</dcterms:created>
  <dcterms:modified xsi:type="dcterms:W3CDTF">2025-05-16T16:57:19Z</dcterms:modified>
</cp:coreProperties>
</file>