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aw\OneDrive\Desktop\Power BI\Capstone_Project\"/>
    </mc:Choice>
  </mc:AlternateContent>
  <xr:revisionPtr revIDLastSave="0" documentId="13_ncr:1_{F39ED48C-EA02-4E7E-82C4-59A7E87A7FBF}" xr6:coauthVersionLast="47" xr6:coauthVersionMax="47" xr10:uidLastSave="{00000000-0000-0000-0000-000000000000}"/>
  <bookViews>
    <workbookView xWindow="-108" yWindow="-108" windowWidth="23256" windowHeight="12456" tabRatio="951" activeTab="2" xr2:uid="{00000000-000D-0000-FFFF-FFFF00000000}"/>
  </bookViews>
  <sheets>
    <sheet name="Financials" sheetId="11" r:id="rId1"/>
    <sheet name="P&amp;L ACCOUNT" sheetId="20" r:id="rId2"/>
    <sheet name="Deliverable Ratios" sheetId="21" r:id="rId3"/>
    <sheet name="Country-wise Sales" sheetId="17" r:id="rId4"/>
    <sheet name="Customer-wise Sales" sheetId="18" r:id="rId5"/>
    <sheet name="Product-wise Sales" sheetId="19" r:id="rId6"/>
    <sheet name="Capacity Utilisation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1" l="1"/>
  <c r="G7" i="21"/>
  <c r="G8" i="21"/>
  <c r="G9" i="21"/>
  <c r="G10" i="21"/>
  <c r="G11" i="21"/>
  <c r="G5" i="21"/>
  <c r="G3" i="21"/>
  <c r="G4" i="21"/>
  <c r="G2" i="21"/>
  <c r="Q56" i="20"/>
  <c r="P56" i="20"/>
  <c r="T54" i="20"/>
  <c r="S54" i="20"/>
  <c r="P54" i="20"/>
  <c r="T49" i="20"/>
  <c r="S49" i="20"/>
  <c r="R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T48" i="20"/>
  <c r="Q47" i="20"/>
  <c r="Q49" i="20" s="1"/>
  <c r="P47" i="20"/>
  <c r="P49" i="20" s="1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F30" i="20"/>
  <c r="E30" i="20"/>
  <c r="S28" i="20"/>
  <c r="R28" i="20"/>
  <c r="Q28" i="20"/>
  <c r="P28" i="20"/>
  <c r="N24" i="20"/>
  <c r="N30" i="20" s="1"/>
  <c r="K24" i="20"/>
  <c r="K26" i="20" s="1"/>
  <c r="F24" i="20"/>
  <c r="E24" i="20"/>
  <c r="D24" i="20"/>
  <c r="D30" i="20" s="1"/>
  <c r="B24" i="20"/>
  <c r="B30" i="20" s="1"/>
  <c r="S22" i="20"/>
  <c r="R22" i="20"/>
  <c r="T19" i="20"/>
  <c r="S19" i="20"/>
  <c r="R19" i="20"/>
  <c r="L17" i="20"/>
  <c r="T16" i="20"/>
  <c r="S16" i="20"/>
  <c r="S24" i="20" s="1"/>
  <c r="S30" i="20" s="1"/>
  <c r="O16" i="20"/>
  <c r="O24" i="20" s="1"/>
  <c r="O30" i="20" s="1"/>
  <c r="O32" i="20" s="1"/>
  <c r="O36" i="20" s="1"/>
  <c r="O41" i="20" s="1"/>
  <c r="O45" i="20" s="1"/>
  <c r="O51" i="20" s="1"/>
  <c r="N16" i="20"/>
  <c r="M16" i="20"/>
  <c r="M24" i="20" s="1"/>
  <c r="M30" i="20" s="1"/>
  <c r="L16" i="20"/>
  <c r="L24" i="20" s="1"/>
  <c r="L30" i="20" s="1"/>
  <c r="K16" i="20"/>
  <c r="J16" i="20"/>
  <c r="J24" i="20" s="1"/>
  <c r="J30" i="20" s="1"/>
  <c r="I16" i="20"/>
  <c r="I24" i="20" s="1"/>
  <c r="I30" i="20" s="1"/>
  <c r="H16" i="20"/>
  <c r="H24" i="20" s="1"/>
  <c r="H30" i="20" s="1"/>
  <c r="G16" i="20"/>
  <c r="G24" i="20" s="1"/>
  <c r="G30" i="20" s="1"/>
  <c r="F16" i="20"/>
  <c r="E16" i="20"/>
  <c r="D16" i="20"/>
  <c r="C16" i="20"/>
  <c r="C24" i="20" s="1"/>
  <c r="C30" i="20" s="1"/>
  <c r="B16" i="20"/>
  <c r="T15" i="20"/>
  <c r="T22" i="20" s="1"/>
  <c r="S15" i="20"/>
  <c r="R15" i="20"/>
  <c r="Q15" i="20"/>
  <c r="P15" i="20"/>
  <c r="P16" i="20" s="1"/>
  <c r="P24" i="20" s="1"/>
  <c r="P30" i="20" s="1"/>
  <c r="Q14" i="20"/>
  <c r="Q16" i="20" s="1"/>
  <c r="Q24" i="20" s="1"/>
  <c r="Q30" i="20" s="1"/>
  <c r="S12" i="20"/>
  <c r="R12" i="20"/>
  <c r="R16" i="20" s="1"/>
  <c r="S11" i="20"/>
  <c r="R11" i="20"/>
  <c r="R7" i="20"/>
  <c r="Q7" i="20"/>
  <c r="O7" i="20"/>
  <c r="O17" i="20" s="1"/>
  <c r="M7" i="20"/>
  <c r="M26" i="20" s="1"/>
  <c r="L7" i="20"/>
  <c r="L26" i="20" s="1"/>
  <c r="K7" i="20"/>
  <c r="K17" i="20" s="1"/>
  <c r="F7" i="20"/>
  <c r="F17" i="20" s="1"/>
  <c r="E7" i="20"/>
  <c r="E26" i="20" s="1"/>
  <c r="E32" i="20" s="1"/>
  <c r="E36" i="20" s="1"/>
  <c r="E41" i="20" s="1"/>
  <c r="E45" i="20" s="1"/>
  <c r="E51" i="20" s="1"/>
  <c r="C7" i="20"/>
  <c r="C17" i="20" s="1"/>
  <c r="T5" i="20"/>
  <c r="T7" i="20" s="1"/>
  <c r="S5" i="20"/>
  <c r="S7" i="20" s="1"/>
  <c r="R5" i="20"/>
  <c r="Q5" i="20"/>
  <c r="P5" i="20"/>
  <c r="P7" i="20" s="1"/>
  <c r="O5" i="20"/>
  <c r="N5" i="20"/>
  <c r="N7" i="20" s="1"/>
  <c r="M5" i="20"/>
  <c r="L5" i="20"/>
  <c r="K5" i="20"/>
  <c r="J5" i="20"/>
  <c r="J7" i="20" s="1"/>
  <c r="I5" i="20"/>
  <c r="I7" i="20" s="1"/>
  <c r="H5" i="20"/>
  <c r="H7" i="20" s="1"/>
  <c r="G5" i="20"/>
  <c r="G7" i="20" s="1"/>
  <c r="F5" i="20"/>
  <c r="E5" i="20"/>
  <c r="D5" i="20"/>
  <c r="D7" i="20" s="1"/>
  <c r="C5" i="20"/>
  <c r="B5" i="20"/>
  <c r="B7" i="20" s="1"/>
  <c r="O1" i="20"/>
  <c r="N1" i="20"/>
  <c r="M1" i="20"/>
  <c r="L1" i="20"/>
  <c r="K1" i="20"/>
  <c r="J1" i="20"/>
  <c r="G4" i="19"/>
  <c r="F4" i="19"/>
  <c r="E4" i="19"/>
  <c r="D4" i="19"/>
  <c r="C4" i="19"/>
  <c r="A3" i="19"/>
  <c r="H18" i="18"/>
  <c r="G18" i="18"/>
  <c r="E18" i="18"/>
  <c r="D18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R96" i="11"/>
  <c r="R100" i="11"/>
  <c r="Q151" i="11"/>
  <c r="P151" i="11"/>
  <c r="T19" i="11"/>
  <c r="R22" i="11"/>
  <c r="S22" i="11"/>
  <c r="T113" i="11"/>
  <c r="T115" i="11"/>
  <c r="T119" i="11"/>
  <c r="T54" i="11"/>
  <c r="S54" i="11"/>
  <c r="T48" i="11"/>
  <c r="T49" i="11"/>
  <c r="T96" i="11"/>
  <c r="T91" i="11"/>
  <c r="T92" i="11"/>
  <c r="T151" i="11"/>
  <c r="T124" i="11"/>
  <c r="T129" i="11"/>
  <c r="T15" i="11"/>
  <c r="T16" i="11"/>
  <c r="T149" i="11"/>
  <c r="T136" i="11"/>
  <c r="T87" i="11"/>
  <c r="T79" i="11"/>
  <c r="T68" i="11"/>
  <c r="T72" i="11"/>
  <c r="T74" i="11"/>
  <c r="T40" i="11"/>
  <c r="T5" i="11"/>
  <c r="T7" i="11"/>
  <c r="S151" i="11"/>
  <c r="R151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B149" i="11"/>
  <c r="Q144" i="11"/>
  <c r="Q143" i="11"/>
  <c r="P143" i="11"/>
  <c r="O139" i="11"/>
  <c r="N139" i="11"/>
  <c r="M139" i="11"/>
  <c r="L139" i="11"/>
  <c r="K139" i="11"/>
  <c r="J139" i="11"/>
  <c r="I139" i="11"/>
  <c r="H139" i="11"/>
  <c r="H141" i="11"/>
  <c r="G139" i="11"/>
  <c r="F139" i="11"/>
  <c r="E139" i="11"/>
  <c r="D139" i="11"/>
  <c r="C139" i="11"/>
  <c r="B139" i="11"/>
  <c r="S136" i="11"/>
  <c r="S140" i="11"/>
  <c r="R136" i="11"/>
  <c r="Q136" i="11"/>
  <c r="P136" i="11"/>
  <c r="O136" i="11"/>
  <c r="O140" i="11"/>
  <c r="N136" i="11"/>
  <c r="M136" i="11"/>
  <c r="M154" i="11"/>
  <c r="L136" i="11"/>
  <c r="K136" i="11"/>
  <c r="K140" i="11"/>
  <c r="J136" i="11"/>
  <c r="J140" i="11"/>
  <c r="I136" i="11"/>
  <c r="I140" i="11"/>
  <c r="H136" i="11"/>
  <c r="H140" i="11"/>
  <c r="G136" i="11"/>
  <c r="G140" i="11"/>
  <c r="F136" i="11"/>
  <c r="E136" i="11"/>
  <c r="E154" i="11"/>
  <c r="D136" i="11"/>
  <c r="D140" i="11"/>
  <c r="D141" i="11"/>
  <c r="C136" i="11"/>
  <c r="C140" i="11"/>
  <c r="B136" i="11"/>
  <c r="B140" i="11"/>
  <c r="Q135" i="11"/>
  <c r="P135" i="11"/>
  <c r="P140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S124" i="11"/>
  <c r="S139" i="11"/>
  <c r="R124" i="11"/>
  <c r="R139" i="11"/>
  <c r="P124" i="11"/>
  <c r="Q123" i="11"/>
  <c r="Q129" i="11"/>
  <c r="P123" i="11"/>
  <c r="O115" i="11"/>
  <c r="O119" i="11"/>
  <c r="N115" i="11"/>
  <c r="N119" i="11"/>
  <c r="M115" i="11"/>
  <c r="M119" i="11"/>
  <c r="L115" i="11"/>
  <c r="L119" i="11"/>
  <c r="K115" i="11"/>
  <c r="K119" i="11"/>
  <c r="J115" i="11"/>
  <c r="J119" i="11"/>
  <c r="I115" i="11"/>
  <c r="I119" i="11"/>
  <c r="H115" i="11"/>
  <c r="H119" i="11"/>
  <c r="G115" i="11"/>
  <c r="G119" i="11"/>
  <c r="F115" i="11"/>
  <c r="F119" i="11"/>
  <c r="E115" i="11"/>
  <c r="E119" i="11"/>
  <c r="D115" i="11"/>
  <c r="D119" i="11"/>
  <c r="C115" i="11"/>
  <c r="C119" i="11"/>
  <c r="B115" i="11"/>
  <c r="B119" i="11"/>
  <c r="S113" i="11"/>
  <c r="S115" i="11"/>
  <c r="S119" i="11"/>
  <c r="R113" i="11"/>
  <c r="Q113" i="11"/>
  <c r="Q115" i="11"/>
  <c r="Q119" i="11"/>
  <c r="P113" i="11"/>
  <c r="P115" i="11"/>
  <c r="P119" i="11"/>
  <c r="O100" i="11"/>
  <c r="N100" i="11"/>
  <c r="M100" i="11"/>
  <c r="L100" i="11"/>
  <c r="L101" i="11"/>
  <c r="K100" i="11"/>
  <c r="J100" i="11"/>
  <c r="I100" i="11"/>
  <c r="H100" i="11"/>
  <c r="G100" i="11"/>
  <c r="F100" i="11"/>
  <c r="E100" i="11"/>
  <c r="D100" i="11"/>
  <c r="D101" i="11"/>
  <c r="C100" i="11"/>
  <c r="B100" i="11"/>
  <c r="S96" i="11"/>
  <c r="S100" i="11"/>
  <c r="Q96" i="11"/>
  <c r="Q100" i="11"/>
  <c r="P96" i="11"/>
  <c r="P100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S92" i="11"/>
  <c r="R92" i="11"/>
  <c r="Q92" i="11"/>
  <c r="P92" i="11"/>
  <c r="S91" i="11"/>
  <c r="R91" i="11"/>
  <c r="Q91" i="11"/>
  <c r="P91" i="11"/>
  <c r="Q89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S68" i="11"/>
  <c r="S72" i="11"/>
  <c r="S74" i="11"/>
  <c r="R68" i="11"/>
  <c r="R72" i="11"/>
  <c r="R74" i="11"/>
  <c r="Q68" i="11"/>
  <c r="Q72" i="11"/>
  <c r="Q74" i="11"/>
  <c r="Q80" i="11"/>
  <c r="P68" i="11"/>
  <c r="P72" i="11"/>
  <c r="P74" i="11"/>
  <c r="O68" i="11"/>
  <c r="O72" i="11"/>
  <c r="O74" i="11"/>
  <c r="N68" i="11"/>
  <c r="N72" i="11"/>
  <c r="N74" i="11"/>
  <c r="M68" i="11"/>
  <c r="M72" i="11"/>
  <c r="M74" i="11"/>
  <c r="L68" i="11"/>
  <c r="L72" i="11"/>
  <c r="L74" i="11"/>
  <c r="K68" i="11"/>
  <c r="K72" i="11"/>
  <c r="K74" i="11"/>
  <c r="J68" i="11"/>
  <c r="J72" i="11"/>
  <c r="J74" i="11"/>
  <c r="I68" i="11"/>
  <c r="I72" i="11"/>
  <c r="I74" i="11"/>
  <c r="I80" i="11"/>
  <c r="H68" i="11"/>
  <c r="H72" i="11"/>
  <c r="H74" i="11"/>
  <c r="G68" i="11"/>
  <c r="G72" i="11"/>
  <c r="G74" i="11"/>
  <c r="F68" i="11"/>
  <c r="F72" i="11"/>
  <c r="F74" i="11"/>
  <c r="E68" i="11"/>
  <c r="E72" i="11"/>
  <c r="E74" i="11"/>
  <c r="E80" i="11"/>
  <c r="D68" i="11"/>
  <c r="D72" i="11"/>
  <c r="D74" i="11"/>
  <c r="D80" i="11"/>
  <c r="C68" i="11"/>
  <c r="C72" i="11"/>
  <c r="C74" i="11"/>
  <c r="C80" i="11"/>
  <c r="B68" i="11"/>
  <c r="B72" i="11"/>
  <c r="B74" i="11"/>
  <c r="Q56" i="11"/>
  <c r="P56" i="11"/>
  <c r="P54" i="11"/>
  <c r="S49" i="11"/>
  <c r="R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Q47" i="11"/>
  <c r="Q49" i="11"/>
  <c r="P47" i="11"/>
  <c r="P49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S28" i="11"/>
  <c r="R28" i="11"/>
  <c r="Q28" i="11"/>
  <c r="P28" i="11"/>
  <c r="S19" i="11"/>
  <c r="R19" i="11"/>
  <c r="O16" i="11"/>
  <c r="O24" i="11"/>
  <c r="O30" i="11"/>
  <c r="N16" i="11"/>
  <c r="N24" i="11"/>
  <c r="M16" i="11"/>
  <c r="M24" i="11"/>
  <c r="L16" i="11"/>
  <c r="L24" i="11"/>
  <c r="L30" i="11"/>
  <c r="K16" i="11"/>
  <c r="K24" i="11"/>
  <c r="K30" i="11"/>
  <c r="J16" i="11"/>
  <c r="J24" i="11"/>
  <c r="I16" i="11"/>
  <c r="I24" i="11"/>
  <c r="I30" i="11"/>
  <c r="H16" i="11"/>
  <c r="H24" i="11"/>
  <c r="H30" i="11"/>
  <c r="G16" i="11"/>
  <c r="G24" i="11"/>
  <c r="G30" i="11"/>
  <c r="F16" i="11"/>
  <c r="F24" i="11"/>
  <c r="F30" i="11"/>
  <c r="E16" i="11"/>
  <c r="E24" i="11"/>
  <c r="E30" i="11"/>
  <c r="D16" i="11"/>
  <c r="D24" i="11"/>
  <c r="D30" i="11"/>
  <c r="C16" i="11"/>
  <c r="C24" i="11"/>
  <c r="B16" i="11"/>
  <c r="B24" i="11"/>
  <c r="B30" i="11"/>
  <c r="S15" i="11"/>
  <c r="R15" i="11"/>
  <c r="Q15" i="11"/>
  <c r="P15" i="11"/>
  <c r="P16" i="11"/>
  <c r="P24" i="11"/>
  <c r="Q14" i="11"/>
  <c r="S12" i="11"/>
  <c r="R12" i="11"/>
  <c r="S11" i="11"/>
  <c r="R11" i="11"/>
  <c r="S5" i="11"/>
  <c r="S7" i="11"/>
  <c r="R5" i="11"/>
  <c r="R7" i="11"/>
  <c r="Q5" i="11"/>
  <c r="Q7" i="11"/>
  <c r="P5" i="11"/>
  <c r="P7" i="11"/>
  <c r="O5" i="11"/>
  <c r="O7" i="11"/>
  <c r="N5" i="11"/>
  <c r="N7" i="11"/>
  <c r="M5" i="11"/>
  <c r="M7" i="11"/>
  <c r="M17" i="11"/>
  <c r="L5" i="11"/>
  <c r="L7" i="11"/>
  <c r="L17" i="11"/>
  <c r="K5" i="11"/>
  <c r="K7" i="11"/>
  <c r="K17" i="11"/>
  <c r="J5" i="11"/>
  <c r="J7" i="11"/>
  <c r="I5" i="11"/>
  <c r="I7" i="11"/>
  <c r="H5" i="11"/>
  <c r="H7" i="11"/>
  <c r="G5" i="11"/>
  <c r="G7" i="11"/>
  <c r="F5" i="11"/>
  <c r="F7" i="11"/>
  <c r="E5" i="11"/>
  <c r="E7" i="11"/>
  <c r="E26" i="11"/>
  <c r="E32" i="11"/>
  <c r="E36" i="11"/>
  <c r="E41" i="11"/>
  <c r="E45" i="11"/>
  <c r="E51" i="11"/>
  <c r="D5" i="11"/>
  <c r="D7" i="11"/>
  <c r="C5" i="11"/>
  <c r="C7" i="11"/>
  <c r="B5" i="11"/>
  <c r="B7" i="11"/>
  <c r="O1" i="11"/>
  <c r="O63" i="11"/>
  <c r="O105" i="11"/>
  <c r="N1" i="11"/>
  <c r="N63" i="11"/>
  <c r="N105" i="11"/>
  <c r="M1" i="11"/>
  <c r="M63" i="11"/>
  <c r="M105" i="11"/>
  <c r="L1" i="11"/>
  <c r="L63" i="11"/>
  <c r="L105" i="11"/>
  <c r="K1" i="11"/>
  <c r="K63" i="11"/>
  <c r="K105" i="11"/>
  <c r="J1" i="11"/>
  <c r="J63" i="11"/>
  <c r="J105" i="11"/>
  <c r="R115" i="11"/>
  <c r="R119" i="11"/>
  <c r="M140" i="11"/>
  <c r="N140" i="11"/>
  <c r="N141" i="11"/>
  <c r="T140" i="11"/>
  <c r="R129" i="11"/>
  <c r="C154" i="11"/>
  <c r="C155" i="11"/>
  <c r="C156" i="11"/>
  <c r="K101" i="11"/>
  <c r="R93" i="11"/>
  <c r="C30" i="11"/>
  <c r="T100" i="11"/>
  <c r="S129" i="11"/>
  <c r="H154" i="11"/>
  <c r="H155" i="11"/>
  <c r="H156" i="11"/>
  <c r="T93" i="11"/>
  <c r="P93" i="11"/>
  <c r="F101" i="11"/>
  <c r="N101" i="11"/>
  <c r="O101" i="11"/>
  <c r="O102" i="11"/>
  <c r="G17" i="11"/>
  <c r="D154" i="11"/>
  <c r="O141" i="11"/>
  <c r="M141" i="11"/>
  <c r="D102" i="11"/>
  <c r="C17" i="11"/>
  <c r="P30" i="11"/>
  <c r="P32" i="11"/>
  <c r="P36" i="11"/>
  <c r="P41" i="11"/>
  <c r="P45" i="11"/>
  <c r="P51" i="11"/>
  <c r="B80" i="11"/>
  <c r="F17" i="11"/>
  <c r="E101" i="11"/>
  <c r="E102" i="11"/>
  <c r="M101" i="11"/>
  <c r="T80" i="11"/>
  <c r="T154" i="11"/>
  <c r="T155" i="11"/>
  <c r="T156" i="11"/>
  <c r="S16" i="11"/>
  <c r="S24" i="11"/>
  <c r="J80" i="11"/>
  <c r="L80" i="11"/>
  <c r="L102" i="11"/>
  <c r="J101" i="11"/>
  <c r="J102" i="11"/>
  <c r="L154" i="11"/>
  <c r="L155" i="11"/>
  <c r="L156" i="11"/>
  <c r="J141" i="11"/>
  <c r="H26" i="11"/>
  <c r="H32" i="11"/>
  <c r="H36" i="11"/>
  <c r="H41" i="11"/>
  <c r="H45" i="11"/>
  <c r="H51" i="11"/>
  <c r="R16" i="11"/>
  <c r="R24" i="11"/>
  <c r="R30" i="11"/>
  <c r="R32" i="11"/>
  <c r="R36" i="11"/>
  <c r="R41" i="11"/>
  <c r="R45" i="11"/>
  <c r="R51" i="11"/>
  <c r="M80" i="11"/>
  <c r="H101" i="11"/>
  <c r="G101" i="11"/>
  <c r="E155" i="11"/>
  <c r="E156" i="11"/>
  <c r="M155" i="11"/>
  <c r="M156" i="11"/>
  <c r="K141" i="11"/>
  <c r="B101" i="11"/>
  <c r="S93" i="11"/>
  <c r="S154" i="11"/>
  <c r="S155" i="11"/>
  <c r="S156" i="11"/>
  <c r="I101" i="11"/>
  <c r="I102" i="11"/>
  <c r="R80" i="11"/>
  <c r="R101" i="11"/>
  <c r="R102" i="11"/>
  <c r="T139" i="11"/>
  <c r="T141" i="11"/>
  <c r="Q140" i="11"/>
  <c r="N154" i="11"/>
  <c r="N155" i="11"/>
  <c r="N156" i="11"/>
  <c r="S30" i="11"/>
  <c r="S32" i="11"/>
  <c r="S36" i="11"/>
  <c r="S41" i="11"/>
  <c r="S45" i="11"/>
  <c r="S51" i="11"/>
  <c r="S59" i="11"/>
  <c r="S26" i="11"/>
  <c r="B26" i="11"/>
  <c r="B32" i="11"/>
  <c r="B36" i="11"/>
  <c r="B41" i="11"/>
  <c r="B45" i="11"/>
  <c r="B51" i="11"/>
  <c r="B53" i="11"/>
  <c r="B59" i="11"/>
  <c r="B17" i="11"/>
  <c r="N30" i="11"/>
  <c r="N32" i="11"/>
  <c r="N36" i="11"/>
  <c r="N41" i="11"/>
  <c r="N45" i="11"/>
  <c r="N51" i="11"/>
  <c r="N53" i="11"/>
  <c r="N26" i="11"/>
  <c r="L140" i="11"/>
  <c r="L141" i="11"/>
  <c r="K32" i="11"/>
  <c r="K36" i="11"/>
  <c r="K41" i="11"/>
  <c r="K45" i="11"/>
  <c r="K51" i="11"/>
  <c r="K59" i="11"/>
  <c r="C141" i="11"/>
  <c r="S17" i="11"/>
  <c r="N17" i="11"/>
  <c r="B102" i="11"/>
  <c r="H80" i="11"/>
  <c r="H102" i="11"/>
  <c r="S80" i="11"/>
  <c r="D155" i="11"/>
  <c r="D156" i="11"/>
  <c r="R154" i="11"/>
  <c r="R155" i="11"/>
  <c r="R156" i="11"/>
  <c r="P154" i="11"/>
  <c r="G154" i="11"/>
  <c r="G155" i="11"/>
  <c r="G156" i="11"/>
  <c r="O154" i="11"/>
  <c r="O155" i="11"/>
  <c r="O156" i="11"/>
  <c r="T22" i="11"/>
  <c r="T24" i="11"/>
  <c r="T30" i="11"/>
  <c r="T32" i="11"/>
  <c r="T36" i="11"/>
  <c r="T41" i="11"/>
  <c r="T45" i="11"/>
  <c r="T51" i="11"/>
  <c r="I154" i="11"/>
  <c r="I155" i="11"/>
  <c r="I156" i="11"/>
  <c r="I32" i="11"/>
  <c r="I36" i="11"/>
  <c r="I41" i="11"/>
  <c r="I45" i="11"/>
  <c r="I51" i="11"/>
  <c r="I53" i="11"/>
  <c r="E140" i="11"/>
  <c r="E141" i="11"/>
  <c r="K154" i="11"/>
  <c r="K155" i="11"/>
  <c r="K156" i="11"/>
  <c r="I141" i="11"/>
  <c r="Q154" i="11"/>
  <c r="Q155" i="11"/>
  <c r="E17" i="11"/>
  <c r="R17" i="11"/>
  <c r="Q16" i="11"/>
  <c r="Q24" i="11"/>
  <c r="Q30" i="11"/>
  <c r="K80" i="11"/>
  <c r="K102" i="11"/>
  <c r="P101" i="11"/>
  <c r="G141" i="11"/>
  <c r="P80" i="11"/>
  <c r="Q93" i="11"/>
  <c r="Q101" i="11"/>
  <c r="Q102" i="11"/>
  <c r="S101" i="11"/>
  <c r="S102" i="11"/>
  <c r="C26" i="11"/>
  <c r="C32" i="11"/>
  <c r="C36" i="11"/>
  <c r="C41" i="11"/>
  <c r="C45" i="11"/>
  <c r="C51" i="11"/>
  <c r="C60" i="11"/>
  <c r="Q139" i="11"/>
  <c r="G80" i="11"/>
  <c r="O80" i="11"/>
  <c r="B154" i="11"/>
  <c r="B155" i="11"/>
  <c r="B156" i="11"/>
  <c r="H60" i="11"/>
  <c r="H53" i="11"/>
  <c r="H59" i="11"/>
  <c r="R26" i="11"/>
  <c r="D17" i="11"/>
  <c r="D26" i="11"/>
  <c r="D32" i="11"/>
  <c r="D36" i="11"/>
  <c r="D41" i="11"/>
  <c r="D45" i="11"/>
  <c r="D51" i="11"/>
  <c r="O32" i="11"/>
  <c r="O36" i="11"/>
  <c r="O41" i="11"/>
  <c r="O45" i="11"/>
  <c r="O51" i="11"/>
  <c r="O17" i="11"/>
  <c r="O26" i="11"/>
  <c r="I60" i="11"/>
  <c r="I59" i="11"/>
  <c r="Q156" i="11"/>
  <c r="J30" i="11"/>
  <c r="J32" i="11"/>
  <c r="J36" i="11"/>
  <c r="J41" i="11"/>
  <c r="J45" i="11"/>
  <c r="J51" i="11"/>
  <c r="J26" i="11"/>
  <c r="E53" i="11"/>
  <c r="E59" i="11"/>
  <c r="E60" i="11"/>
  <c r="Q17" i="11"/>
  <c r="K53" i="11"/>
  <c r="K60" i="11"/>
  <c r="S60" i="11"/>
  <c r="M26" i="11"/>
  <c r="M30" i="11"/>
  <c r="M32" i="11"/>
  <c r="M36" i="11"/>
  <c r="M41" i="11"/>
  <c r="M45" i="11"/>
  <c r="M51" i="11"/>
  <c r="L26" i="11"/>
  <c r="I17" i="11"/>
  <c r="I26" i="11"/>
  <c r="F140" i="11"/>
  <c r="F141" i="11"/>
  <c r="F154" i="11"/>
  <c r="F155" i="11"/>
  <c r="F156" i="11"/>
  <c r="B141" i="11"/>
  <c r="K26" i="11"/>
  <c r="J17" i="11"/>
  <c r="C101" i="11"/>
  <c r="C102" i="11"/>
  <c r="F26" i="11"/>
  <c r="F32" i="11"/>
  <c r="F36" i="11"/>
  <c r="F41" i="11"/>
  <c r="F45" i="11"/>
  <c r="F51" i="11"/>
  <c r="T101" i="11"/>
  <c r="T102" i="11"/>
  <c r="L32" i="11"/>
  <c r="L36" i="11"/>
  <c r="L41" i="11"/>
  <c r="L45" i="11"/>
  <c r="L51" i="11"/>
  <c r="S141" i="11"/>
  <c r="J154" i="11"/>
  <c r="J155" i="11"/>
  <c r="J156" i="11"/>
  <c r="R140" i="11"/>
  <c r="R141" i="11"/>
  <c r="F80" i="11"/>
  <c r="F102" i="11"/>
  <c r="N80" i="11"/>
  <c r="Q26" i="11"/>
  <c r="Q32" i="11"/>
  <c r="Q36" i="11"/>
  <c r="Q41" i="11"/>
  <c r="Q45" i="11"/>
  <c r="Q51" i="11"/>
  <c r="H17" i="11"/>
  <c r="G26" i="11"/>
  <c r="G32" i="11"/>
  <c r="G36" i="11"/>
  <c r="G41" i="11"/>
  <c r="G45" i="11"/>
  <c r="G51" i="11"/>
  <c r="P129" i="11"/>
  <c r="P155" i="11"/>
  <c r="P156" i="11"/>
  <c r="P139" i="11"/>
  <c r="P141" i="11"/>
  <c r="T17" i="11"/>
  <c r="P26" i="11"/>
  <c r="P17" i="11"/>
  <c r="C53" i="11"/>
  <c r="C59" i="11"/>
  <c r="N60" i="11"/>
  <c r="N102" i="11"/>
  <c r="N59" i="11"/>
  <c r="M102" i="11"/>
  <c r="S53" i="11"/>
  <c r="G102" i="11"/>
  <c r="Q141" i="11"/>
  <c r="B60" i="11"/>
  <c r="T26" i="11"/>
  <c r="P102" i="11"/>
  <c r="D60" i="11"/>
  <c r="D53" i="11"/>
  <c r="D59" i="11"/>
  <c r="Q60" i="11"/>
  <c r="Q53" i="11"/>
  <c r="Q59" i="11"/>
  <c r="L53" i="11"/>
  <c r="L59" i="11"/>
  <c r="L60" i="11"/>
  <c r="R59" i="11"/>
  <c r="R53" i="11"/>
  <c r="R60" i="11"/>
  <c r="T60" i="11"/>
  <c r="T53" i="11"/>
  <c r="T59" i="11"/>
  <c r="M59" i="11"/>
  <c r="M60" i="11"/>
  <c r="M53" i="11"/>
  <c r="J60" i="11"/>
  <c r="J53" i="11"/>
  <c r="J59" i="11"/>
  <c r="F53" i="11"/>
  <c r="F59" i="11"/>
  <c r="F60" i="11"/>
  <c r="G60" i="11"/>
  <c r="G53" i="11"/>
  <c r="G59" i="11"/>
  <c r="O53" i="11"/>
  <c r="O60" i="11"/>
  <c r="O59" i="11"/>
  <c r="P53" i="11"/>
  <c r="P60" i="11"/>
  <c r="P59" i="11"/>
  <c r="J26" i="20" l="1"/>
  <c r="J32" i="20"/>
  <c r="J36" i="20" s="1"/>
  <c r="J41" i="20" s="1"/>
  <c r="J45" i="20" s="1"/>
  <c r="J51" i="20" s="1"/>
  <c r="J17" i="20"/>
  <c r="E60" i="20"/>
  <c r="E53" i="20"/>
  <c r="E59" i="20" s="1"/>
  <c r="N32" i="20"/>
  <c r="N36" i="20" s="1"/>
  <c r="N41" i="20" s="1"/>
  <c r="N45" i="20" s="1"/>
  <c r="N51" i="20" s="1"/>
  <c r="N17" i="20"/>
  <c r="N26" i="20"/>
  <c r="D17" i="20"/>
  <c r="D26" i="20"/>
  <c r="D32" i="20" s="1"/>
  <c r="D36" i="20" s="1"/>
  <c r="D41" i="20" s="1"/>
  <c r="D45" i="20" s="1"/>
  <c r="D51" i="20" s="1"/>
  <c r="P32" i="20"/>
  <c r="P36" i="20" s="1"/>
  <c r="P41" i="20" s="1"/>
  <c r="P45" i="20" s="1"/>
  <c r="P51" i="20" s="1"/>
  <c r="P17" i="20"/>
  <c r="P26" i="20"/>
  <c r="Q32" i="20"/>
  <c r="Q36" i="20" s="1"/>
  <c r="Q41" i="20" s="1"/>
  <c r="Q45" i="20" s="1"/>
  <c r="Q51" i="20" s="1"/>
  <c r="O59" i="20"/>
  <c r="O53" i="20"/>
  <c r="O60" i="20"/>
  <c r="B17" i="20"/>
  <c r="B26" i="20"/>
  <c r="B32" i="20" s="1"/>
  <c r="B36" i="20" s="1"/>
  <c r="B41" i="20" s="1"/>
  <c r="B45" i="20" s="1"/>
  <c r="B51" i="20" s="1"/>
  <c r="S32" i="20"/>
  <c r="S36" i="20" s="1"/>
  <c r="S41" i="20" s="1"/>
  <c r="S45" i="20" s="1"/>
  <c r="S51" i="20" s="1"/>
  <c r="S17" i="20"/>
  <c r="S26" i="20"/>
  <c r="T24" i="20"/>
  <c r="T30" i="20" s="1"/>
  <c r="T32" i="20" s="1"/>
  <c r="T36" i="20" s="1"/>
  <c r="T41" i="20" s="1"/>
  <c r="T45" i="20" s="1"/>
  <c r="T51" i="20" s="1"/>
  <c r="H17" i="20"/>
  <c r="H26" i="20"/>
  <c r="H32" i="20" s="1"/>
  <c r="H36" i="20" s="1"/>
  <c r="H41" i="20" s="1"/>
  <c r="H45" i="20" s="1"/>
  <c r="H51" i="20" s="1"/>
  <c r="T17" i="20"/>
  <c r="R24" i="20"/>
  <c r="R30" i="20" s="1"/>
  <c r="R32" i="20" s="1"/>
  <c r="R36" i="20" s="1"/>
  <c r="R41" i="20" s="1"/>
  <c r="R45" i="20" s="1"/>
  <c r="R51" i="20" s="1"/>
  <c r="R17" i="20"/>
  <c r="G17" i="20"/>
  <c r="G26" i="20"/>
  <c r="G32" i="20" s="1"/>
  <c r="G36" i="20" s="1"/>
  <c r="G41" i="20" s="1"/>
  <c r="G45" i="20" s="1"/>
  <c r="G51" i="20" s="1"/>
  <c r="I17" i="20"/>
  <c r="I26" i="20"/>
  <c r="I32" i="20"/>
  <c r="I36" i="20" s="1"/>
  <c r="I41" i="20" s="1"/>
  <c r="I45" i="20" s="1"/>
  <c r="I51" i="20" s="1"/>
  <c r="E17" i="20"/>
  <c r="C26" i="20"/>
  <c r="C32" i="20" s="1"/>
  <c r="C36" i="20" s="1"/>
  <c r="C41" i="20" s="1"/>
  <c r="C45" i="20" s="1"/>
  <c r="C51" i="20" s="1"/>
  <c r="O26" i="20"/>
  <c r="M17" i="20"/>
  <c r="Q26" i="20"/>
  <c r="F26" i="20"/>
  <c r="F32" i="20" s="1"/>
  <c r="F36" i="20" s="1"/>
  <c r="F41" i="20" s="1"/>
  <c r="F45" i="20" s="1"/>
  <c r="F51" i="20" s="1"/>
  <c r="R26" i="20"/>
  <c r="L32" i="20"/>
  <c r="L36" i="20" s="1"/>
  <c r="L41" i="20" s="1"/>
  <c r="L45" i="20" s="1"/>
  <c r="L51" i="20" s="1"/>
  <c r="M32" i="20"/>
  <c r="M36" i="20" s="1"/>
  <c r="M41" i="20" s="1"/>
  <c r="M45" i="20" s="1"/>
  <c r="M51" i="20" s="1"/>
  <c r="Q17" i="20"/>
  <c r="K30" i="20"/>
  <c r="K32" i="20" s="1"/>
  <c r="K36" i="20" s="1"/>
  <c r="K41" i="20" s="1"/>
  <c r="K45" i="20" s="1"/>
  <c r="K51" i="20" s="1"/>
  <c r="T60" i="20" l="1"/>
  <c r="T59" i="20"/>
  <c r="T53" i="20"/>
  <c r="R60" i="20"/>
  <c r="R59" i="20"/>
  <c r="R53" i="20"/>
  <c r="K59" i="20"/>
  <c r="K60" i="20"/>
  <c r="K53" i="20"/>
  <c r="B53" i="20"/>
  <c r="B59" i="20" s="1"/>
  <c r="B60" i="20"/>
  <c r="M59" i="20"/>
  <c r="M53" i="20"/>
  <c r="M60" i="20"/>
  <c r="S60" i="20"/>
  <c r="S59" i="20"/>
  <c r="S53" i="20"/>
  <c r="F60" i="20"/>
  <c r="F53" i="20"/>
  <c r="F59" i="20" s="1"/>
  <c r="I59" i="20"/>
  <c r="I53" i="20"/>
  <c r="I60" i="20"/>
  <c r="D60" i="20"/>
  <c r="D53" i="20"/>
  <c r="D59" i="20" s="1"/>
  <c r="G60" i="20"/>
  <c r="G53" i="20"/>
  <c r="G59" i="20" s="1"/>
  <c r="N59" i="20"/>
  <c r="N53" i="20"/>
  <c r="N60" i="20"/>
  <c r="C53" i="20"/>
  <c r="C59" i="20" s="1"/>
  <c r="C60" i="20"/>
  <c r="Q60" i="20"/>
  <c r="Q59" i="20"/>
  <c r="Q53" i="20"/>
  <c r="P60" i="20"/>
  <c r="P59" i="20"/>
  <c r="P53" i="20"/>
  <c r="L59" i="20"/>
  <c r="L60" i="20"/>
  <c r="L53" i="20"/>
  <c r="T26" i="20"/>
  <c r="H60" i="20"/>
  <c r="H53" i="20"/>
  <c r="H59" i="20" s="1"/>
  <c r="J59" i="20"/>
  <c r="J53" i="20"/>
  <c r="J6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sumeet.gambhir</author>
    <author>Sumeet.Gambhir</author>
  </authors>
  <commentList>
    <comment ref="S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sumeet.gambhir:</t>
        </r>
        <r>
          <rPr>
            <sz val="9"/>
            <color indexed="81"/>
            <rFont val="Tahoma"/>
            <family val="2"/>
          </rPr>
          <t xml:space="preserve">
forex losses</t>
        </r>
      </text>
    </comment>
    <comment ref="S43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Sumeet.Gambhir:</t>
        </r>
        <r>
          <rPr>
            <sz val="8"/>
            <color indexed="81"/>
            <rFont val="Tahoma"/>
            <family val="2"/>
          </rPr>
          <t xml:space="preserve">
exceptional items</t>
        </r>
      </text>
    </comment>
    <comment ref="R95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Sumeet.Gambhir:</t>
        </r>
        <r>
          <rPr>
            <sz val="8"/>
            <color indexed="81"/>
            <rFont val="Tahoma"/>
            <family val="2"/>
          </rPr>
          <t xml:space="preserve">
Advance to suppliers</t>
        </r>
      </text>
    </comment>
    <comment ref="T9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sumeet.gambhir:</t>
        </r>
        <r>
          <rPr>
            <sz val="9"/>
            <color indexed="81"/>
            <rFont val="Tahoma"/>
            <family val="2"/>
          </rPr>
          <t xml:space="preserve">
Advances to suppliers</t>
        </r>
      </text>
    </comment>
    <comment ref="Q96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Sumeet.Gambhir:</t>
        </r>
        <r>
          <rPr>
            <sz val="8"/>
            <color indexed="81"/>
            <rFont val="Tahoma"/>
            <family val="2"/>
          </rPr>
          <t xml:space="preserve">
Other advances and duty draw back receivables</t>
        </r>
      </text>
    </comment>
    <comment ref="S96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Sumeet.Gambhir:</t>
        </r>
        <r>
          <rPr>
            <sz val="8"/>
            <color indexed="81"/>
            <rFont val="Tahoma"/>
            <family val="2"/>
          </rPr>
          <t xml:space="preserve">
Other advances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sumeet.gambhir</author>
    <author>Sumeet.Gambhir</author>
  </authors>
  <commentList>
    <comment ref="S35" authorId="0" shapeId="0" xr:uid="{13B94281-516B-4328-A46B-44AD03D338B8}">
      <text>
        <r>
          <rPr>
            <b/>
            <sz val="9"/>
            <color indexed="81"/>
            <rFont val="Tahoma"/>
            <family val="2"/>
          </rPr>
          <t>sumeet.gambhir:</t>
        </r>
        <r>
          <rPr>
            <sz val="9"/>
            <color indexed="81"/>
            <rFont val="Tahoma"/>
            <family val="2"/>
          </rPr>
          <t xml:space="preserve">
forex losses</t>
        </r>
      </text>
    </comment>
    <comment ref="S43" authorId="1" shapeId="0" xr:uid="{BB343593-64D4-4670-BDF7-7848ED5DE37B}">
      <text>
        <r>
          <rPr>
            <b/>
            <sz val="8"/>
            <color indexed="81"/>
            <rFont val="Tahoma"/>
            <family val="2"/>
          </rPr>
          <t>Sumeet.Gambhir:</t>
        </r>
        <r>
          <rPr>
            <sz val="8"/>
            <color indexed="81"/>
            <rFont val="Tahoma"/>
            <family val="2"/>
          </rPr>
          <t xml:space="preserve">
exceptional items</t>
        </r>
      </text>
    </comment>
  </commentList>
</comments>
</file>

<file path=xl/sharedStrings.xml><?xml version="1.0" encoding="utf-8"?>
<sst xmlns="http://schemas.openxmlformats.org/spreadsheetml/2006/main" count="265" uniqueCount="174">
  <si>
    <t>P&amp;L ACCOUNT</t>
  </si>
  <si>
    <t>Gross Sales</t>
  </si>
  <si>
    <t>Traded Goods Sales</t>
  </si>
  <si>
    <t>Less Excise Duty</t>
  </si>
  <si>
    <t>Net Sales</t>
  </si>
  <si>
    <t>Other Related Income</t>
  </si>
  <si>
    <t>OPERATING INCOME</t>
  </si>
  <si>
    <t>Raw Material Consumption</t>
  </si>
  <si>
    <t>Traded Goods Purchased</t>
  </si>
  <si>
    <t>(Acc)/Decretion to Stocks</t>
  </si>
  <si>
    <t>Consumable Stores</t>
  </si>
  <si>
    <t>Power and Fuel</t>
  </si>
  <si>
    <t>Employee Costs</t>
  </si>
  <si>
    <t>Other Manufacturing Expenses</t>
  </si>
  <si>
    <t>TOTAL COST OF MANUFACTURING</t>
  </si>
  <si>
    <t>GROSS PROFIT</t>
  </si>
  <si>
    <t>Selling Expenses</t>
  </si>
  <si>
    <t>Provisions- (net of write-backs)</t>
  </si>
  <si>
    <t>Rentals</t>
  </si>
  <si>
    <t>General &amp; Administration Expense</t>
  </si>
  <si>
    <t xml:space="preserve">Less Expenses Capitalised </t>
  </si>
  <si>
    <t>COST OF GOODS SOLD</t>
  </si>
  <si>
    <t>OPBDITA</t>
  </si>
  <si>
    <t>Depreciation</t>
  </si>
  <si>
    <t>Amortisation</t>
  </si>
  <si>
    <t>TOTAL OPERATING EXPENSE</t>
  </si>
  <si>
    <t>NET OPERATING PROFIT</t>
  </si>
  <si>
    <t>Non-Operating Income</t>
  </si>
  <si>
    <t>Non-Operating Expense</t>
  </si>
  <si>
    <t>PROFIT BEFORE TAXES, INTEREST AND EOI</t>
  </si>
  <si>
    <t>Gross Interest Charges</t>
  </si>
  <si>
    <t>Less : Interest capitalized</t>
  </si>
  <si>
    <t>Net Interest and finance expenses</t>
  </si>
  <si>
    <t>PROFIT BEFORE TAX AND EOI</t>
  </si>
  <si>
    <t>Extraordinary Gain/(Loss)</t>
  </si>
  <si>
    <t>PROFIT BEFORE TAX</t>
  </si>
  <si>
    <t>Income Tax</t>
  </si>
  <si>
    <t>Deferred Income Tax</t>
  </si>
  <si>
    <t>Total Income Tax Expense</t>
  </si>
  <si>
    <t>PAT</t>
  </si>
  <si>
    <t>Minority Interest</t>
  </si>
  <si>
    <t>Concern Share</t>
  </si>
  <si>
    <t>Dividend on Equity Share &amp; Taxes</t>
  </si>
  <si>
    <t>Dividend on Pref. Share &amp; Taxes</t>
  </si>
  <si>
    <t>Prior Period Adjustment-Cash</t>
  </si>
  <si>
    <t>Adj.-Non-Cash</t>
  </si>
  <si>
    <t>ACCRETION TO RESERVES</t>
  </si>
  <si>
    <t>NET CASH ACCRUALS</t>
  </si>
  <si>
    <t xml:space="preserve">BALANCE SHEET AS AT </t>
  </si>
  <si>
    <t>ASSETS</t>
  </si>
  <si>
    <t>Gross Block</t>
  </si>
  <si>
    <t>Less Revaluation Reserves</t>
  </si>
  <si>
    <t>Gross Block- net of Revaluation</t>
  </si>
  <si>
    <t>Capital Work in Progress</t>
  </si>
  <si>
    <t>Capital Advances</t>
  </si>
  <si>
    <t xml:space="preserve"> Gross Intangibles (Goodwill etc)</t>
  </si>
  <si>
    <t>Gross Fixed Assets</t>
  </si>
  <si>
    <t>Accumulated Depreciation</t>
  </si>
  <si>
    <t>NET FIXED ASSETS</t>
  </si>
  <si>
    <t>Investments in Subsidiaries/Group Cos.</t>
  </si>
  <si>
    <t>Other Long-Term Investments</t>
  </si>
  <si>
    <t>Loans and advances to subsidiaries/group cos.</t>
  </si>
  <si>
    <t>TOTAL INVESTMENTS</t>
  </si>
  <si>
    <t>TOTAL NON-CURRENT ASSETS</t>
  </si>
  <si>
    <t xml:space="preserve"> </t>
  </si>
  <si>
    <t>Cash and Bank Balances</t>
  </si>
  <si>
    <t>Debtors for Operational Items &lt; 6 months</t>
  </si>
  <si>
    <t>Debtors for Operational Items &gt; 6 months</t>
  </si>
  <si>
    <t>ACCOUNTS RECEIVABLE-OPERATIONS</t>
  </si>
  <si>
    <t>Raw Materials</t>
  </si>
  <si>
    <t>Work in Process</t>
  </si>
  <si>
    <t>Finished Goods</t>
  </si>
  <si>
    <t>Other Inventory</t>
  </si>
  <si>
    <t>TOTAL INVENTORY</t>
  </si>
  <si>
    <t>Advances Recoverable in cash or kind</t>
  </si>
  <si>
    <t>Other Operating Current Assets</t>
  </si>
  <si>
    <t>Income Tax Receivable</t>
  </si>
  <si>
    <t>Accounts-Receivable- Non-Op</t>
  </si>
  <si>
    <t>Non-Operating Current Assets</t>
  </si>
  <si>
    <t>TOTAL OTHER ASSETS</t>
  </si>
  <si>
    <t>TOTAL CURRENT ASSETS</t>
  </si>
  <si>
    <t>TOTAL ASSETS</t>
  </si>
  <si>
    <t>LIABILTIES</t>
  </si>
  <si>
    <t>Equity Share Capital</t>
  </si>
  <si>
    <t>Share Application Money</t>
  </si>
  <si>
    <t>Compulsorily Convertible Preference Shares</t>
  </si>
  <si>
    <t>Share Premium</t>
  </si>
  <si>
    <t>Retained Earnings</t>
  </si>
  <si>
    <t>Capital Reserves</t>
  </si>
  <si>
    <t>NET WORTH</t>
  </si>
  <si>
    <t>Misc expenditure not w/o</t>
  </si>
  <si>
    <t>TANGIBLE NET WORTH</t>
  </si>
  <si>
    <t>MINORITY INTEREST-B/S</t>
  </si>
  <si>
    <t>Long Term Debt ( Non Current Portion)</t>
  </si>
  <si>
    <t>FD ( Non Current Portion)</t>
  </si>
  <si>
    <t>Redeemable Preference Share (Non Current Portion)</t>
  </si>
  <si>
    <t xml:space="preserve">Interest accrued and due </t>
  </si>
  <si>
    <t>Non-Op Non-Cur Liabs</t>
  </si>
  <si>
    <t>Deferred Tax Liability</t>
  </si>
  <si>
    <t>TOTAL NON - CURRENT LIABS</t>
  </si>
  <si>
    <t>Long Term Debt ( Current Portion)</t>
  </si>
  <si>
    <t>FD (Current Portion)</t>
  </si>
  <si>
    <t xml:space="preserve">Redeemable Prefernce Shares  (Current Portion) </t>
  </si>
  <si>
    <t>Working Capital from Bank</t>
  </si>
  <si>
    <t xml:space="preserve">Short Term  Loans </t>
  </si>
  <si>
    <t>Trade Creditors</t>
  </si>
  <si>
    <t>Advances from Customers</t>
  </si>
  <si>
    <t>Goods Purchased from Par/Sub</t>
  </si>
  <si>
    <t xml:space="preserve">      Interest Accrued but not due - LT Loans </t>
  </si>
  <si>
    <t xml:space="preserve">      Interest Accrued but not due-ST Loans</t>
  </si>
  <si>
    <t xml:space="preserve">     Dividends Payable</t>
  </si>
  <si>
    <t>Total Accrued Liabilities</t>
  </si>
  <si>
    <t>Income Taxes Payable</t>
  </si>
  <si>
    <t>Other Operating Current Liabilities and Prov.</t>
  </si>
  <si>
    <t>Non-Operating Current Liabilities and Prov.</t>
  </si>
  <si>
    <t>Current Liabilities-Capex</t>
  </si>
  <si>
    <t>TOTAL CURRENT LIABILITIES</t>
  </si>
  <si>
    <t>TOTAL LIABILITIES</t>
  </si>
  <si>
    <t>TOTAL LIABS &amp; NET WORTH</t>
  </si>
  <si>
    <t>Bill Discounting Liabilities (Off balance sheet)</t>
  </si>
  <si>
    <t>TOTAL LONG-TERM DEBT</t>
  </si>
  <si>
    <t xml:space="preserve">TOTAL DEBT </t>
  </si>
  <si>
    <t>TOTAL SHORT-TERM DEBT AND FD</t>
  </si>
  <si>
    <t>Germany</t>
  </si>
  <si>
    <t>USA</t>
  </si>
  <si>
    <t>Stzan</t>
  </si>
  <si>
    <t>Bookny</t>
  </si>
  <si>
    <t>Agasat</t>
  </si>
  <si>
    <t>ALL Gold</t>
  </si>
  <si>
    <t>Top customers</t>
  </si>
  <si>
    <t>Chang Chung Cereal Co.</t>
  </si>
  <si>
    <t>Bekas KFT</t>
  </si>
  <si>
    <t>Minerva S.A.</t>
  </si>
  <si>
    <t>Poliva Ltd.</t>
  </si>
  <si>
    <t>Sulema Intl. Trading Co.</t>
  </si>
  <si>
    <t>Unicorn Ingridents</t>
  </si>
  <si>
    <t>Stangeland Molle Handel AS</t>
  </si>
  <si>
    <t>Ireks GMBH</t>
  </si>
  <si>
    <t>Alternative Food Corpn.</t>
  </si>
  <si>
    <t xml:space="preserve">Backring Nord E May &amp; Co. </t>
  </si>
  <si>
    <t xml:space="preserve">Freeworld Trading Ltd </t>
  </si>
  <si>
    <t>Particulars</t>
  </si>
  <si>
    <t>Units</t>
  </si>
  <si>
    <t>FY-17</t>
  </si>
  <si>
    <t>FY-18</t>
  </si>
  <si>
    <t>FY-19</t>
  </si>
  <si>
    <t>FY20</t>
  </si>
  <si>
    <t>FY21</t>
  </si>
  <si>
    <t>S. No.</t>
  </si>
  <si>
    <t>Country</t>
  </si>
  <si>
    <t>Total Production Capacity</t>
  </si>
  <si>
    <t>Actual Production</t>
  </si>
  <si>
    <t>Product</t>
  </si>
  <si>
    <t>Hulled Sesame Seeds</t>
  </si>
  <si>
    <t>Rejected seasame seeds / refraction seasame etc.</t>
  </si>
  <si>
    <t>Metric Tonne</t>
  </si>
  <si>
    <t>France</t>
  </si>
  <si>
    <t>UK</t>
  </si>
  <si>
    <t>China</t>
  </si>
  <si>
    <t>Kaufmann</t>
  </si>
  <si>
    <t>Ratio</t>
  </si>
  <si>
    <t>FY-20</t>
  </si>
  <si>
    <t>FY-21</t>
  </si>
  <si>
    <t>Operating Profit Margin</t>
  </si>
  <si>
    <t>Net Profit Margin</t>
  </si>
  <si>
    <t>Return on Capital Employed (ROCE)</t>
  </si>
  <si>
    <t>Debt-Equity Ratio</t>
  </si>
  <si>
    <t>Interest Coverage Ratio</t>
  </si>
  <si>
    <t>Debt to Profit Ratio</t>
  </si>
  <si>
    <t>Net Working Capital Intensity</t>
  </si>
  <si>
    <t>Debtor Days</t>
  </si>
  <si>
    <t>Inventory Days</t>
  </si>
  <si>
    <t>Days Payable</t>
  </si>
  <si>
    <t>Total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</si>
</sst>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_);[Red]\(0.00\)"/>
    <numFmt numFmtId="166" formatCode="0.0000000"/>
    <numFmt numFmtId="167" formatCode="0.0"/>
  </numFmts>
  <fonts count="2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1"/>
      <color indexed="12"/>
      <name val="Times New Roman"/>
      <family val="1"/>
    </font>
    <font>
      <sz val="12"/>
      <name val="Times New Roman"/>
      <family val="1"/>
    </font>
    <font>
      <sz val="11"/>
      <color indexed="12"/>
      <name val="Times New Roman"/>
      <family val="1"/>
    </font>
    <font>
      <i/>
      <sz val="11"/>
      <name val="Times New Roman"/>
      <family val="1"/>
    </font>
    <font>
      <sz val="11"/>
      <color indexed="10"/>
      <name val="Times New Roman"/>
      <family val="1"/>
    </font>
    <font>
      <b/>
      <sz val="11"/>
      <color indexed="10"/>
      <name val="Times New Roman"/>
      <family val="1"/>
    </font>
    <font>
      <sz val="10"/>
      <name val="Arial"/>
      <family val="2"/>
    </font>
    <font>
      <sz val="10.5"/>
      <name val="Cambria"/>
      <family val="1"/>
    </font>
    <font>
      <b/>
      <sz val="10.5"/>
      <color indexed="8"/>
      <name val="Cambria"/>
      <family val="1"/>
    </font>
    <font>
      <sz val="10.5"/>
      <color indexed="8"/>
      <name val="Cambria"/>
      <family val="1"/>
    </font>
    <font>
      <b/>
      <sz val="10.5"/>
      <name val="Cambria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4" fillId="2" borderId="0" xfId="0" applyFont="1" applyFill="1"/>
    <xf numFmtId="14" fontId="2" fillId="0" borderId="1" xfId="0" applyNumberFormat="1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3" xfId="0" applyFont="1" applyBorder="1"/>
    <xf numFmtId="2" fontId="3" fillId="0" borderId="0" xfId="0" applyNumberFormat="1" applyFont="1"/>
    <xf numFmtId="0" fontId="4" fillId="2" borderId="4" xfId="0" applyFont="1" applyFill="1" applyBorder="1"/>
    <xf numFmtId="14" fontId="2" fillId="0" borderId="4" xfId="0" applyNumberFormat="1" applyFont="1" applyBorder="1"/>
    <xf numFmtId="2" fontId="3" fillId="0" borderId="3" xfId="0" applyNumberFormat="1" applyFont="1" applyBorder="1"/>
    <xf numFmtId="0" fontId="2" fillId="0" borderId="0" xfId="0" applyFont="1"/>
    <xf numFmtId="2" fontId="2" fillId="0" borderId="0" xfId="0" applyNumberFormat="1" applyFont="1"/>
    <xf numFmtId="0" fontId="4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3" fillId="0" borderId="9" xfId="0" applyNumberFormat="1" applyFont="1" applyBorder="1"/>
    <xf numFmtId="2" fontId="3" fillId="0" borderId="10" xfId="0" applyNumberFormat="1" applyFont="1" applyBorder="1"/>
    <xf numFmtId="0" fontId="3" fillId="0" borderId="6" xfId="0" applyFont="1" applyBorder="1"/>
    <xf numFmtId="0" fontId="3" fillId="0" borderId="6" xfId="0" quotePrefix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8" fillId="0" borderId="6" xfId="0" applyFont="1" applyBorder="1"/>
    <xf numFmtId="165" fontId="3" fillId="0" borderId="0" xfId="0" applyNumberFormat="1" applyFont="1" applyProtection="1">
      <protection locked="0"/>
    </xf>
    <xf numFmtId="0" fontId="9" fillId="0" borderId="6" xfId="0" applyFont="1" applyBorder="1" applyAlignment="1">
      <alignment horizontal="left"/>
    </xf>
    <xf numFmtId="0" fontId="10" fillId="0" borderId="0" xfId="0" applyFont="1" applyProtection="1">
      <protection locked="0"/>
    </xf>
    <xf numFmtId="0" fontId="9" fillId="0" borderId="6" xfId="0" applyFont="1" applyBorder="1"/>
    <xf numFmtId="15" fontId="2" fillId="0" borderId="1" xfId="0" applyNumberFormat="1" applyFont="1" applyBorder="1"/>
    <xf numFmtId="15" fontId="2" fillId="0" borderId="4" xfId="0" applyNumberFormat="1" applyFont="1" applyBorder="1"/>
    <xf numFmtId="0" fontId="3" fillId="0" borderId="0" xfId="0" applyFont="1" applyAlignment="1" applyProtection="1">
      <alignment horizontal="right"/>
      <protection locked="0"/>
    </xf>
    <xf numFmtId="2" fontId="3" fillId="0" borderId="2" xfId="0" applyNumberFormat="1" applyFont="1" applyBorder="1" applyAlignment="1" applyProtection="1">
      <alignment horizontal="right"/>
      <protection locked="0"/>
    </xf>
    <xf numFmtId="2" fontId="3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2" fontId="7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7" xfId="0" applyFont="1" applyBorder="1" applyAlignment="1">
      <alignment horizontal="right"/>
    </xf>
    <xf numFmtId="2" fontId="3" fillId="0" borderId="10" xfId="0" applyNumberFormat="1" applyFont="1" applyBorder="1" applyAlignment="1">
      <alignment horizontal="right"/>
    </xf>
    <xf numFmtId="2" fontId="9" fillId="0" borderId="2" xfId="0" applyNumberFormat="1" applyFont="1" applyBorder="1" applyAlignment="1" applyProtection="1">
      <alignment horizontal="right"/>
      <protection locked="0"/>
    </xf>
    <xf numFmtId="2" fontId="3" fillId="0" borderId="11" xfId="0" applyNumberFormat="1" applyFont="1" applyBorder="1" applyProtection="1">
      <protection locked="0"/>
    </xf>
    <xf numFmtId="2" fontId="3" fillId="0" borderId="12" xfId="0" applyNumberFormat="1" applyFont="1" applyBorder="1" applyProtection="1">
      <protection locked="0"/>
    </xf>
    <xf numFmtId="165" fontId="3" fillId="0" borderId="12" xfId="0" applyNumberFormat="1" applyFont="1" applyBorder="1" applyProtection="1">
      <protection locked="0"/>
    </xf>
    <xf numFmtId="2" fontId="5" fillId="0" borderId="12" xfId="0" applyNumberFormat="1" applyFont="1" applyBorder="1"/>
    <xf numFmtId="2" fontId="3" fillId="0" borderId="12" xfId="0" applyNumberFormat="1" applyFont="1" applyBorder="1"/>
    <xf numFmtId="165" fontId="3" fillId="0" borderId="12" xfId="1" applyNumberFormat="1" applyFont="1" applyBorder="1" applyProtection="1">
      <protection locked="0"/>
    </xf>
    <xf numFmtId="2" fontId="5" fillId="0" borderId="13" xfId="0" applyNumberFormat="1" applyFont="1" applyBorder="1"/>
    <xf numFmtId="2" fontId="7" fillId="0" borderId="12" xfId="0" applyNumberFormat="1" applyFont="1" applyBorder="1"/>
    <xf numFmtId="2" fontId="2" fillId="0" borderId="12" xfId="0" applyNumberFormat="1" applyFont="1" applyBorder="1"/>
    <xf numFmtId="0" fontId="3" fillId="0" borderId="12" xfId="0" applyFont="1" applyBorder="1" applyProtection="1">
      <protection locked="0"/>
    </xf>
    <xf numFmtId="2" fontId="3" fillId="0" borderId="11" xfId="0" applyNumberFormat="1" applyFont="1" applyBorder="1"/>
    <xf numFmtId="164" fontId="6" fillId="0" borderId="14" xfId="1" applyFont="1" applyBorder="1" applyProtection="1">
      <protection locked="0"/>
    </xf>
    <xf numFmtId="2" fontId="3" fillId="0" borderId="4" xfId="0" applyNumberFormat="1" applyFont="1" applyBorder="1" applyAlignment="1" applyProtection="1">
      <alignment horizontal="right"/>
      <protection locked="0"/>
    </xf>
    <xf numFmtId="165" fontId="3" fillId="0" borderId="2" xfId="0" applyNumberFormat="1" applyFont="1" applyBorder="1" applyAlignment="1" applyProtection="1">
      <alignment horizontal="right"/>
      <protection locked="0"/>
    </xf>
    <xf numFmtId="2" fontId="5" fillId="0" borderId="2" xfId="0" applyNumberFormat="1" applyFont="1" applyBorder="1" applyAlignment="1">
      <alignment horizontal="right"/>
    </xf>
    <xf numFmtId="2" fontId="5" fillId="0" borderId="15" xfId="0" applyNumberFormat="1" applyFont="1" applyBorder="1" applyAlignment="1">
      <alignment horizontal="right"/>
    </xf>
    <xf numFmtId="2" fontId="3" fillId="0" borderId="16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165" fontId="3" fillId="0" borderId="2" xfId="1" applyNumberFormat="1" applyFont="1" applyBorder="1" applyAlignment="1" applyProtection="1">
      <alignment horizontal="right"/>
      <protection locked="0"/>
    </xf>
    <xf numFmtId="2" fontId="5" fillId="0" borderId="3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3" fillId="0" borderId="2" xfId="0" applyFont="1" applyBorder="1" applyAlignment="1" applyProtection="1">
      <alignment horizontal="right"/>
      <protection locked="0"/>
    </xf>
    <xf numFmtId="2" fontId="10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2" fontId="5" fillId="0" borderId="2" xfId="0" applyNumberFormat="1" applyFont="1" applyBorder="1" applyAlignment="1" applyProtection="1">
      <alignment horizontal="right"/>
      <protection locked="0"/>
    </xf>
    <xf numFmtId="14" fontId="2" fillId="0" borderId="17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4" xfId="0" applyFont="1" applyBorder="1"/>
    <xf numFmtId="0" fontId="2" fillId="0" borderId="15" xfId="0" applyFont="1" applyBorder="1"/>
    <xf numFmtId="0" fontId="3" fillId="0" borderId="16" xfId="0" applyFont="1" applyBorder="1"/>
    <xf numFmtId="0" fontId="3" fillId="0" borderId="2" xfId="0" quotePrefix="1" applyFont="1" applyBorder="1" applyAlignment="1">
      <alignment horizontal="left"/>
    </xf>
    <xf numFmtId="0" fontId="9" fillId="0" borderId="2" xfId="0" applyFont="1" applyBorder="1"/>
    <xf numFmtId="0" fontId="2" fillId="0" borderId="5" xfId="0" applyFont="1" applyBorder="1"/>
    <xf numFmtId="0" fontId="10" fillId="0" borderId="6" xfId="0" applyFont="1" applyBorder="1"/>
    <xf numFmtId="0" fontId="11" fillId="0" borderId="0" xfId="0" applyFont="1"/>
    <xf numFmtId="9" fontId="0" fillId="0" borderId="0" xfId="2" applyFont="1"/>
    <xf numFmtId="166" fontId="3" fillId="0" borderId="0" xfId="0" applyNumberFormat="1" applyFont="1" applyAlignment="1" applyProtection="1">
      <alignment horizontal="right"/>
      <protection locked="0"/>
    </xf>
    <xf numFmtId="0" fontId="13" fillId="0" borderId="17" xfId="0" applyFont="1" applyBorder="1" applyAlignment="1">
      <alignment horizontal="center" wrapText="1"/>
    </xf>
    <xf numFmtId="0" fontId="13" fillId="0" borderId="17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0" fillId="0" borderId="17" xfId="0" applyFont="1" applyBorder="1" applyAlignment="1">
      <alignment horizontal="center"/>
    </xf>
    <xf numFmtId="2" fontId="20" fillId="0" borderId="17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2" fontId="2" fillId="0" borderId="17" xfId="0" applyNumberFormat="1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1" fillId="0" borderId="0" xfId="0" applyFont="1" applyAlignment="1">
      <alignment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7"/>
  <sheetViews>
    <sheetView topLeftCell="A39" zoomScale="80" zoomScaleNormal="80" workbookViewId="0">
      <selection sqref="A1:T60"/>
    </sheetView>
  </sheetViews>
  <sheetFormatPr defaultColWidth="9.21875" defaultRowHeight="13.8" x14ac:dyDescent="0.25"/>
  <cols>
    <col min="1" max="1" width="54" style="1" customWidth="1"/>
    <col min="2" max="15" width="15" style="1" hidden="1" customWidth="1"/>
    <col min="16" max="16" width="11.44140625" style="31" customWidth="1"/>
    <col min="17" max="17" width="13.6640625" style="31" bestFit="1" customWidth="1"/>
    <col min="18" max="20" width="12.77734375" style="31" bestFit="1" customWidth="1"/>
    <col min="21" max="16384" width="9.21875" style="1"/>
  </cols>
  <sheetData>
    <row r="1" spans="1:20" ht="18" thickBot="1" x14ac:dyDescent="0.35">
      <c r="A1" s="4" t="s">
        <v>0</v>
      </c>
      <c r="B1" s="5"/>
      <c r="C1" s="5"/>
      <c r="D1" s="5"/>
      <c r="E1" s="5"/>
      <c r="F1" s="5"/>
      <c r="G1" s="5"/>
      <c r="H1" s="5"/>
      <c r="I1" s="5"/>
      <c r="J1" s="29" t="e">
        <f>#REF!</f>
        <v>#REF!</v>
      </c>
      <c r="K1" s="29" t="e">
        <f>#REF!</f>
        <v>#REF!</v>
      </c>
      <c r="L1" s="29" t="e">
        <f>#REF!</f>
        <v>#REF!</v>
      </c>
      <c r="M1" s="29" t="e">
        <f>#REF!</f>
        <v>#REF!</v>
      </c>
      <c r="N1" s="29" t="e">
        <f>#REF!</f>
        <v>#REF!</v>
      </c>
      <c r="O1" s="29" t="e">
        <f>#REF!</f>
        <v>#REF!</v>
      </c>
      <c r="P1" s="66">
        <v>42825</v>
      </c>
      <c r="Q1" s="66">
        <v>43190</v>
      </c>
      <c r="R1" s="66">
        <v>43555</v>
      </c>
      <c r="S1" s="66">
        <v>43921</v>
      </c>
      <c r="T1" s="66">
        <v>44286</v>
      </c>
    </row>
    <row r="2" spans="1:20" x14ac:dyDescent="0.25">
      <c r="A2" s="68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32">
        <v>47.777526356999999</v>
      </c>
      <c r="Q2" s="32">
        <v>30.758356049</v>
      </c>
      <c r="R2" s="32">
        <v>40.738365999999999</v>
      </c>
      <c r="S2" s="32">
        <v>49.391747600000002</v>
      </c>
      <c r="T2" s="32">
        <v>72.0237178</v>
      </c>
    </row>
    <row r="3" spans="1:20" x14ac:dyDescent="0.25">
      <c r="A3" s="6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32"/>
      <c r="Q3" s="32"/>
      <c r="R3" s="32"/>
      <c r="S3" s="32"/>
      <c r="T3" s="32"/>
    </row>
    <row r="4" spans="1:20" x14ac:dyDescent="0.25">
      <c r="A4" s="6" t="s">
        <v>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54"/>
      <c r="Q4" s="54"/>
      <c r="R4" s="54"/>
      <c r="S4" s="54"/>
      <c r="T4" s="54"/>
    </row>
    <row r="5" spans="1:20" s="2" customFormat="1" x14ac:dyDescent="0.25">
      <c r="A5" s="7" t="s">
        <v>4</v>
      </c>
      <c r="B5" s="44">
        <f t="shared" ref="B5:S5" si="0">B2+B3+B4</f>
        <v>0</v>
      </c>
      <c r="C5" s="44">
        <f t="shared" si="0"/>
        <v>0</v>
      </c>
      <c r="D5" s="44">
        <f t="shared" si="0"/>
        <v>0</v>
      </c>
      <c r="E5" s="44">
        <f t="shared" si="0"/>
        <v>0</v>
      </c>
      <c r="F5" s="44">
        <f t="shared" si="0"/>
        <v>0</v>
      </c>
      <c r="G5" s="44">
        <f t="shared" si="0"/>
        <v>0</v>
      </c>
      <c r="H5" s="44">
        <f t="shared" si="0"/>
        <v>0</v>
      </c>
      <c r="I5" s="44">
        <f>I2+I3+I4</f>
        <v>0</v>
      </c>
      <c r="J5" s="44">
        <f>J2+J3+J4</f>
        <v>0</v>
      </c>
      <c r="K5" s="44">
        <f t="shared" si="0"/>
        <v>0</v>
      </c>
      <c r="L5" s="44">
        <f t="shared" si="0"/>
        <v>0</v>
      </c>
      <c r="M5" s="44">
        <f t="shared" si="0"/>
        <v>0</v>
      </c>
      <c r="N5" s="44">
        <f t="shared" si="0"/>
        <v>0</v>
      </c>
      <c r="O5" s="44">
        <f t="shared" si="0"/>
        <v>0</v>
      </c>
      <c r="P5" s="55">
        <f>P2+P3+P4</f>
        <v>47.777526356999999</v>
      </c>
      <c r="Q5" s="55">
        <f>Q2+Q3+Q4</f>
        <v>30.758356049</v>
      </c>
      <c r="R5" s="55">
        <f t="shared" si="0"/>
        <v>40.738365999999999</v>
      </c>
      <c r="S5" s="55">
        <f t="shared" si="0"/>
        <v>49.391747600000002</v>
      </c>
      <c r="T5" s="55">
        <f>T2+T3+T4</f>
        <v>72.0237178</v>
      </c>
    </row>
    <row r="6" spans="1:20" x14ac:dyDescent="0.25">
      <c r="A6" s="6" t="s">
        <v>5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32">
        <v>0.22924518699999999</v>
      </c>
      <c r="Q6" s="32">
        <v>9.8981780000000005E-3</v>
      </c>
      <c r="R6" s="32"/>
      <c r="S6" s="32"/>
      <c r="T6" s="32"/>
    </row>
    <row r="7" spans="1:20" s="2" customFormat="1" x14ac:dyDescent="0.25">
      <c r="A7" s="69" t="s">
        <v>6</v>
      </c>
      <c r="B7" s="44">
        <f t="shared" ref="B7:S7" si="1">B5+B6</f>
        <v>0</v>
      </c>
      <c r="C7" s="44">
        <f t="shared" si="1"/>
        <v>0</v>
      </c>
      <c r="D7" s="44">
        <f t="shared" si="1"/>
        <v>0</v>
      </c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  <c r="M7" s="44">
        <f t="shared" si="1"/>
        <v>0</v>
      </c>
      <c r="N7" s="44">
        <f t="shared" si="1"/>
        <v>0</v>
      </c>
      <c r="O7" s="44">
        <f t="shared" si="1"/>
        <v>0</v>
      </c>
      <c r="P7" s="56">
        <f t="shared" si="1"/>
        <v>48.006771543999996</v>
      </c>
      <c r="Q7" s="56">
        <f>Q5+Q6</f>
        <v>30.768254227</v>
      </c>
      <c r="R7" s="56">
        <f>R5+R6</f>
        <v>40.738365999999999</v>
      </c>
      <c r="S7" s="56">
        <f t="shared" si="1"/>
        <v>49.391747600000002</v>
      </c>
      <c r="T7" s="56">
        <f>T5+T6</f>
        <v>72.0237178</v>
      </c>
    </row>
    <row r="8" spans="1:20" x14ac:dyDescent="0.25">
      <c r="A8" s="70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57"/>
      <c r="Q8" s="57"/>
      <c r="R8" s="57"/>
      <c r="S8" s="57"/>
      <c r="T8" s="57"/>
    </row>
    <row r="9" spans="1:20" x14ac:dyDescent="0.25">
      <c r="A9" s="6" t="s">
        <v>7</v>
      </c>
      <c r="B9" s="42"/>
      <c r="C9" s="42"/>
      <c r="D9" s="42"/>
      <c r="E9" s="42"/>
      <c r="F9" s="42"/>
      <c r="G9" s="42"/>
      <c r="H9" s="43"/>
      <c r="I9" s="43"/>
      <c r="J9" s="43"/>
      <c r="K9" s="43"/>
      <c r="L9" s="43"/>
      <c r="M9" s="43"/>
      <c r="N9" s="43"/>
      <c r="O9" s="43"/>
      <c r="P9" s="32">
        <v>39.329501047000001</v>
      </c>
      <c r="Q9" s="32">
        <v>20.136339062000001</v>
      </c>
      <c r="R9" s="32">
        <v>35.816932600000001</v>
      </c>
      <c r="S9" s="32">
        <v>40.066705499999998</v>
      </c>
      <c r="T9" s="32">
        <v>61.513100000000001</v>
      </c>
    </row>
    <row r="10" spans="1:20" x14ac:dyDescent="0.25">
      <c r="A10" s="6" t="s">
        <v>8</v>
      </c>
      <c r="B10" s="42"/>
      <c r="C10" s="42"/>
      <c r="D10" s="42"/>
      <c r="E10" s="42"/>
      <c r="F10" s="42"/>
      <c r="G10" s="42"/>
      <c r="H10" s="43"/>
      <c r="I10" s="43"/>
      <c r="J10" s="43"/>
      <c r="K10" s="43"/>
      <c r="L10" s="43"/>
      <c r="M10" s="43"/>
      <c r="N10" s="43"/>
      <c r="O10" s="43"/>
      <c r="P10" s="32"/>
      <c r="Q10" s="32">
        <v>0.96047518099999996</v>
      </c>
      <c r="R10" s="32">
        <v>1.7240953999999999</v>
      </c>
      <c r="S10" s="32"/>
      <c r="T10" s="32"/>
    </row>
    <row r="11" spans="1:20" x14ac:dyDescent="0.25">
      <c r="A11" s="6" t="s">
        <v>9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54">
        <v>-2.3085669000000002</v>
      </c>
      <c r="Q11" s="54">
        <v>4.456518</v>
      </c>
      <c r="R11" s="54">
        <f>-0.3182349-3.0044295-0.2153048</f>
        <v>-3.5379692</v>
      </c>
      <c r="S11" s="54">
        <f>0.1877943-0.4935907+0.2191152</f>
        <v>-8.6681199999999958E-2</v>
      </c>
      <c r="T11" s="54">
        <v>0.29086499999999998</v>
      </c>
    </row>
    <row r="12" spans="1:20" x14ac:dyDescent="0.25">
      <c r="A12" s="71" t="s">
        <v>10</v>
      </c>
      <c r="B12" s="42"/>
      <c r="C12" s="42"/>
      <c r="D12" s="42"/>
      <c r="E12" s="42"/>
      <c r="F12" s="42"/>
      <c r="G12" s="42"/>
      <c r="H12" s="43"/>
      <c r="I12" s="43"/>
      <c r="J12" s="43"/>
      <c r="K12" s="43"/>
      <c r="L12" s="43"/>
      <c r="M12" s="43"/>
      <c r="N12" s="43"/>
      <c r="O12" s="43"/>
      <c r="P12" s="32">
        <v>4.0248639000000003E-2</v>
      </c>
      <c r="Q12" s="32">
        <v>2.0955293999999999E-2</v>
      </c>
      <c r="R12" s="32">
        <f>0.0119794</f>
        <v>1.1979399999999999E-2</v>
      </c>
      <c r="S12" s="32">
        <f>0.023471</f>
        <v>2.3470999999999999E-2</v>
      </c>
      <c r="T12" s="32">
        <v>1.04E-2</v>
      </c>
    </row>
    <row r="13" spans="1:20" x14ac:dyDescent="0.25">
      <c r="A13" s="6" t="s">
        <v>11</v>
      </c>
      <c r="B13" s="42"/>
      <c r="C13" s="42"/>
      <c r="D13" s="42"/>
      <c r="E13" s="42"/>
      <c r="F13" s="42"/>
      <c r="G13" s="42"/>
      <c r="H13" s="43"/>
      <c r="I13" s="43"/>
      <c r="J13" s="43"/>
      <c r="K13" s="43"/>
      <c r="L13" s="43"/>
      <c r="M13" s="43"/>
      <c r="N13" s="43"/>
      <c r="O13" s="43"/>
      <c r="P13" s="32">
        <v>0.58949530000000006</v>
      </c>
      <c r="Q13" s="32">
        <v>0.57796352699999998</v>
      </c>
      <c r="R13" s="32">
        <v>0.9043156</v>
      </c>
      <c r="S13" s="32">
        <v>1.1495668999999999</v>
      </c>
      <c r="T13" s="32">
        <v>1.13828</v>
      </c>
    </row>
    <row r="14" spans="1:20" x14ac:dyDescent="0.25">
      <c r="A14" s="6" t="s">
        <v>12</v>
      </c>
      <c r="B14" s="42"/>
      <c r="C14" s="42"/>
      <c r="D14" s="42"/>
      <c r="E14" s="42"/>
      <c r="F14" s="42"/>
      <c r="G14" s="42"/>
      <c r="H14" s="43"/>
      <c r="I14" s="43"/>
      <c r="J14" s="43"/>
      <c r="K14" s="43"/>
      <c r="L14" s="43"/>
      <c r="M14" s="43"/>
      <c r="N14" s="43"/>
      <c r="O14" s="43"/>
      <c r="P14" s="32">
        <v>0.26545419999999997</v>
      </c>
      <c r="Q14" s="32">
        <f>0.2838879</f>
        <v>0.28388790000000003</v>
      </c>
      <c r="R14" s="32">
        <v>0.30629729999999999</v>
      </c>
      <c r="S14" s="32">
        <v>0.3259396</v>
      </c>
      <c r="T14" s="32">
        <v>0.35322999999999999</v>
      </c>
    </row>
    <row r="15" spans="1:20" x14ac:dyDescent="0.25">
      <c r="A15" s="6" t="s">
        <v>13</v>
      </c>
      <c r="B15" s="42"/>
      <c r="C15" s="42"/>
      <c r="D15" s="42"/>
      <c r="E15" s="42"/>
      <c r="F15" s="42"/>
      <c r="G15" s="42"/>
      <c r="H15" s="43"/>
      <c r="I15" s="43"/>
      <c r="J15" s="43"/>
      <c r="K15" s="43"/>
      <c r="L15" s="43"/>
      <c r="M15" s="43"/>
      <c r="N15" s="43"/>
      <c r="O15" s="43"/>
      <c r="P15" s="32">
        <f>1.390913919-P13-P12</f>
        <v>0.76116997999999991</v>
      </c>
      <c r="Q15" s="32">
        <f>1.296590849-Q13-Q12</f>
        <v>0.69767202800000006</v>
      </c>
      <c r="R15" s="32">
        <f>0.3226382+0.1520295+0.4210953+0.0546759</f>
        <v>0.95043890000000009</v>
      </c>
      <c r="S15" s="32">
        <f>0.3683382+0.2649489+0.4660959+0.134632</f>
        <v>1.2340150000000001</v>
      </c>
      <c r="T15" s="32">
        <f>0.3469+0.568+0.4464+0.101203</f>
        <v>1.4625029999999999</v>
      </c>
    </row>
    <row r="16" spans="1:20" s="2" customFormat="1" x14ac:dyDescent="0.25">
      <c r="A16" s="7" t="s">
        <v>14</v>
      </c>
      <c r="B16" s="44">
        <f t="shared" ref="B16:S16" si="2">SUM(B9:B15)</f>
        <v>0</v>
      </c>
      <c r="C16" s="44">
        <f t="shared" si="2"/>
        <v>0</v>
      </c>
      <c r="D16" s="44">
        <f t="shared" si="2"/>
        <v>0</v>
      </c>
      <c r="E16" s="44">
        <f t="shared" si="2"/>
        <v>0</v>
      </c>
      <c r="F16" s="44">
        <f t="shared" si="2"/>
        <v>0</v>
      </c>
      <c r="G16" s="44">
        <f t="shared" si="2"/>
        <v>0</v>
      </c>
      <c r="H16" s="44">
        <f t="shared" si="2"/>
        <v>0</v>
      </c>
      <c r="I16" s="44">
        <f t="shared" si="2"/>
        <v>0</v>
      </c>
      <c r="J16" s="44">
        <f t="shared" si="2"/>
        <v>0</v>
      </c>
      <c r="K16" s="44">
        <f t="shared" si="2"/>
        <v>0</v>
      </c>
      <c r="L16" s="44">
        <f t="shared" si="2"/>
        <v>0</v>
      </c>
      <c r="M16" s="44">
        <f t="shared" si="2"/>
        <v>0</v>
      </c>
      <c r="N16" s="44">
        <f t="shared" si="2"/>
        <v>0</v>
      </c>
      <c r="O16" s="44">
        <f t="shared" si="2"/>
        <v>0</v>
      </c>
      <c r="P16" s="55">
        <f t="shared" si="2"/>
        <v>38.677302265999998</v>
      </c>
      <c r="Q16" s="55">
        <f>SUM(Q9:Q15)</f>
        <v>27.133810992000001</v>
      </c>
      <c r="R16" s="55">
        <f>SUM(R9:R15)</f>
        <v>36.176090000000002</v>
      </c>
      <c r="S16" s="55">
        <f t="shared" si="2"/>
        <v>42.713016799999991</v>
      </c>
      <c r="T16" s="55">
        <f>SUM(T9:T15)</f>
        <v>64.768377999999998</v>
      </c>
    </row>
    <row r="17" spans="1:20" s="2" customFormat="1" x14ac:dyDescent="0.25">
      <c r="A17" s="7" t="s">
        <v>15</v>
      </c>
      <c r="B17" s="44">
        <f t="shared" ref="B17:S17" si="3">B7-B16</f>
        <v>0</v>
      </c>
      <c r="C17" s="44">
        <f t="shared" si="3"/>
        <v>0</v>
      </c>
      <c r="D17" s="44">
        <f t="shared" si="3"/>
        <v>0</v>
      </c>
      <c r="E17" s="44">
        <f t="shared" si="3"/>
        <v>0</v>
      </c>
      <c r="F17" s="44">
        <f t="shared" si="3"/>
        <v>0</v>
      </c>
      <c r="G17" s="44">
        <f t="shared" si="3"/>
        <v>0</v>
      </c>
      <c r="H17" s="44">
        <f t="shared" si="3"/>
        <v>0</v>
      </c>
      <c r="I17" s="44">
        <f t="shared" si="3"/>
        <v>0</v>
      </c>
      <c r="J17" s="44">
        <f t="shared" si="3"/>
        <v>0</v>
      </c>
      <c r="K17" s="44">
        <f t="shared" si="3"/>
        <v>0</v>
      </c>
      <c r="L17" s="44">
        <f t="shared" si="3"/>
        <v>0</v>
      </c>
      <c r="M17" s="44">
        <f t="shared" si="3"/>
        <v>0</v>
      </c>
      <c r="N17" s="44">
        <f t="shared" si="3"/>
        <v>0</v>
      </c>
      <c r="O17" s="44">
        <f t="shared" si="3"/>
        <v>0</v>
      </c>
      <c r="P17" s="55">
        <f t="shared" si="3"/>
        <v>9.3294692779999977</v>
      </c>
      <c r="Q17" s="55">
        <f>Q7-Q16</f>
        <v>3.6344432349999991</v>
      </c>
      <c r="R17" s="55">
        <f>R7-R16</f>
        <v>4.5622759999999971</v>
      </c>
      <c r="S17" s="55">
        <f t="shared" si="3"/>
        <v>6.678730800000011</v>
      </c>
      <c r="T17" s="55">
        <f>T7-T16</f>
        <v>7.2553398000000016</v>
      </c>
    </row>
    <row r="18" spans="1:20" x14ac:dyDescent="0.25">
      <c r="A18" s="6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58"/>
      <c r="Q18" s="58"/>
      <c r="R18" s="58"/>
      <c r="S18" s="58"/>
      <c r="T18" s="58"/>
    </row>
    <row r="19" spans="1:20" x14ac:dyDescent="0.25">
      <c r="A19" s="6" t="s">
        <v>16</v>
      </c>
      <c r="B19" s="42"/>
      <c r="C19" s="42"/>
      <c r="D19" s="42"/>
      <c r="E19" s="42"/>
      <c r="F19" s="42"/>
      <c r="G19" s="42"/>
      <c r="H19" s="43"/>
      <c r="I19" s="43"/>
      <c r="J19" s="43"/>
      <c r="K19" s="43"/>
      <c r="L19" s="43"/>
      <c r="M19" s="43"/>
      <c r="N19" s="43"/>
      <c r="O19" s="43"/>
      <c r="P19" s="32">
        <v>3.2669834830000002</v>
      </c>
      <c r="Q19" s="32">
        <v>2.169516335</v>
      </c>
      <c r="R19" s="32">
        <f>0.017355+0.0105106+0.1290009+0.19611+0.3631982+1.0780571+0.1176066+0.7618485</f>
        <v>2.6736869000000003</v>
      </c>
      <c r="S19" s="32">
        <f>0.0158633+0.0219362+0.1251661+0.31471+0.0446948+1.2324848+0.1207111+1.195757</f>
        <v>3.0713233</v>
      </c>
      <c r="T19" s="32">
        <f>0.01645+0.01939+0.17928+0.05+1.98+1.2328</f>
        <v>3.4779200000000001</v>
      </c>
    </row>
    <row r="20" spans="1:20" x14ac:dyDescent="0.25">
      <c r="A20" s="6" t="s">
        <v>17</v>
      </c>
      <c r="B20" s="42"/>
      <c r="C20" s="42"/>
      <c r="D20" s="42"/>
      <c r="E20" s="42"/>
      <c r="F20" s="42"/>
      <c r="G20" s="42"/>
      <c r="H20" s="43"/>
      <c r="I20" s="43"/>
      <c r="J20" s="43"/>
      <c r="K20" s="43"/>
      <c r="L20" s="43"/>
      <c r="M20" s="43"/>
      <c r="N20" s="43"/>
      <c r="O20" s="43"/>
      <c r="P20" s="32"/>
      <c r="Q20" s="32"/>
      <c r="R20" s="32"/>
      <c r="S20" s="32"/>
      <c r="T20" s="32"/>
    </row>
    <row r="21" spans="1:20" x14ac:dyDescent="0.25">
      <c r="A21" s="6" t="s">
        <v>18</v>
      </c>
      <c r="B21" s="42"/>
      <c r="C21" s="42"/>
      <c r="D21" s="42"/>
      <c r="E21" s="42"/>
      <c r="F21" s="42"/>
      <c r="G21" s="42"/>
      <c r="H21" s="43"/>
      <c r="I21" s="43"/>
      <c r="J21" s="43"/>
      <c r="K21" s="43"/>
      <c r="L21" s="43"/>
      <c r="M21" s="43"/>
      <c r="N21" s="43"/>
      <c r="O21" s="43"/>
      <c r="P21" s="32"/>
      <c r="Q21" s="32"/>
      <c r="R21" s="32"/>
      <c r="S21" s="32"/>
      <c r="T21" s="32"/>
    </row>
    <row r="22" spans="1:20" x14ac:dyDescent="0.25">
      <c r="A22" s="6" t="s">
        <v>19</v>
      </c>
      <c r="B22" s="42"/>
      <c r="C22" s="42"/>
      <c r="D22" s="42"/>
      <c r="E22" s="42"/>
      <c r="F22" s="42"/>
      <c r="G22" s="42"/>
      <c r="H22" s="43"/>
      <c r="I22" s="43"/>
      <c r="J22" s="43"/>
      <c r="K22" s="43"/>
      <c r="L22" s="43"/>
      <c r="M22" s="43"/>
      <c r="N22" s="43"/>
      <c r="O22" s="43"/>
      <c r="P22" s="32">
        <v>0.87253569900000005</v>
      </c>
      <c r="Q22" s="32">
        <v>0.41173438000000001</v>
      </c>
      <c r="R22" s="32">
        <f>0.0036457+0.0322638+0.0226786+0.0086205+0.0112997+0.0181444+0.1210029+0.0020985+0.0697832+0.004811+0.00104+0.0064627+0.0036855+0.003735+0.0106839+0.0004825+0.0177155+0.0020245+0.039375+0.0011825-0.0092007+0.0025+R35</f>
        <v>0.17403469999999993</v>
      </c>
      <c r="S22" s="32">
        <f>0.013932+0.0691146+0.0254059+0.0135892+0.0291328+0.0155019+0.3188306+0.0036384+0.1614347+0.057418+0.00474+0.0431128+0.0080145+0.005481+0.007257+0.0008+0.00218+0.2375927+0.002289-0.0020493+0.003</f>
        <v>1.0204157999999999</v>
      </c>
      <c r="T22" s="32">
        <f>7.5215776-T12-T13-T15-T19</f>
        <v>1.4324745999999999</v>
      </c>
    </row>
    <row r="23" spans="1:20" x14ac:dyDescent="0.25">
      <c r="A23" s="6" t="s">
        <v>20</v>
      </c>
      <c r="B23" s="46"/>
      <c r="C23" s="46"/>
      <c r="D23" s="46"/>
      <c r="E23" s="46"/>
      <c r="F23" s="46"/>
      <c r="G23" s="46"/>
      <c r="H23" s="43"/>
      <c r="I23" s="43"/>
      <c r="J23" s="43"/>
      <c r="K23" s="43"/>
      <c r="L23" s="43"/>
      <c r="M23" s="43"/>
      <c r="N23" s="43"/>
      <c r="O23" s="43"/>
      <c r="P23" s="59"/>
      <c r="Q23" s="59"/>
      <c r="R23" s="59"/>
      <c r="S23" s="59"/>
      <c r="T23" s="59"/>
    </row>
    <row r="24" spans="1:20" s="2" customFormat="1" x14ac:dyDescent="0.25">
      <c r="A24" s="69" t="s">
        <v>21</v>
      </c>
      <c r="B24" s="44">
        <f t="shared" ref="B24:S24" si="4">B16+B19+B20+B21+B22+B23</f>
        <v>0</v>
      </c>
      <c r="C24" s="44">
        <f t="shared" si="4"/>
        <v>0</v>
      </c>
      <c r="D24" s="44">
        <f t="shared" si="4"/>
        <v>0</v>
      </c>
      <c r="E24" s="44">
        <f t="shared" si="4"/>
        <v>0</v>
      </c>
      <c r="F24" s="44">
        <f t="shared" si="4"/>
        <v>0</v>
      </c>
      <c r="G24" s="44">
        <f t="shared" si="4"/>
        <v>0</v>
      </c>
      <c r="H24" s="44">
        <f t="shared" si="4"/>
        <v>0</v>
      </c>
      <c r="I24" s="44">
        <f t="shared" si="4"/>
        <v>0</v>
      </c>
      <c r="J24" s="44">
        <f t="shared" si="4"/>
        <v>0</v>
      </c>
      <c r="K24" s="44">
        <f t="shared" si="4"/>
        <v>0</v>
      </c>
      <c r="L24" s="44">
        <f t="shared" si="4"/>
        <v>0</v>
      </c>
      <c r="M24" s="44">
        <f t="shared" si="4"/>
        <v>0</v>
      </c>
      <c r="N24" s="44">
        <f t="shared" si="4"/>
        <v>0</v>
      </c>
      <c r="O24" s="44">
        <f t="shared" si="4"/>
        <v>0</v>
      </c>
      <c r="P24" s="56">
        <f t="shared" si="4"/>
        <v>42.816821447999992</v>
      </c>
      <c r="Q24" s="56">
        <f>Q16+Q19+Q20+Q21+Q22+Q23</f>
        <v>29.715061707</v>
      </c>
      <c r="R24" s="56">
        <f>R16+R19+R20+R21+R22+R23</f>
        <v>39.023811600000002</v>
      </c>
      <c r="S24" s="56">
        <f t="shared" si="4"/>
        <v>46.804755899999996</v>
      </c>
      <c r="T24" s="56">
        <f>T16+T19+T20+T21+T22+T23</f>
        <v>69.678772600000002</v>
      </c>
    </row>
    <row r="25" spans="1:20" x14ac:dyDescent="0.25">
      <c r="A25" s="70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57"/>
      <c r="Q25" s="57"/>
      <c r="R25" s="57"/>
      <c r="S25" s="57"/>
      <c r="T25" s="57"/>
    </row>
    <row r="26" spans="1:20" s="2" customFormat="1" x14ac:dyDescent="0.25">
      <c r="A26" s="7" t="s">
        <v>22</v>
      </c>
      <c r="B26" s="44">
        <f t="shared" ref="B26:S26" si="5">B7-B24</f>
        <v>0</v>
      </c>
      <c r="C26" s="44">
        <f t="shared" si="5"/>
        <v>0</v>
      </c>
      <c r="D26" s="44">
        <f t="shared" si="5"/>
        <v>0</v>
      </c>
      <c r="E26" s="44">
        <f t="shared" si="5"/>
        <v>0</v>
      </c>
      <c r="F26" s="44">
        <f t="shared" si="5"/>
        <v>0</v>
      </c>
      <c r="G26" s="44">
        <f t="shared" si="5"/>
        <v>0</v>
      </c>
      <c r="H26" s="44">
        <f t="shared" si="5"/>
        <v>0</v>
      </c>
      <c r="I26" s="44">
        <f t="shared" si="5"/>
        <v>0</v>
      </c>
      <c r="J26" s="44">
        <f t="shared" si="5"/>
        <v>0</v>
      </c>
      <c r="K26" s="44">
        <f t="shared" si="5"/>
        <v>0</v>
      </c>
      <c r="L26" s="44">
        <f t="shared" si="5"/>
        <v>0</v>
      </c>
      <c r="M26" s="44">
        <f t="shared" si="5"/>
        <v>0</v>
      </c>
      <c r="N26" s="44">
        <f t="shared" si="5"/>
        <v>0</v>
      </c>
      <c r="O26" s="44">
        <f t="shared" si="5"/>
        <v>0</v>
      </c>
      <c r="P26" s="55">
        <f t="shared" si="5"/>
        <v>5.189950096000004</v>
      </c>
      <c r="Q26" s="55">
        <f>Q7-Q24</f>
        <v>1.0531925199999996</v>
      </c>
      <c r="R26" s="55">
        <f>R7-R24</f>
        <v>1.7145543999999973</v>
      </c>
      <c r="S26" s="55">
        <f t="shared" si="5"/>
        <v>2.5869917000000058</v>
      </c>
      <c r="T26" s="55">
        <f>T7-T24</f>
        <v>2.344945199999998</v>
      </c>
    </row>
    <row r="27" spans="1:20" x14ac:dyDescent="0.25">
      <c r="A27" s="6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8"/>
      <c r="Q27" s="58"/>
      <c r="R27" s="58"/>
      <c r="S27" s="58"/>
      <c r="T27" s="58"/>
    </row>
    <row r="28" spans="1:20" x14ac:dyDescent="0.25">
      <c r="A28" s="6" t="s">
        <v>23</v>
      </c>
      <c r="B28" s="42"/>
      <c r="C28" s="42"/>
      <c r="D28" s="42"/>
      <c r="E28" s="42"/>
      <c r="F28" s="42"/>
      <c r="G28" s="42"/>
      <c r="H28" s="43"/>
      <c r="I28" s="43"/>
      <c r="J28" s="43"/>
      <c r="K28" s="43"/>
      <c r="L28" s="43"/>
      <c r="M28" s="43"/>
      <c r="N28" s="42"/>
      <c r="O28" s="42"/>
      <c r="P28" s="32">
        <f>0.2463001-0.0389471</f>
        <v>0.20735300000000001</v>
      </c>
      <c r="Q28" s="32">
        <f>0.2764962-0.0389471</f>
        <v>0.23754910000000001</v>
      </c>
      <c r="R28" s="32">
        <f>0.281638-0.0389471</f>
        <v>0.24269089999999999</v>
      </c>
      <c r="S28" s="32">
        <f>0.2864506-0.0389471</f>
        <v>0.24750349999999999</v>
      </c>
      <c r="T28" s="32">
        <v>0.2807943</v>
      </c>
    </row>
    <row r="29" spans="1:20" x14ac:dyDescent="0.25">
      <c r="A29" s="6" t="s">
        <v>24</v>
      </c>
      <c r="B29" s="42"/>
      <c r="C29" s="42"/>
      <c r="D29" s="42"/>
      <c r="E29" s="42"/>
      <c r="F29" s="42"/>
      <c r="G29" s="42"/>
      <c r="H29" s="43"/>
      <c r="I29" s="43"/>
      <c r="J29" s="43"/>
      <c r="K29" s="43"/>
      <c r="L29" s="43"/>
      <c r="M29" s="43"/>
      <c r="N29" s="42"/>
      <c r="O29" s="42"/>
      <c r="P29" s="32"/>
      <c r="Q29" s="32"/>
      <c r="R29" s="32"/>
      <c r="S29" s="32"/>
      <c r="T29" s="32"/>
    </row>
    <row r="30" spans="1:20" s="2" customFormat="1" x14ac:dyDescent="0.25">
      <c r="A30" s="7" t="s">
        <v>25</v>
      </c>
      <c r="B30" s="44">
        <f t="shared" ref="B30:S30" si="6">B24+B28+B29</f>
        <v>0</v>
      </c>
      <c r="C30" s="44">
        <f t="shared" si="6"/>
        <v>0</v>
      </c>
      <c r="D30" s="44">
        <f t="shared" si="6"/>
        <v>0</v>
      </c>
      <c r="E30" s="44">
        <f t="shared" si="6"/>
        <v>0</v>
      </c>
      <c r="F30" s="44">
        <f t="shared" si="6"/>
        <v>0</v>
      </c>
      <c r="G30" s="44">
        <f t="shared" si="6"/>
        <v>0</v>
      </c>
      <c r="H30" s="44">
        <f t="shared" si="6"/>
        <v>0</v>
      </c>
      <c r="I30" s="44">
        <f t="shared" si="6"/>
        <v>0</v>
      </c>
      <c r="J30" s="44">
        <f t="shared" si="6"/>
        <v>0</v>
      </c>
      <c r="K30" s="44">
        <f t="shared" si="6"/>
        <v>0</v>
      </c>
      <c r="L30" s="44">
        <f t="shared" si="6"/>
        <v>0</v>
      </c>
      <c r="M30" s="44">
        <f t="shared" si="6"/>
        <v>0</v>
      </c>
      <c r="N30" s="44">
        <f t="shared" si="6"/>
        <v>0</v>
      </c>
      <c r="O30" s="44">
        <f t="shared" si="6"/>
        <v>0</v>
      </c>
      <c r="P30" s="55">
        <f t="shared" si="6"/>
        <v>43.024174447999989</v>
      </c>
      <c r="Q30" s="55">
        <f>Q24+Q28+Q29</f>
        <v>29.952610806999999</v>
      </c>
      <c r="R30" s="55">
        <f>R24+R28+R29</f>
        <v>39.266502500000001</v>
      </c>
      <c r="S30" s="55">
        <f t="shared" si="6"/>
        <v>47.052259399999997</v>
      </c>
      <c r="T30" s="55">
        <f>T24+T28+T29</f>
        <v>69.959566899999999</v>
      </c>
    </row>
    <row r="31" spans="1:20" x14ac:dyDescent="0.25">
      <c r="A31" s="6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58"/>
      <c r="Q31" s="58"/>
      <c r="R31" s="58"/>
      <c r="S31" s="58"/>
      <c r="T31" s="58"/>
    </row>
    <row r="32" spans="1:20" s="2" customFormat="1" x14ac:dyDescent="0.25">
      <c r="A32" s="7" t="s">
        <v>26</v>
      </c>
      <c r="B32" s="44">
        <f>B26-B28-B29</f>
        <v>0</v>
      </c>
      <c r="C32" s="44">
        <f t="shared" ref="C32:H32" si="7">C26-C28-C29</f>
        <v>0</v>
      </c>
      <c r="D32" s="44">
        <f t="shared" si="7"/>
        <v>0</v>
      </c>
      <c r="E32" s="44">
        <f t="shared" si="7"/>
        <v>0</v>
      </c>
      <c r="F32" s="44">
        <f t="shared" si="7"/>
        <v>0</v>
      </c>
      <c r="G32" s="44">
        <f t="shared" si="7"/>
        <v>0</v>
      </c>
      <c r="H32" s="44">
        <f t="shared" si="7"/>
        <v>0</v>
      </c>
      <c r="I32" s="44">
        <f t="shared" ref="I32:S32" si="8">I7-I30</f>
        <v>0</v>
      </c>
      <c r="J32" s="44">
        <f t="shared" si="8"/>
        <v>0</v>
      </c>
      <c r="K32" s="44">
        <f t="shared" si="8"/>
        <v>0</v>
      </c>
      <c r="L32" s="44">
        <f t="shared" si="8"/>
        <v>0</v>
      </c>
      <c r="M32" s="44">
        <f t="shared" si="8"/>
        <v>0</v>
      </c>
      <c r="N32" s="44">
        <f t="shared" si="8"/>
        <v>0</v>
      </c>
      <c r="O32" s="44">
        <f t="shared" si="8"/>
        <v>0</v>
      </c>
      <c r="P32" s="55">
        <f t="shared" si="8"/>
        <v>4.9825970960000063</v>
      </c>
      <c r="Q32" s="55">
        <f>Q7-Q30</f>
        <v>0.81564342000000067</v>
      </c>
      <c r="R32" s="55">
        <f>R7-R30</f>
        <v>1.4718634999999978</v>
      </c>
      <c r="S32" s="55">
        <f t="shared" si="8"/>
        <v>2.3394882000000052</v>
      </c>
      <c r="T32" s="55">
        <f>T7-T30</f>
        <v>2.0641509000000013</v>
      </c>
    </row>
    <row r="33" spans="1:20" x14ac:dyDescent="0.25">
      <c r="A33" s="6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58"/>
      <c r="Q33" s="58"/>
      <c r="R33" s="58"/>
      <c r="S33" s="58"/>
      <c r="T33" s="58"/>
    </row>
    <row r="34" spans="1:20" x14ac:dyDescent="0.25">
      <c r="A34" s="71" t="s">
        <v>27</v>
      </c>
      <c r="B34" s="42"/>
      <c r="C34" s="42"/>
      <c r="D34" s="42"/>
      <c r="E34" s="42"/>
      <c r="F34" s="42"/>
      <c r="G34" s="42"/>
      <c r="H34" s="43"/>
      <c r="I34" s="43"/>
      <c r="J34" s="43"/>
      <c r="K34" s="43"/>
      <c r="L34" s="43"/>
      <c r="M34" s="43"/>
      <c r="N34" s="43"/>
      <c r="O34" s="43"/>
      <c r="P34" s="32"/>
      <c r="Q34" s="32"/>
      <c r="R34" s="32"/>
      <c r="S34" s="32"/>
      <c r="T34" s="32"/>
    </row>
    <row r="35" spans="1:20" x14ac:dyDescent="0.25">
      <c r="A35" s="71" t="s">
        <v>28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54"/>
      <c r="Q35" s="54"/>
      <c r="R35" s="54">
        <v>-0.2</v>
      </c>
      <c r="S35" s="54">
        <v>-0.77989430000000004</v>
      </c>
      <c r="T35" s="54"/>
    </row>
    <row r="36" spans="1:20" x14ac:dyDescent="0.25">
      <c r="A36" s="7" t="s">
        <v>29</v>
      </c>
      <c r="B36" s="44">
        <f t="shared" ref="B36:S36" si="9">B32+B34+B35</f>
        <v>0</v>
      </c>
      <c r="C36" s="44">
        <f t="shared" si="9"/>
        <v>0</v>
      </c>
      <c r="D36" s="44">
        <f t="shared" si="9"/>
        <v>0</v>
      </c>
      <c r="E36" s="44">
        <f t="shared" si="9"/>
        <v>0</v>
      </c>
      <c r="F36" s="44">
        <f t="shared" si="9"/>
        <v>0</v>
      </c>
      <c r="G36" s="44">
        <f t="shared" si="9"/>
        <v>0</v>
      </c>
      <c r="H36" s="44">
        <f t="shared" si="9"/>
        <v>0</v>
      </c>
      <c r="I36" s="44">
        <f t="shared" si="9"/>
        <v>0</v>
      </c>
      <c r="J36" s="44">
        <f t="shared" si="9"/>
        <v>0</v>
      </c>
      <c r="K36" s="44">
        <f t="shared" si="9"/>
        <v>0</v>
      </c>
      <c r="L36" s="44">
        <f t="shared" si="9"/>
        <v>0</v>
      </c>
      <c r="M36" s="44">
        <f t="shared" si="9"/>
        <v>0</v>
      </c>
      <c r="N36" s="44">
        <f t="shared" si="9"/>
        <v>0</v>
      </c>
      <c r="O36" s="44">
        <f t="shared" si="9"/>
        <v>0</v>
      </c>
      <c r="P36" s="55">
        <f t="shared" si="9"/>
        <v>4.9825970960000063</v>
      </c>
      <c r="Q36" s="55">
        <f>Q32+Q34+Q35</f>
        <v>0.81564342000000067</v>
      </c>
      <c r="R36" s="55">
        <f>R32+R34+R35</f>
        <v>1.2718634999999978</v>
      </c>
      <c r="S36" s="55">
        <f t="shared" si="9"/>
        <v>1.5595939000000052</v>
      </c>
      <c r="T36" s="55">
        <f>T32+T34+T35</f>
        <v>2.0641509000000013</v>
      </c>
    </row>
    <row r="37" spans="1:20" x14ac:dyDescent="0.25">
      <c r="A37" s="6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58"/>
      <c r="Q37" s="58"/>
      <c r="R37" s="58"/>
      <c r="S37" s="58"/>
      <c r="T37" s="58"/>
    </row>
    <row r="38" spans="1:20" x14ac:dyDescent="0.25">
      <c r="A38" s="6" t="s">
        <v>30</v>
      </c>
      <c r="B38" s="42"/>
      <c r="C38" s="42"/>
      <c r="D38" s="42"/>
      <c r="E38" s="42"/>
      <c r="F38" s="42"/>
      <c r="G38" s="42"/>
      <c r="H38" s="43"/>
      <c r="I38" s="43"/>
      <c r="J38" s="43"/>
      <c r="K38" s="43"/>
      <c r="L38" s="43"/>
      <c r="M38" s="43"/>
      <c r="N38" s="43"/>
      <c r="O38" s="43"/>
      <c r="P38" s="32">
        <v>0.87640473900000004</v>
      </c>
      <c r="Q38" s="32">
        <v>0.64217993200000001</v>
      </c>
      <c r="R38" s="32">
        <v>1.0513994</v>
      </c>
      <c r="S38" s="32">
        <v>1.3122176000000001</v>
      </c>
      <c r="T38" s="32">
        <v>1.7277937000000001</v>
      </c>
    </row>
    <row r="39" spans="1:20" x14ac:dyDescent="0.25">
      <c r="A39" s="6" t="s">
        <v>31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54"/>
      <c r="Q39" s="54"/>
      <c r="R39" s="54"/>
      <c r="S39" s="54"/>
      <c r="T39" s="54"/>
    </row>
    <row r="40" spans="1:20" s="2" customFormat="1" x14ac:dyDescent="0.25">
      <c r="A40" s="7" t="s">
        <v>32</v>
      </c>
      <c r="B40" s="44">
        <f t="shared" ref="B40:S40" si="10">B38+B39</f>
        <v>0</v>
      </c>
      <c r="C40" s="44">
        <f t="shared" si="10"/>
        <v>0</v>
      </c>
      <c r="D40" s="44">
        <f t="shared" si="10"/>
        <v>0</v>
      </c>
      <c r="E40" s="44">
        <f t="shared" si="10"/>
        <v>0</v>
      </c>
      <c r="F40" s="44">
        <f t="shared" si="10"/>
        <v>0</v>
      </c>
      <c r="G40" s="44">
        <f t="shared" si="10"/>
        <v>0</v>
      </c>
      <c r="H40" s="44">
        <f t="shared" si="10"/>
        <v>0</v>
      </c>
      <c r="I40" s="44">
        <f t="shared" si="10"/>
        <v>0</v>
      </c>
      <c r="J40" s="44">
        <f t="shared" si="10"/>
        <v>0</v>
      </c>
      <c r="K40" s="44">
        <f t="shared" si="10"/>
        <v>0</v>
      </c>
      <c r="L40" s="44">
        <f t="shared" si="10"/>
        <v>0</v>
      </c>
      <c r="M40" s="44">
        <f t="shared" si="10"/>
        <v>0</v>
      </c>
      <c r="N40" s="44">
        <f>N38+N39</f>
        <v>0</v>
      </c>
      <c r="O40" s="44">
        <f>O38+O39</f>
        <v>0</v>
      </c>
      <c r="P40" s="55">
        <f>P38+P39</f>
        <v>0.87640473900000004</v>
      </c>
      <c r="Q40" s="55">
        <f>Q38+Q39</f>
        <v>0.64217993200000001</v>
      </c>
      <c r="R40" s="55">
        <f>R38+R39</f>
        <v>1.0513994</v>
      </c>
      <c r="S40" s="55">
        <f t="shared" si="10"/>
        <v>1.3122176000000001</v>
      </c>
      <c r="T40" s="55">
        <f>T38+T39</f>
        <v>1.7277937000000001</v>
      </c>
    </row>
    <row r="41" spans="1:20" s="2" customFormat="1" x14ac:dyDescent="0.25">
      <c r="A41" s="7" t="s">
        <v>33</v>
      </c>
      <c r="B41" s="44">
        <f t="shared" ref="B41:S41" si="11">B36-B40</f>
        <v>0</v>
      </c>
      <c r="C41" s="44">
        <f t="shared" si="11"/>
        <v>0</v>
      </c>
      <c r="D41" s="44">
        <f t="shared" si="11"/>
        <v>0</v>
      </c>
      <c r="E41" s="44">
        <f t="shared" si="11"/>
        <v>0</v>
      </c>
      <c r="F41" s="44">
        <f t="shared" si="11"/>
        <v>0</v>
      </c>
      <c r="G41" s="44">
        <f t="shared" si="11"/>
        <v>0</v>
      </c>
      <c r="H41" s="44">
        <f t="shared" si="11"/>
        <v>0</v>
      </c>
      <c r="I41" s="44">
        <f t="shared" si="11"/>
        <v>0</v>
      </c>
      <c r="J41" s="44">
        <f t="shared" si="11"/>
        <v>0</v>
      </c>
      <c r="K41" s="44">
        <f t="shared" si="11"/>
        <v>0</v>
      </c>
      <c r="L41" s="44">
        <f t="shared" si="11"/>
        <v>0</v>
      </c>
      <c r="M41" s="44">
        <f t="shared" si="11"/>
        <v>0</v>
      </c>
      <c r="N41" s="44">
        <f>N36-N40</f>
        <v>0</v>
      </c>
      <c r="O41" s="44">
        <f>O36-O40</f>
        <v>0</v>
      </c>
      <c r="P41" s="55">
        <f>P36-P40</f>
        <v>4.1061923570000065</v>
      </c>
      <c r="Q41" s="55">
        <f>Q36-Q40</f>
        <v>0.17346348800000067</v>
      </c>
      <c r="R41" s="55">
        <f>R36-R40</f>
        <v>0.22046409999999783</v>
      </c>
      <c r="S41" s="55">
        <f t="shared" si="11"/>
        <v>0.2473763000000051</v>
      </c>
      <c r="T41" s="55">
        <f>T36-T40</f>
        <v>0.33635720000000124</v>
      </c>
    </row>
    <row r="42" spans="1:20" x14ac:dyDescent="0.25">
      <c r="A42" s="6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58"/>
      <c r="Q42" s="58"/>
      <c r="R42" s="58"/>
      <c r="S42" s="58"/>
      <c r="T42" s="58"/>
    </row>
    <row r="43" spans="1:20" x14ac:dyDescent="0.25">
      <c r="A43" s="6" t="s">
        <v>34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54"/>
      <c r="Q43" s="54"/>
      <c r="R43" s="54">
        <v>2.6799900000000001E-2</v>
      </c>
      <c r="S43" s="54">
        <v>2.2074E-2</v>
      </c>
      <c r="T43" s="32"/>
    </row>
    <row r="44" spans="1:20" x14ac:dyDescent="0.25">
      <c r="A44" s="3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58"/>
      <c r="Q44" s="58"/>
      <c r="R44" s="58"/>
      <c r="S44" s="58"/>
      <c r="T44" s="58"/>
    </row>
    <row r="45" spans="1:20" s="2" customFormat="1" x14ac:dyDescent="0.25">
      <c r="A45" s="7" t="s">
        <v>35</v>
      </c>
      <c r="B45" s="44">
        <f t="shared" ref="B45:S45" si="12">B41+B43</f>
        <v>0</v>
      </c>
      <c r="C45" s="44">
        <f t="shared" si="12"/>
        <v>0</v>
      </c>
      <c r="D45" s="44">
        <f t="shared" si="12"/>
        <v>0</v>
      </c>
      <c r="E45" s="44">
        <f t="shared" si="12"/>
        <v>0</v>
      </c>
      <c r="F45" s="44">
        <f t="shared" si="12"/>
        <v>0</v>
      </c>
      <c r="G45" s="44">
        <f t="shared" si="12"/>
        <v>0</v>
      </c>
      <c r="H45" s="44">
        <f t="shared" si="12"/>
        <v>0</v>
      </c>
      <c r="I45" s="44">
        <f t="shared" si="12"/>
        <v>0</v>
      </c>
      <c r="J45" s="44">
        <f t="shared" si="12"/>
        <v>0</v>
      </c>
      <c r="K45" s="44">
        <f t="shared" si="12"/>
        <v>0</v>
      </c>
      <c r="L45" s="44">
        <f t="shared" si="12"/>
        <v>0</v>
      </c>
      <c r="M45" s="44">
        <f t="shared" si="12"/>
        <v>0</v>
      </c>
      <c r="N45" s="44">
        <f>N41+N43</f>
        <v>0</v>
      </c>
      <c r="O45" s="44">
        <f>O41+O43</f>
        <v>0</v>
      </c>
      <c r="P45" s="55">
        <f>P41+P43</f>
        <v>4.1061923570000065</v>
      </c>
      <c r="Q45" s="55">
        <f>Q41+Q43</f>
        <v>0.17346348800000067</v>
      </c>
      <c r="R45" s="55">
        <f>R41+R43</f>
        <v>0.24726399999999782</v>
      </c>
      <c r="S45" s="55">
        <f t="shared" si="12"/>
        <v>0.26945030000000508</v>
      </c>
      <c r="T45" s="55">
        <f>T41+T43</f>
        <v>0.33635720000000124</v>
      </c>
    </row>
    <row r="46" spans="1:20" x14ac:dyDescent="0.25">
      <c r="A46" s="6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58"/>
      <c r="Q46" s="58"/>
      <c r="R46" s="58"/>
      <c r="S46" s="58"/>
      <c r="T46" s="58"/>
    </row>
    <row r="47" spans="1:20" x14ac:dyDescent="0.25">
      <c r="A47" s="6" t="s">
        <v>36</v>
      </c>
      <c r="B47" s="42"/>
      <c r="C47" s="42"/>
      <c r="D47" s="42"/>
      <c r="E47" s="42"/>
      <c r="F47" s="42"/>
      <c r="G47" s="42"/>
      <c r="H47" s="43"/>
      <c r="I47" s="43"/>
      <c r="J47" s="43"/>
      <c r="K47" s="43"/>
      <c r="L47" s="43"/>
      <c r="M47" s="43"/>
      <c r="N47" s="43"/>
      <c r="O47" s="43"/>
      <c r="P47" s="32">
        <f>0.0839+0.009692</f>
        <v>9.3592000000000009E-2</v>
      </c>
      <c r="Q47" s="32">
        <f>0.0536</f>
        <v>5.3600000000000002E-2</v>
      </c>
      <c r="R47" s="32">
        <v>5.0573E-2</v>
      </c>
      <c r="S47" s="32">
        <v>6.7410999999999999E-2</v>
      </c>
      <c r="T47" s="32">
        <v>0.12626000000000001</v>
      </c>
    </row>
    <row r="48" spans="1:20" x14ac:dyDescent="0.25">
      <c r="A48" s="6" t="s">
        <v>37</v>
      </c>
      <c r="B48" s="42"/>
      <c r="C48" s="42"/>
      <c r="D48" s="42"/>
      <c r="E48" s="42"/>
      <c r="F48" s="42"/>
      <c r="G48" s="42"/>
      <c r="H48" s="43"/>
      <c r="I48" s="43"/>
      <c r="J48" s="43"/>
      <c r="K48" s="43"/>
      <c r="L48" s="43"/>
      <c r="M48" s="43"/>
      <c r="N48" s="43"/>
      <c r="O48" s="43"/>
      <c r="P48" s="32"/>
      <c r="Q48" s="32"/>
      <c r="R48" s="32"/>
      <c r="S48" s="32"/>
      <c r="T48" s="32">
        <f>-0.0223346</f>
        <v>-2.23346E-2</v>
      </c>
    </row>
    <row r="49" spans="1:20" s="2" customFormat="1" x14ac:dyDescent="0.25">
      <c r="A49" s="7" t="s">
        <v>38</v>
      </c>
      <c r="B49" s="44">
        <f t="shared" ref="B49:S49" si="13">SUM(B47:B48)</f>
        <v>0</v>
      </c>
      <c r="C49" s="44">
        <f t="shared" si="13"/>
        <v>0</v>
      </c>
      <c r="D49" s="44">
        <f t="shared" si="13"/>
        <v>0</v>
      </c>
      <c r="E49" s="44">
        <f t="shared" si="13"/>
        <v>0</v>
      </c>
      <c r="F49" s="44">
        <f t="shared" si="13"/>
        <v>0</v>
      </c>
      <c r="G49" s="44">
        <f t="shared" si="13"/>
        <v>0</v>
      </c>
      <c r="H49" s="44">
        <f t="shared" si="13"/>
        <v>0</v>
      </c>
      <c r="I49" s="44">
        <f t="shared" si="13"/>
        <v>0</v>
      </c>
      <c r="J49" s="44">
        <f t="shared" si="13"/>
        <v>0</v>
      </c>
      <c r="K49" s="44">
        <f t="shared" si="13"/>
        <v>0</v>
      </c>
      <c r="L49" s="44">
        <f t="shared" si="13"/>
        <v>0</v>
      </c>
      <c r="M49" s="44">
        <f t="shared" si="13"/>
        <v>0</v>
      </c>
      <c r="N49" s="44">
        <f>SUM(N47:N48)</f>
        <v>0</v>
      </c>
      <c r="O49" s="44">
        <f>SUM(O47:O48)</f>
        <v>0</v>
      </c>
      <c r="P49" s="55">
        <f>SUM(P47:P48)</f>
        <v>9.3592000000000009E-2</v>
      </c>
      <c r="Q49" s="55">
        <f>SUM(Q47:Q48)</f>
        <v>5.3600000000000002E-2</v>
      </c>
      <c r="R49" s="55">
        <f>SUM(R47:R48)</f>
        <v>5.0573E-2</v>
      </c>
      <c r="S49" s="55">
        <f t="shared" si="13"/>
        <v>6.7410999999999999E-2</v>
      </c>
      <c r="T49" s="55">
        <f>SUM(T47:T48)</f>
        <v>0.10392540000000001</v>
      </c>
    </row>
    <row r="50" spans="1:20" x14ac:dyDescent="0.25">
      <c r="A50" s="3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58"/>
      <c r="Q50" s="58"/>
      <c r="R50" s="58"/>
      <c r="S50" s="58"/>
      <c r="T50" s="58"/>
    </row>
    <row r="51" spans="1:20" s="2" customFormat="1" x14ac:dyDescent="0.25">
      <c r="A51" s="69" t="s">
        <v>39</v>
      </c>
      <c r="B51" s="44">
        <f t="shared" ref="B51:S51" si="14">B45-B49</f>
        <v>0</v>
      </c>
      <c r="C51" s="44">
        <f t="shared" si="14"/>
        <v>0</v>
      </c>
      <c r="D51" s="44">
        <f t="shared" si="14"/>
        <v>0</v>
      </c>
      <c r="E51" s="44">
        <f t="shared" si="14"/>
        <v>0</v>
      </c>
      <c r="F51" s="44">
        <f t="shared" si="14"/>
        <v>0</v>
      </c>
      <c r="G51" s="44">
        <f t="shared" si="14"/>
        <v>0</v>
      </c>
      <c r="H51" s="44">
        <f t="shared" si="14"/>
        <v>0</v>
      </c>
      <c r="I51" s="44">
        <f t="shared" si="14"/>
        <v>0</v>
      </c>
      <c r="J51" s="44">
        <f t="shared" si="14"/>
        <v>0</v>
      </c>
      <c r="K51" s="44">
        <f t="shared" si="14"/>
        <v>0</v>
      </c>
      <c r="L51" s="44">
        <f t="shared" si="14"/>
        <v>0</v>
      </c>
      <c r="M51" s="44">
        <f t="shared" si="14"/>
        <v>0</v>
      </c>
      <c r="N51" s="44">
        <f>N45-N49</f>
        <v>0</v>
      </c>
      <c r="O51" s="44">
        <f>O45-O49</f>
        <v>0</v>
      </c>
      <c r="P51" s="56">
        <f>P45-P49</f>
        <v>4.0126003570000064</v>
      </c>
      <c r="Q51" s="56">
        <f>Q45-Q49</f>
        <v>0.11986348800000066</v>
      </c>
      <c r="R51" s="56">
        <f>R45-R49</f>
        <v>0.19669099999999781</v>
      </c>
      <c r="S51" s="56">
        <f t="shared" si="14"/>
        <v>0.20203930000000508</v>
      </c>
      <c r="T51" s="56">
        <f>T45-T49</f>
        <v>0.23243180000000124</v>
      </c>
    </row>
    <row r="52" spans="1:20" s="2" customFormat="1" x14ac:dyDescent="0.25">
      <c r="A52" s="6" t="s">
        <v>40</v>
      </c>
      <c r="B52" s="42"/>
      <c r="C52" s="42"/>
      <c r="D52" s="42"/>
      <c r="E52" s="42"/>
      <c r="F52" s="42"/>
      <c r="G52" s="42"/>
      <c r="H52" s="43"/>
      <c r="I52" s="43"/>
      <c r="J52" s="43"/>
      <c r="K52" s="43"/>
      <c r="L52" s="43"/>
      <c r="M52" s="43"/>
      <c r="N52" s="42"/>
      <c r="O52" s="42"/>
      <c r="P52" s="32"/>
      <c r="Q52" s="32"/>
      <c r="R52" s="32"/>
      <c r="S52" s="32"/>
      <c r="T52" s="32"/>
    </row>
    <row r="53" spans="1:20" s="2" customFormat="1" x14ac:dyDescent="0.25">
      <c r="A53" s="69" t="s">
        <v>41</v>
      </c>
      <c r="B53" s="44">
        <f t="shared" ref="B53:S53" si="15">B51-B52</f>
        <v>0</v>
      </c>
      <c r="C53" s="44">
        <f t="shared" si="15"/>
        <v>0</v>
      </c>
      <c r="D53" s="44">
        <f t="shared" si="15"/>
        <v>0</v>
      </c>
      <c r="E53" s="44">
        <f t="shared" si="15"/>
        <v>0</v>
      </c>
      <c r="F53" s="44">
        <f t="shared" si="15"/>
        <v>0</v>
      </c>
      <c r="G53" s="44">
        <f t="shared" si="15"/>
        <v>0</v>
      </c>
      <c r="H53" s="44">
        <f t="shared" si="15"/>
        <v>0</v>
      </c>
      <c r="I53" s="44">
        <f t="shared" si="15"/>
        <v>0</v>
      </c>
      <c r="J53" s="44">
        <f t="shared" si="15"/>
        <v>0</v>
      </c>
      <c r="K53" s="44">
        <f t="shared" si="15"/>
        <v>0</v>
      </c>
      <c r="L53" s="44">
        <f t="shared" si="15"/>
        <v>0</v>
      </c>
      <c r="M53" s="44">
        <f t="shared" si="15"/>
        <v>0</v>
      </c>
      <c r="N53" s="44">
        <f t="shared" si="15"/>
        <v>0</v>
      </c>
      <c r="O53" s="44">
        <f t="shared" si="15"/>
        <v>0</v>
      </c>
      <c r="P53" s="56">
        <f t="shared" si="15"/>
        <v>4.0126003570000064</v>
      </c>
      <c r="Q53" s="56">
        <f>Q51-Q52</f>
        <v>0.11986348800000066</v>
      </c>
      <c r="R53" s="56">
        <f>R51-R52</f>
        <v>0.19669099999999781</v>
      </c>
      <c r="S53" s="56">
        <f t="shared" si="15"/>
        <v>0.20203930000000508</v>
      </c>
      <c r="T53" s="56">
        <f>T51-T52</f>
        <v>0.23243180000000124</v>
      </c>
    </row>
    <row r="54" spans="1:20" x14ac:dyDescent="0.25">
      <c r="A54" s="6" t="s">
        <v>42</v>
      </c>
      <c r="B54" s="42"/>
      <c r="C54" s="42"/>
      <c r="D54" s="42"/>
      <c r="E54" s="42"/>
      <c r="F54" s="42"/>
      <c r="G54" s="42"/>
      <c r="H54" s="43"/>
      <c r="I54" s="43"/>
      <c r="J54" s="43"/>
      <c r="K54" s="43"/>
      <c r="L54" s="43"/>
      <c r="M54" s="43"/>
      <c r="N54" s="42"/>
      <c r="O54" s="42"/>
      <c r="P54" s="32">
        <f>0.894375+0.115151</f>
        <v>1.0095260000000001</v>
      </c>
      <c r="Q54" s="32"/>
      <c r="R54" s="32"/>
      <c r="S54" s="32">
        <f>(0.1490625+0.0230302)</f>
        <v>0.17209269999999999</v>
      </c>
      <c r="T54" s="32">
        <f>(0.1490625+0.0241854)</f>
        <v>0.17324789999999998</v>
      </c>
    </row>
    <row r="55" spans="1:20" x14ac:dyDescent="0.25">
      <c r="A55" s="71" t="s">
        <v>43</v>
      </c>
      <c r="B55" s="42"/>
      <c r="C55" s="42"/>
      <c r="D55" s="42"/>
      <c r="E55" s="42"/>
      <c r="F55" s="42"/>
      <c r="G55" s="42"/>
      <c r="H55" s="43"/>
      <c r="I55" s="43"/>
      <c r="J55" s="43"/>
      <c r="K55" s="43"/>
      <c r="L55" s="43"/>
      <c r="M55" s="43"/>
      <c r="N55" s="42"/>
      <c r="O55" s="42"/>
      <c r="P55" s="32"/>
      <c r="Q55" s="32"/>
      <c r="R55" s="32"/>
      <c r="S55" s="32"/>
      <c r="T55" s="32"/>
    </row>
    <row r="56" spans="1:20" x14ac:dyDescent="0.25">
      <c r="A56" s="71" t="s">
        <v>44</v>
      </c>
      <c r="B56" s="42"/>
      <c r="C56" s="42"/>
      <c r="D56" s="42"/>
      <c r="E56" s="42"/>
      <c r="F56" s="42"/>
      <c r="G56" s="42"/>
      <c r="H56" s="43"/>
      <c r="I56" s="43"/>
      <c r="J56" s="43"/>
      <c r="K56" s="43"/>
      <c r="L56" s="43"/>
      <c r="M56" s="43"/>
      <c r="N56" s="42"/>
      <c r="O56" s="42"/>
      <c r="P56" s="32">
        <f>-0.0316145</f>
        <v>-3.1614499999999997E-2</v>
      </c>
      <c r="Q56" s="32">
        <f>1.0228725-0.0065896</f>
        <v>1.0162829</v>
      </c>
      <c r="R56" s="32"/>
      <c r="S56" s="32"/>
      <c r="T56" s="32">
        <v>9.2884000000000005E-3</v>
      </c>
    </row>
    <row r="57" spans="1:20" x14ac:dyDescent="0.25">
      <c r="A57" s="67" t="s">
        <v>45</v>
      </c>
      <c r="B57" s="42"/>
      <c r="C57" s="42"/>
      <c r="D57" s="42"/>
      <c r="E57" s="42"/>
      <c r="F57" s="42"/>
      <c r="G57" s="42"/>
      <c r="H57" s="43"/>
      <c r="I57" s="43"/>
      <c r="J57" s="43"/>
      <c r="K57" s="43"/>
      <c r="L57" s="43"/>
      <c r="M57" s="43"/>
      <c r="N57" s="42"/>
      <c r="O57" s="42"/>
      <c r="P57" s="32"/>
      <c r="Q57" s="32"/>
      <c r="R57" s="32"/>
      <c r="S57" s="32"/>
      <c r="T57" s="32"/>
    </row>
    <row r="58" spans="1:20" x14ac:dyDescent="0.25">
      <c r="A58" s="6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58"/>
      <c r="Q58" s="58"/>
      <c r="R58" s="58"/>
      <c r="S58" s="58"/>
      <c r="T58" s="58"/>
    </row>
    <row r="59" spans="1:20" x14ac:dyDescent="0.25">
      <c r="A59" s="6" t="s">
        <v>46</v>
      </c>
      <c r="B59" s="44">
        <f>B53-B54-B55+B56+B57</f>
        <v>0</v>
      </c>
      <c r="C59" s="44">
        <f t="shared" ref="C59:H59" si="16">C53-C54-C55+C56+C57</f>
        <v>0</v>
      </c>
      <c r="D59" s="44">
        <f t="shared" si="16"/>
        <v>0</v>
      </c>
      <c r="E59" s="44">
        <f t="shared" si="16"/>
        <v>0</v>
      </c>
      <c r="F59" s="44">
        <f t="shared" si="16"/>
        <v>0</v>
      </c>
      <c r="G59" s="44">
        <f t="shared" si="16"/>
        <v>0</v>
      </c>
      <c r="H59" s="44">
        <f t="shared" si="16"/>
        <v>0</v>
      </c>
      <c r="I59" s="44">
        <f t="shared" ref="I59:S59" si="17">I51-I52-I54-I55+I56+I57</f>
        <v>0</v>
      </c>
      <c r="J59" s="44">
        <f t="shared" si="17"/>
        <v>0</v>
      </c>
      <c r="K59" s="44">
        <f t="shared" si="17"/>
        <v>0</v>
      </c>
      <c r="L59" s="44">
        <f t="shared" si="17"/>
        <v>0</v>
      </c>
      <c r="M59" s="44">
        <f t="shared" si="17"/>
        <v>0</v>
      </c>
      <c r="N59" s="44">
        <f t="shared" si="17"/>
        <v>0</v>
      </c>
      <c r="O59" s="44">
        <f t="shared" si="17"/>
        <v>0</v>
      </c>
      <c r="P59" s="55">
        <f t="shared" si="17"/>
        <v>2.9714598570000064</v>
      </c>
      <c r="Q59" s="55">
        <f>Q51-Q52-Q54-Q55+Q56+Q57</f>
        <v>1.1361463880000007</v>
      </c>
      <c r="R59" s="55">
        <f t="shared" si="17"/>
        <v>0.19669099999999781</v>
      </c>
      <c r="S59" s="55">
        <f t="shared" si="17"/>
        <v>2.9946600000005097E-2</v>
      </c>
      <c r="T59" s="55">
        <f>T51-T52-T54-T55+T56+T57</f>
        <v>6.8472300000001263E-2</v>
      </c>
    </row>
    <row r="60" spans="1:20" ht="14.4" thickBot="1" x14ac:dyDescent="0.3">
      <c r="A60" s="8" t="s">
        <v>47</v>
      </c>
      <c r="B60" s="47">
        <f t="shared" ref="B60:S60" si="18">B51+B28+B29-B54-B55</f>
        <v>0</v>
      </c>
      <c r="C60" s="47">
        <f t="shared" si="18"/>
        <v>0</v>
      </c>
      <c r="D60" s="47">
        <f t="shared" si="18"/>
        <v>0</v>
      </c>
      <c r="E60" s="47">
        <f t="shared" si="18"/>
        <v>0</v>
      </c>
      <c r="F60" s="47">
        <f t="shared" si="18"/>
        <v>0</v>
      </c>
      <c r="G60" s="47">
        <f t="shared" si="18"/>
        <v>0</v>
      </c>
      <c r="H60" s="47">
        <f t="shared" si="18"/>
        <v>0</v>
      </c>
      <c r="I60" s="47">
        <f t="shared" si="18"/>
        <v>0</v>
      </c>
      <c r="J60" s="47">
        <f t="shared" si="18"/>
        <v>0</v>
      </c>
      <c r="K60" s="47">
        <f t="shared" si="18"/>
        <v>0</v>
      </c>
      <c r="L60" s="47">
        <f t="shared" si="18"/>
        <v>0</v>
      </c>
      <c r="M60" s="47">
        <f t="shared" si="18"/>
        <v>0</v>
      </c>
      <c r="N60" s="47">
        <f t="shared" si="18"/>
        <v>0</v>
      </c>
      <c r="O60" s="47">
        <f t="shared" si="18"/>
        <v>0</v>
      </c>
      <c r="P60" s="60">
        <f t="shared" si="18"/>
        <v>3.2104273570000066</v>
      </c>
      <c r="Q60" s="60">
        <f>Q51+Q28+Q29-Q54-Q55</f>
        <v>0.35741258800000064</v>
      </c>
      <c r="R60" s="60">
        <f t="shared" si="18"/>
        <v>0.43938189999999777</v>
      </c>
      <c r="S60" s="60">
        <f t="shared" si="18"/>
        <v>0.27745010000000508</v>
      </c>
      <c r="T60" s="60">
        <f>T51+T28+T29-T54-T55</f>
        <v>0.33997820000000123</v>
      </c>
    </row>
    <row r="61" spans="1:20" x14ac:dyDescent="0.25">
      <c r="A61" s="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33"/>
      <c r="Q61" s="33"/>
      <c r="R61" s="33"/>
      <c r="S61" s="33"/>
      <c r="T61" s="33"/>
    </row>
    <row r="62" spans="1:20" ht="14.4" thickBot="1" x14ac:dyDescent="0.3">
      <c r="A62" s="3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33"/>
      <c r="Q62" s="33"/>
      <c r="R62" s="33"/>
      <c r="S62" s="33"/>
      <c r="T62" s="33"/>
    </row>
    <row r="63" spans="1:20" ht="17.399999999999999" x14ac:dyDescent="0.3">
      <c r="A63" s="10" t="s">
        <v>48</v>
      </c>
      <c r="B63" s="11"/>
      <c r="C63" s="11"/>
      <c r="D63" s="11"/>
      <c r="E63" s="11"/>
      <c r="F63" s="11"/>
      <c r="G63" s="11"/>
      <c r="H63" s="11"/>
      <c r="I63" s="11"/>
      <c r="J63" s="30" t="e">
        <f t="shared" ref="J63:O63" si="19">J1</f>
        <v>#REF!</v>
      </c>
      <c r="K63" s="30" t="e">
        <f t="shared" si="19"/>
        <v>#REF!</v>
      </c>
      <c r="L63" s="30" t="e">
        <f t="shared" si="19"/>
        <v>#REF!</v>
      </c>
      <c r="M63" s="30" t="e">
        <f t="shared" si="19"/>
        <v>#REF!</v>
      </c>
      <c r="N63" s="30" t="e">
        <f t="shared" si="19"/>
        <v>#REF!</v>
      </c>
      <c r="O63" s="30" t="e">
        <f t="shared" si="19"/>
        <v>#REF!</v>
      </c>
      <c r="P63" s="66">
        <v>42825</v>
      </c>
      <c r="Q63" s="66">
        <v>43190</v>
      </c>
      <c r="R63" s="66">
        <v>43555</v>
      </c>
      <c r="S63" s="66">
        <v>43921</v>
      </c>
      <c r="T63" s="66">
        <v>44286</v>
      </c>
    </row>
    <row r="64" spans="1:20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34"/>
      <c r="Q64" s="34"/>
      <c r="R64" s="34"/>
      <c r="S64" s="34"/>
      <c r="T64" s="34"/>
    </row>
    <row r="65" spans="1:20" ht="14.4" thickBot="1" x14ac:dyDescent="0.3">
      <c r="A65" s="8" t="s">
        <v>49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35"/>
      <c r="Q65" s="35"/>
      <c r="R65" s="35"/>
      <c r="S65" s="35"/>
      <c r="T65" s="35"/>
    </row>
    <row r="66" spans="1:20" x14ac:dyDescent="0.25">
      <c r="A66" s="6" t="s">
        <v>50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53">
        <v>7.1427822990000003</v>
      </c>
      <c r="Q66" s="53">
        <v>7.1472064990000002</v>
      </c>
      <c r="R66" s="53">
        <v>7.3256861999999998</v>
      </c>
      <c r="S66" s="53">
        <v>7.8055211</v>
      </c>
      <c r="T66" s="53">
        <v>7.9337</v>
      </c>
    </row>
    <row r="67" spans="1:20" x14ac:dyDescent="0.25">
      <c r="A67" s="6" t="s">
        <v>51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54">
        <v>-2.6932999999999998</v>
      </c>
      <c r="Q67" s="54">
        <v>-2.6543999999999999</v>
      </c>
      <c r="R67" s="54">
        <v>-2.6154000000000002</v>
      </c>
      <c r="S67" s="54">
        <v>-2.5764999999999998</v>
      </c>
      <c r="T67" s="54">
        <v>-2.5375000000000001</v>
      </c>
    </row>
    <row r="68" spans="1:20" s="2" customFormat="1" x14ac:dyDescent="0.25">
      <c r="A68" s="71" t="s">
        <v>52</v>
      </c>
      <c r="B68" s="48">
        <f t="shared" ref="B68:S68" si="20">B66+B67</f>
        <v>0</v>
      </c>
      <c r="C68" s="48">
        <f t="shared" si="20"/>
        <v>0</v>
      </c>
      <c r="D68" s="48">
        <f t="shared" si="20"/>
        <v>0</v>
      </c>
      <c r="E68" s="48">
        <f t="shared" si="20"/>
        <v>0</v>
      </c>
      <c r="F68" s="48">
        <f t="shared" si="20"/>
        <v>0</v>
      </c>
      <c r="G68" s="48">
        <f t="shared" si="20"/>
        <v>0</v>
      </c>
      <c r="H68" s="48">
        <f t="shared" si="20"/>
        <v>0</v>
      </c>
      <c r="I68" s="48">
        <f t="shared" si="20"/>
        <v>0</v>
      </c>
      <c r="J68" s="48">
        <f t="shared" si="20"/>
        <v>0</v>
      </c>
      <c r="K68" s="48">
        <f t="shared" si="20"/>
        <v>0</v>
      </c>
      <c r="L68" s="48">
        <f t="shared" si="20"/>
        <v>0</v>
      </c>
      <c r="M68" s="48">
        <f t="shared" si="20"/>
        <v>0</v>
      </c>
      <c r="N68" s="48">
        <f t="shared" si="20"/>
        <v>0</v>
      </c>
      <c r="O68" s="48">
        <f>O66+O67</f>
        <v>0</v>
      </c>
      <c r="P68" s="36">
        <f t="shared" si="20"/>
        <v>4.4494822990000005</v>
      </c>
      <c r="Q68" s="36">
        <f t="shared" si="20"/>
        <v>4.4928064990000003</v>
      </c>
      <c r="R68" s="36">
        <f t="shared" si="20"/>
        <v>4.7102861999999996</v>
      </c>
      <c r="S68" s="36">
        <f t="shared" si="20"/>
        <v>5.2290211000000006</v>
      </c>
      <c r="T68" s="36">
        <f>T66+T67</f>
        <v>5.3962000000000003</v>
      </c>
    </row>
    <row r="69" spans="1:20" x14ac:dyDescent="0.25">
      <c r="A69" s="6" t="s">
        <v>53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32"/>
      <c r="Q69" s="32"/>
      <c r="R69" s="32"/>
      <c r="S69" s="32"/>
      <c r="T69" s="32"/>
    </row>
    <row r="70" spans="1:20" x14ac:dyDescent="0.25">
      <c r="A70" s="6" t="s">
        <v>54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32"/>
      <c r="Q70" s="32"/>
      <c r="R70" s="32"/>
      <c r="S70" s="32"/>
      <c r="T70" s="32"/>
    </row>
    <row r="71" spans="1:20" x14ac:dyDescent="0.25">
      <c r="A71" s="71" t="s">
        <v>55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32"/>
      <c r="Q71" s="32"/>
      <c r="R71" s="32"/>
      <c r="S71" s="32"/>
      <c r="T71" s="32"/>
    </row>
    <row r="72" spans="1:20" s="2" customFormat="1" x14ac:dyDescent="0.25">
      <c r="A72" s="6" t="s">
        <v>56</v>
      </c>
      <c r="B72" s="48">
        <f t="shared" ref="B72:S72" si="21">SUM(B68:B71)</f>
        <v>0</v>
      </c>
      <c r="C72" s="48">
        <f t="shared" si="21"/>
        <v>0</v>
      </c>
      <c r="D72" s="48">
        <f t="shared" si="21"/>
        <v>0</v>
      </c>
      <c r="E72" s="48">
        <f t="shared" si="21"/>
        <v>0</v>
      </c>
      <c r="F72" s="48">
        <f t="shared" si="21"/>
        <v>0</v>
      </c>
      <c r="G72" s="48">
        <f t="shared" si="21"/>
        <v>0</v>
      </c>
      <c r="H72" s="48">
        <f t="shared" si="21"/>
        <v>0</v>
      </c>
      <c r="I72" s="48">
        <f t="shared" si="21"/>
        <v>0</v>
      </c>
      <c r="J72" s="48">
        <f t="shared" si="21"/>
        <v>0</v>
      </c>
      <c r="K72" s="48">
        <f t="shared" si="21"/>
        <v>0</v>
      </c>
      <c r="L72" s="48">
        <f t="shared" si="21"/>
        <v>0</v>
      </c>
      <c r="M72" s="48">
        <f t="shared" si="21"/>
        <v>0</v>
      </c>
      <c r="N72" s="48">
        <f t="shared" si="21"/>
        <v>0</v>
      </c>
      <c r="O72" s="48">
        <f>SUM(O68:O71)</f>
        <v>0</v>
      </c>
      <c r="P72" s="36">
        <f t="shared" si="21"/>
        <v>4.4494822990000005</v>
      </c>
      <c r="Q72" s="36">
        <f t="shared" si="21"/>
        <v>4.4928064990000003</v>
      </c>
      <c r="R72" s="36">
        <f t="shared" si="21"/>
        <v>4.7102861999999996</v>
      </c>
      <c r="S72" s="36">
        <f t="shared" si="21"/>
        <v>5.2290211000000006</v>
      </c>
      <c r="T72" s="36">
        <f>SUM(T68:T71)</f>
        <v>5.3962000000000003</v>
      </c>
    </row>
    <row r="73" spans="1:20" x14ac:dyDescent="0.25">
      <c r="A73" s="6" t="s">
        <v>57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54">
        <v>-0.84798606499999996</v>
      </c>
      <c r="Q73" s="54">
        <v>-1.1244822649999999</v>
      </c>
      <c r="R73" s="54">
        <v>-1.4061203</v>
      </c>
      <c r="S73" s="54">
        <v>-1.6925709</v>
      </c>
      <c r="T73" s="54">
        <v>-1.9733651999999999</v>
      </c>
    </row>
    <row r="74" spans="1:20" s="2" customFormat="1" x14ac:dyDescent="0.25">
      <c r="A74" s="6" t="s">
        <v>58</v>
      </c>
      <c r="B74" s="44">
        <f t="shared" ref="B74:S74" si="22">B72+B73</f>
        <v>0</v>
      </c>
      <c r="C74" s="44">
        <f t="shared" si="22"/>
        <v>0</v>
      </c>
      <c r="D74" s="44">
        <f t="shared" si="22"/>
        <v>0</v>
      </c>
      <c r="E74" s="44">
        <f t="shared" si="22"/>
        <v>0</v>
      </c>
      <c r="F74" s="44">
        <f t="shared" si="22"/>
        <v>0</v>
      </c>
      <c r="G74" s="44">
        <f t="shared" si="22"/>
        <v>0</v>
      </c>
      <c r="H74" s="44">
        <f t="shared" si="22"/>
        <v>0</v>
      </c>
      <c r="I74" s="44">
        <f t="shared" si="22"/>
        <v>0</v>
      </c>
      <c r="J74" s="44">
        <f t="shared" si="22"/>
        <v>0</v>
      </c>
      <c r="K74" s="44">
        <f t="shared" si="22"/>
        <v>0</v>
      </c>
      <c r="L74" s="44">
        <f t="shared" si="22"/>
        <v>0</v>
      </c>
      <c r="M74" s="44">
        <f t="shared" si="22"/>
        <v>0</v>
      </c>
      <c r="N74" s="44">
        <f t="shared" si="22"/>
        <v>0</v>
      </c>
      <c r="O74" s="44">
        <f>O72+O73</f>
        <v>0</v>
      </c>
      <c r="P74" s="55">
        <f t="shared" si="22"/>
        <v>3.6014962340000007</v>
      </c>
      <c r="Q74" s="55">
        <f t="shared" si="22"/>
        <v>3.3683242340000001</v>
      </c>
      <c r="R74" s="55">
        <f t="shared" si="22"/>
        <v>3.3041658999999997</v>
      </c>
      <c r="S74" s="55">
        <f t="shared" si="22"/>
        <v>3.5364502000000009</v>
      </c>
      <c r="T74" s="55">
        <f>T72+T73</f>
        <v>3.4228348000000004</v>
      </c>
    </row>
    <row r="75" spans="1:20" s="2" customFormat="1" x14ac:dyDescent="0.25">
      <c r="A75" s="6"/>
      <c r="B75" s="45"/>
      <c r="C75" s="45"/>
      <c r="D75" s="45"/>
      <c r="E75" s="45"/>
      <c r="F75" s="45"/>
      <c r="G75" s="45"/>
      <c r="H75" s="45"/>
      <c r="I75" s="45"/>
      <c r="J75" s="49"/>
      <c r="K75" s="49"/>
      <c r="L75" s="49"/>
      <c r="M75" s="49"/>
      <c r="N75" s="49"/>
      <c r="O75" s="49"/>
      <c r="P75" s="61"/>
      <c r="Q75" s="61"/>
      <c r="R75" s="61"/>
      <c r="S75" s="61"/>
      <c r="T75" s="61"/>
    </row>
    <row r="76" spans="1:20" x14ac:dyDescent="0.25">
      <c r="A76" s="6" t="s">
        <v>59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32"/>
      <c r="Q76" s="32"/>
      <c r="R76" s="32"/>
      <c r="S76" s="32"/>
      <c r="T76" s="32"/>
    </row>
    <row r="77" spans="1:20" x14ac:dyDescent="0.25">
      <c r="A77" s="6" t="s">
        <v>60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32"/>
      <c r="Q77" s="32"/>
      <c r="R77" s="32"/>
      <c r="S77" s="32"/>
      <c r="T77" s="32"/>
    </row>
    <row r="78" spans="1:20" x14ac:dyDescent="0.25">
      <c r="A78" s="6" t="s">
        <v>61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32"/>
      <c r="Q78" s="32"/>
      <c r="R78" s="32"/>
      <c r="S78" s="32"/>
      <c r="T78" s="32"/>
    </row>
    <row r="79" spans="1:20" x14ac:dyDescent="0.25">
      <c r="A79" s="6" t="s">
        <v>62</v>
      </c>
      <c r="B79" s="44">
        <f t="shared" ref="B79:S79" si="23">SUM(B76:B78)</f>
        <v>0</v>
      </c>
      <c r="C79" s="44">
        <f t="shared" si="23"/>
        <v>0</v>
      </c>
      <c r="D79" s="44">
        <f t="shared" si="23"/>
        <v>0</v>
      </c>
      <c r="E79" s="44">
        <f t="shared" si="23"/>
        <v>0</v>
      </c>
      <c r="F79" s="44">
        <f t="shared" si="23"/>
        <v>0</v>
      </c>
      <c r="G79" s="44">
        <f t="shared" si="23"/>
        <v>0</v>
      </c>
      <c r="H79" s="44">
        <f t="shared" si="23"/>
        <v>0</v>
      </c>
      <c r="I79" s="44">
        <f t="shared" si="23"/>
        <v>0</v>
      </c>
      <c r="J79" s="44">
        <f t="shared" si="23"/>
        <v>0</v>
      </c>
      <c r="K79" s="44">
        <f t="shared" si="23"/>
        <v>0</v>
      </c>
      <c r="L79" s="44">
        <f t="shared" si="23"/>
        <v>0</v>
      </c>
      <c r="M79" s="44">
        <f t="shared" si="23"/>
        <v>0</v>
      </c>
      <c r="N79" s="44">
        <f t="shared" si="23"/>
        <v>0</v>
      </c>
      <c r="O79" s="44">
        <f>SUM(O76:O78)</f>
        <v>0</v>
      </c>
      <c r="P79" s="55">
        <f t="shared" si="23"/>
        <v>0</v>
      </c>
      <c r="Q79" s="55">
        <f t="shared" si="23"/>
        <v>0</v>
      </c>
      <c r="R79" s="55">
        <f t="shared" si="23"/>
        <v>0</v>
      </c>
      <c r="S79" s="55">
        <f t="shared" si="23"/>
        <v>0</v>
      </c>
      <c r="T79" s="55">
        <f>SUM(T76:T78)</f>
        <v>0</v>
      </c>
    </row>
    <row r="80" spans="1:20" s="2" customFormat="1" x14ac:dyDescent="0.25">
      <c r="A80" s="7" t="s">
        <v>63</v>
      </c>
      <c r="B80" s="44">
        <f t="shared" ref="B80:S80" si="24">B79+B74</f>
        <v>0</v>
      </c>
      <c r="C80" s="44">
        <f t="shared" si="24"/>
        <v>0</v>
      </c>
      <c r="D80" s="44">
        <f t="shared" si="24"/>
        <v>0</v>
      </c>
      <c r="E80" s="44">
        <f t="shared" si="24"/>
        <v>0</v>
      </c>
      <c r="F80" s="44">
        <f t="shared" si="24"/>
        <v>0</v>
      </c>
      <c r="G80" s="44">
        <f t="shared" si="24"/>
        <v>0</v>
      </c>
      <c r="H80" s="44">
        <f t="shared" si="24"/>
        <v>0</v>
      </c>
      <c r="I80" s="44">
        <f t="shared" si="24"/>
        <v>0</v>
      </c>
      <c r="J80" s="44">
        <f t="shared" si="24"/>
        <v>0</v>
      </c>
      <c r="K80" s="44">
        <f t="shared" si="24"/>
        <v>0</v>
      </c>
      <c r="L80" s="44">
        <f t="shared" si="24"/>
        <v>0</v>
      </c>
      <c r="M80" s="44">
        <f t="shared" si="24"/>
        <v>0</v>
      </c>
      <c r="N80" s="44">
        <f t="shared" si="24"/>
        <v>0</v>
      </c>
      <c r="O80" s="44">
        <f>O79+O74</f>
        <v>0</v>
      </c>
      <c r="P80" s="55">
        <f t="shared" si="24"/>
        <v>3.6014962340000007</v>
      </c>
      <c r="Q80" s="55">
        <f t="shared" si="24"/>
        <v>3.3683242340000001</v>
      </c>
      <c r="R80" s="55">
        <f t="shared" si="24"/>
        <v>3.3041658999999997</v>
      </c>
      <c r="S80" s="55">
        <f t="shared" si="24"/>
        <v>3.5364502000000009</v>
      </c>
      <c r="T80" s="55">
        <f>T79+T74</f>
        <v>3.4228348000000004</v>
      </c>
    </row>
    <row r="81" spans="1:20" x14ac:dyDescent="0.25">
      <c r="A81" s="6" t="s">
        <v>64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58"/>
      <c r="Q81" s="58"/>
      <c r="R81" s="58"/>
      <c r="S81" s="58"/>
      <c r="T81" s="58"/>
    </row>
    <row r="82" spans="1:20" x14ac:dyDescent="0.25">
      <c r="A82" s="6" t="s">
        <v>65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32">
        <v>0.35896250000000002</v>
      </c>
      <c r="Q82" s="32">
        <v>0.28077933799999999</v>
      </c>
      <c r="R82" s="32">
        <v>0.79263289999999997</v>
      </c>
      <c r="S82" s="32">
        <v>0.49092380000000002</v>
      </c>
      <c r="T82" s="32">
        <v>0.28577999999999998</v>
      </c>
    </row>
    <row r="83" spans="1:20" x14ac:dyDescent="0.25">
      <c r="A83" s="6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62"/>
      <c r="Q83" s="62"/>
      <c r="R83" s="62"/>
      <c r="S83" s="62"/>
      <c r="T83" s="62"/>
    </row>
    <row r="84" spans="1:20" x14ac:dyDescent="0.25">
      <c r="A84" s="26" t="s">
        <v>119</v>
      </c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62"/>
      <c r="Q84" s="62"/>
      <c r="R84" s="62"/>
      <c r="S84" s="62"/>
      <c r="T84" s="62"/>
    </row>
    <row r="85" spans="1:20" x14ac:dyDescent="0.25">
      <c r="A85" s="6" t="s">
        <v>66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32">
        <v>5.6093544299999998</v>
      </c>
      <c r="Q85" s="32">
        <v>4.0189792999999998</v>
      </c>
      <c r="R85" s="32">
        <v>4.4467970000000001</v>
      </c>
      <c r="S85" s="32">
        <v>6.5740119999999997</v>
      </c>
      <c r="T85" s="32">
        <v>9.5911000000000008</v>
      </c>
    </row>
    <row r="86" spans="1:20" x14ac:dyDescent="0.25">
      <c r="A86" s="71" t="s">
        <v>67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32">
        <v>0.28444209999999998</v>
      </c>
      <c r="Q86" s="32">
        <v>7.3520699999999994E-2</v>
      </c>
      <c r="R86" s="32">
        <v>0.18645210000000001</v>
      </c>
      <c r="S86" s="32">
        <v>0.2124431</v>
      </c>
      <c r="T86" s="32">
        <v>0</v>
      </c>
    </row>
    <row r="87" spans="1:20" s="27" customFormat="1" x14ac:dyDescent="0.25">
      <c r="A87" s="72" t="s">
        <v>68</v>
      </c>
      <c r="B87" s="44">
        <f>SUM(B84:B86)</f>
        <v>0</v>
      </c>
      <c r="C87" s="44">
        <f t="shared" ref="C87:S87" si="25">SUM(C84:C86)</f>
        <v>0</v>
      </c>
      <c r="D87" s="44">
        <f t="shared" si="25"/>
        <v>0</v>
      </c>
      <c r="E87" s="44">
        <f t="shared" si="25"/>
        <v>0</v>
      </c>
      <c r="F87" s="44">
        <f t="shared" si="25"/>
        <v>0</v>
      </c>
      <c r="G87" s="44">
        <f t="shared" si="25"/>
        <v>0</v>
      </c>
      <c r="H87" s="44">
        <f t="shared" si="25"/>
        <v>0</v>
      </c>
      <c r="I87" s="44">
        <f t="shared" si="25"/>
        <v>0</v>
      </c>
      <c r="J87" s="44">
        <f t="shared" si="25"/>
        <v>0</v>
      </c>
      <c r="K87" s="44">
        <f t="shared" si="25"/>
        <v>0</v>
      </c>
      <c r="L87" s="44">
        <f t="shared" si="25"/>
        <v>0</v>
      </c>
      <c r="M87" s="44">
        <f t="shared" si="25"/>
        <v>0</v>
      </c>
      <c r="N87" s="44">
        <f t="shared" si="25"/>
        <v>0</v>
      </c>
      <c r="O87" s="44">
        <f>SUM(O84:O86)</f>
        <v>0</v>
      </c>
      <c r="P87" s="63">
        <f t="shared" si="25"/>
        <v>5.8937965299999995</v>
      </c>
      <c r="Q87" s="63">
        <f t="shared" si="25"/>
        <v>4.0924999999999994</v>
      </c>
      <c r="R87" s="63">
        <f t="shared" si="25"/>
        <v>4.6332491000000005</v>
      </c>
      <c r="S87" s="63">
        <f t="shared" si="25"/>
        <v>6.7864550999999995</v>
      </c>
      <c r="T87" s="63">
        <f>SUM(T84:T86)</f>
        <v>9.5911000000000008</v>
      </c>
    </row>
    <row r="88" spans="1:20" s="2" customFormat="1" x14ac:dyDescent="0.25">
      <c r="A88" s="7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61"/>
      <c r="Q88" s="61"/>
      <c r="R88" s="61"/>
      <c r="S88" s="61"/>
      <c r="T88" s="61"/>
    </row>
    <row r="89" spans="1:20" x14ac:dyDescent="0.25">
      <c r="A89" s="6" t="s">
        <v>69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32">
        <v>3.8733479000000002</v>
      </c>
      <c r="Q89" s="32">
        <f>5.1130067</f>
        <v>5.1130066999999997</v>
      </c>
      <c r="R89" s="32">
        <v>4.8124472999999997</v>
      </c>
      <c r="S89" s="32">
        <v>3.9607364999999999</v>
      </c>
      <c r="T89" s="32">
        <v>9.0719999999999992</v>
      </c>
    </row>
    <row r="90" spans="1:20" x14ac:dyDescent="0.25">
      <c r="A90" s="6" t="s">
        <v>70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32">
        <v>5.4399799</v>
      </c>
      <c r="Q90" s="32">
        <v>0.92377629999999999</v>
      </c>
      <c r="R90" s="32">
        <v>3.9282058000000002</v>
      </c>
      <c r="S90" s="32">
        <v>4.4217965000000001</v>
      </c>
      <c r="T90" s="32">
        <v>4.18567</v>
      </c>
    </row>
    <row r="91" spans="1:20" x14ac:dyDescent="0.25">
      <c r="A91" s="6" t="s">
        <v>71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32">
        <f>0.0008+0.0209384</f>
        <v>2.1738399999999998E-2</v>
      </c>
      <c r="Q91" s="32">
        <f>0.018676+0.062748+0.133</f>
        <v>0.214424</v>
      </c>
      <c r="R91" s="32">
        <f>0.3249361+0.0119748+0.2780528</f>
        <v>0.6149637</v>
      </c>
      <c r="S91" s="32">
        <f>0.137313+0.0118036+0.0589376</f>
        <v>0.20805419999999999</v>
      </c>
      <c r="T91" s="32">
        <f>0.01357+0.1397369</f>
        <v>0.1533069</v>
      </c>
    </row>
    <row r="92" spans="1:20" x14ac:dyDescent="0.25">
      <c r="A92" s="6" t="s">
        <v>72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32">
        <f>0.0415+0.0525865+0.0364135+0.0301901+0.0091</f>
        <v>0.1697901</v>
      </c>
      <c r="Q92" s="32">
        <f>0.0112+0.061581+0.037224+0.0933738</f>
        <v>0.2033788</v>
      </c>
      <c r="R92" s="32">
        <f>0.044714+0.023125+0.1131611+0.0072</f>
        <v>0.18820010000000001</v>
      </c>
      <c r="S92" s="32">
        <f>0.051525+0.02173+0.0843717+0.0495976+0.0057</f>
        <v>0.21292430000000001</v>
      </c>
      <c r="T92" s="32">
        <f>0.06255+0.01805+0.1811+0.06621+0.00725</f>
        <v>0.33515999999999996</v>
      </c>
    </row>
    <row r="93" spans="1:20" s="2" customFormat="1" x14ac:dyDescent="0.25">
      <c r="A93" s="6" t="s">
        <v>73</v>
      </c>
      <c r="B93" s="44">
        <f t="shared" ref="B93:S93" si="26">SUM(B89:B92)</f>
        <v>0</v>
      </c>
      <c r="C93" s="44">
        <f t="shared" si="26"/>
        <v>0</v>
      </c>
      <c r="D93" s="44">
        <f t="shared" si="26"/>
        <v>0</v>
      </c>
      <c r="E93" s="44">
        <f t="shared" si="26"/>
        <v>0</v>
      </c>
      <c r="F93" s="44">
        <f t="shared" si="26"/>
        <v>0</v>
      </c>
      <c r="G93" s="44">
        <f t="shared" si="26"/>
        <v>0</v>
      </c>
      <c r="H93" s="44">
        <f t="shared" si="26"/>
        <v>0</v>
      </c>
      <c r="I93" s="44">
        <f t="shared" si="26"/>
        <v>0</v>
      </c>
      <c r="J93" s="44">
        <f t="shared" si="26"/>
        <v>0</v>
      </c>
      <c r="K93" s="44">
        <f t="shared" si="26"/>
        <v>0</v>
      </c>
      <c r="L93" s="44">
        <f t="shared" si="26"/>
        <v>0</v>
      </c>
      <c r="M93" s="44">
        <f t="shared" si="26"/>
        <v>0</v>
      </c>
      <c r="N93" s="44">
        <f t="shared" si="26"/>
        <v>0</v>
      </c>
      <c r="O93" s="44">
        <f>SUM(O89:O92)</f>
        <v>0</v>
      </c>
      <c r="P93" s="55">
        <f t="shared" si="26"/>
        <v>9.5048563000000001</v>
      </c>
      <c r="Q93" s="55">
        <f t="shared" si="26"/>
        <v>6.4545858000000003</v>
      </c>
      <c r="R93" s="55">
        <f t="shared" si="26"/>
        <v>9.5438168999999995</v>
      </c>
      <c r="S93" s="55">
        <f t="shared" si="26"/>
        <v>8.803511499999999</v>
      </c>
      <c r="T93" s="55">
        <f>SUM(T89:T92)</f>
        <v>13.7461369</v>
      </c>
    </row>
    <row r="94" spans="1:20" s="2" customFormat="1" x14ac:dyDescent="0.25">
      <c r="A94" s="6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61"/>
      <c r="Q94" s="61"/>
      <c r="R94" s="61"/>
      <c r="S94" s="61"/>
      <c r="T94" s="61"/>
    </row>
    <row r="95" spans="1:20" s="2" customFormat="1" x14ac:dyDescent="0.25">
      <c r="A95" s="6" t="s">
        <v>74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32">
        <v>0.18637201</v>
      </c>
      <c r="Q95" s="32">
        <v>0.186532648</v>
      </c>
      <c r="R95" s="32">
        <v>8.9339999999999993</v>
      </c>
      <c r="S95" s="32">
        <v>0.63304899999999997</v>
      </c>
      <c r="T95" s="32">
        <v>1.3436900000000001</v>
      </c>
    </row>
    <row r="96" spans="1:20" s="2" customFormat="1" x14ac:dyDescent="0.25">
      <c r="A96" s="6" t="s">
        <v>75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32">
        <f>5.11447827-P95</f>
        <v>4.9281062599999998</v>
      </c>
      <c r="Q96" s="32">
        <f>6.766361111-Q95</f>
        <v>6.5798284630000001</v>
      </c>
      <c r="R96" s="32">
        <f>0.0352+0.7978136+1.0095+0.0858986</f>
        <v>1.9284122000000001</v>
      </c>
      <c r="S96" s="32">
        <f>0.0352+8.7144496</f>
        <v>8.7496495999999997</v>
      </c>
      <c r="T96" s="32">
        <f>7.2330401+0.0352</f>
        <v>7.2682400999999999</v>
      </c>
    </row>
    <row r="97" spans="1:20" s="2" customFormat="1" x14ac:dyDescent="0.25">
      <c r="A97" s="6" t="s">
        <v>76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32"/>
      <c r="Q97" s="32"/>
      <c r="R97" s="32"/>
      <c r="S97" s="32"/>
      <c r="T97" s="32"/>
    </row>
    <row r="98" spans="1:20" s="2" customFormat="1" x14ac:dyDescent="0.25">
      <c r="A98" s="6" t="s">
        <v>77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32"/>
      <c r="Q98" s="32"/>
      <c r="R98" s="32"/>
      <c r="S98" s="32"/>
      <c r="T98" s="32"/>
    </row>
    <row r="99" spans="1:20" s="2" customFormat="1" x14ac:dyDescent="0.25">
      <c r="A99" s="6" t="s">
        <v>78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32"/>
      <c r="Q99" s="32"/>
      <c r="R99" s="32"/>
      <c r="S99" s="32"/>
      <c r="T99" s="32"/>
    </row>
    <row r="100" spans="1:20" s="2" customFormat="1" x14ac:dyDescent="0.25">
      <c r="A100" s="6" t="s">
        <v>79</v>
      </c>
      <c r="B100" s="48">
        <f t="shared" ref="B100:S100" si="27">SUM(B95:B99)</f>
        <v>0</v>
      </c>
      <c r="C100" s="48">
        <f t="shared" si="27"/>
        <v>0</v>
      </c>
      <c r="D100" s="48">
        <f t="shared" si="27"/>
        <v>0</v>
      </c>
      <c r="E100" s="48">
        <f t="shared" si="27"/>
        <v>0</v>
      </c>
      <c r="F100" s="48">
        <f t="shared" si="27"/>
        <v>0</v>
      </c>
      <c r="G100" s="48">
        <f t="shared" si="27"/>
        <v>0</v>
      </c>
      <c r="H100" s="48">
        <f t="shared" si="27"/>
        <v>0</v>
      </c>
      <c r="I100" s="48">
        <f t="shared" si="27"/>
        <v>0</v>
      </c>
      <c r="J100" s="48">
        <f t="shared" si="27"/>
        <v>0</v>
      </c>
      <c r="K100" s="48">
        <f t="shared" si="27"/>
        <v>0</v>
      </c>
      <c r="L100" s="48">
        <f t="shared" si="27"/>
        <v>0</v>
      </c>
      <c r="M100" s="48">
        <f t="shared" si="27"/>
        <v>0</v>
      </c>
      <c r="N100" s="48">
        <f t="shared" si="27"/>
        <v>0</v>
      </c>
      <c r="O100" s="48">
        <f>SUM(O95:O99)</f>
        <v>0</v>
      </c>
      <c r="P100" s="36">
        <f t="shared" si="27"/>
        <v>5.1144782700000002</v>
      </c>
      <c r="Q100" s="36">
        <f t="shared" si="27"/>
        <v>6.7663611110000002</v>
      </c>
      <c r="R100" s="36">
        <f t="shared" si="27"/>
        <v>10.8624122</v>
      </c>
      <c r="S100" s="36">
        <f t="shared" si="27"/>
        <v>9.3826985999999994</v>
      </c>
      <c r="T100" s="36">
        <f>SUM(T95:T99)</f>
        <v>8.6119301000000004</v>
      </c>
    </row>
    <row r="101" spans="1:20" s="2" customFormat="1" x14ac:dyDescent="0.25">
      <c r="A101" s="7" t="s">
        <v>80</v>
      </c>
      <c r="B101" s="44">
        <f t="shared" ref="B101:S101" si="28">B100+B93+B87+B82</f>
        <v>0</v>
      </c>
      <c r="C101" s="44">
        <f t="shared" si="28"/>
        <v>0</v>
      </c>
      <c r="D101" s="44">
        <f t="shared" si="28"/>
        <v>0</v>
      </c>
      <c r="E101" s="44">
        <f t="shared" si="28"/>
        <v>0</v>
      </c>
      <c r="F101" s="44">
        <f t="shared" si="28"/>
        <v>0</v>
      </c>
      <c r="G101" s="44">
        <f t="shared" si="28"/>
        <v>0</v>
      </c>
      <c r="H101" s="44">
        <f t="shared" si="28"/>
        <v>0</v>
      </c>
      <c r="I101" s="44">
        <f t="shared" si="28"/>
        <v>0</v>
      </c>
      <c r="J101" s="44">
        <f t="shared" si="28"/>
        <v>0</v>
      </c>
      <c r="K101" s="44">
        <f t="shared" si="28"/>
        <v>0</v>
      </c>
      <c r="L101" s="44">
        <f t="shared" si="28"/>
        <v>0</v>
      </c>
      <c r="M101" s="44">
        <f t="shared" si="28"/>
        <v>0</v>
      </c>
      <c r="N101" s="44">
        <f t="shared" si="28"/>
        <v>0</v>
      </c>
      <c r="O101" s="44">
        <f>O100+O93+O87+O82</f>
        <v>0</v>
      </c>
      <c r="P101" s="55">
        <f t="shared" si="28"/>
        <v>20.872093599999999</v>
      </c>
      <c r="Q101" s="55">
        <f t="shared" si="28"/>
        <v>17.594226248999998</v>
      </c>
      <c r="R101" s="55">
        <f t="shared" si="28"/>
        <v>25.832111099999999</v>
      </c>
      <c r="S101" s="55">
        <f t="shared" si="28"/>
        <v>25.463588999999995</v>
      </c>
      <c r="T101" s="55">
        <f>T100+T93+T87+T82</f>
        <v>32.234946999999998</v>
      </c>
    </row>
    <row r="102" spans="1:20" s="2" customFormat="1" ht="14.4" thickBot="1" x14ac:dyDescent="0.3">
      <c r="A102" s="8" t="s">
        <v>81</v>
      </c>
      <c r="B102" s="47">
        <f t="shared" ref="B102:S102" si="29">B101+B80</f>
        <v>0</v>
      </c>
      <c r="C102" s="47">
        <f t="shared" si="29"/>
        <v>0</v>
      </c>
      <c r="D102" s="47">
        <f t="shared" si="29"/>
        <v>0</v>
      </c>
      <c r="E102" s="47">
        <f t="shared" si="29"/>
        <v>0</v>
      </c>
      <c r="F102" s="47">
        <f t="shared" si="29"/>
        <v>0</v>
      </c>
      <c r="G102" s="47">
        <f t="shared" si="29"/>
        <v>0</v>
      </c>
      <c r="H102" s="47">
        <f t="shared" si="29"/>
        <v>0</v>
      </c>
      <c r="I102" s="47">
        <f t="shared" si="29"/>
        <v>0</v>
      </c>
      <c r="J102" s="47">
        <f t="shared" si="29"/>
        <v>0</v>
      </c>
      <c r="K102" s="47">
        <f t="shared" si="29"/>
        <v>0</v>
      </c>
      <c r="L102" s="47">
        <f t="shared" si="29"/>
        <v>0</v>
      </c>
      <c r="M102" s="47">
        <f t="shared" si="29"/>
        <v>0</v>
      </c>
      <c r="N102" s="47">
        <f t="shared" si="29"/>
        <v>0</v>
      </c>
      <c r="O102" s="47">
        <f>O101+O80</f>
        <v>0</v>
      </c>
      <c r="P102" s="60">
        <f t="shared" si="29"/>
        <v>24.473589834000002</v>
      </c>
      <c r="Q102" s="60">
        <f t="shared" si="29"/>
        <v>20.962550482999998</v>
      </c>
      <c r="R102" s="60">
        <f t="shared" si="29"/>
        <v>29.136277</v>
      </c>
      <c r="S102" s="60">
        <f t="shared" si="29"/>
        <v>29.000039199999996</v>
      </c>
      <c r="T102" s="60">
        <f>T101+T80</f>
        <v>35.657781799999995</v>
      </c>
    </row>
    <row r="103" spans="1:20" s="2" customFormat="1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37"/>
      <c r="Q103" s="37"/>
      <c r="R103" s="37"/>
      <c r="S103" s="37"/>
      <c r="T103" s="37"/>
    </row>
    <row r="104" spans="1:20" ht="14.4" thickBot="1" x14ac:dyDescent="0.3">
      <c r="A104" s="3"/>
      <c r="B104" s="9"/>
      <c r="C104" s="9"/>
      <c r="D104" s="9"/>
      <c r="E104" s="9"/>
      <c r="F104" s="9"/>
      <c r="G104" s="9"/>
      <c r="H104" s="9"/>
      <c r="I104" s="9"/>
      <c r="J104" s="9" t="s">
        <v>64</v>
      </c>
      <c r="K104" s="9"/>
      <c r="L104" s="9"/>
      <c r="M104" s="9"/>
      <c r="N104" s="9"/>
      <c r="O104" s="9"/>
      <c r="P104" s="33"/>
      <c r="Q104" s="33"/>
      <c r="R104" s="33"/>
      <c r="S104" s="33"/>
      <c r="T104" s="33"/>
    </row>
    <row r="105" spans="1:20" ht="17.399999999999999" x14ac:dyDescent="0.3">
      <c r="A105" s="15" t="s">
        <v>48</v>
      </c>
      <c r="B105" s="11"/>
      <c r="C105" s="11"/>
      <c r="D105" s="11"/>
      <c r="E105" s="11"/>
      <c r="F105" s="11"/>
      <c r="G105" s="11"/>
      <c r="H105" s="11"/>
      <c r="I105" s="11"/>
      <c r="J105" s="30" t="e">
        <f t="shared" ref="J105:O105" si="30">J63</f>
        <v>#REF!</v>
      </c>
      <c r="K105" s="30" t="e">
        <f t="shared" si="30"/>
        <v>#REF!</v>
      </c>
      <c r="L105" s="30" t="e">
        <f t="shared" si="30"/>
        <v>#REF!</v>
      </c>
      <c r="M105" s="30" t="e">
        <f t="shared" si="30"/>
        <v>#REF!</v>
      </c>
      <c r="N105" s="30" t="e">
        <f t="shared" si="30"/>
        <v>#REF!</v>
      </c>
      <c r="O105" s="30" t="e">
        <f t="shared" si="30"/>
        <v>#REF!</v>
      </c>
      <c r="P105" s="66">
        <v>42825</v>
      </c>
      <c r="Q105" s="66">
        <v>43190</v>
      </c>
      <c r="R105" s="66">
        <v>43555</v>
      </c>
      <c r="S105" s="66">
        <v>43921</v>
      </c>
      <c r="T105" s="66">
        <v>44286</v>
      </c>
    </row>
    <row r="106" spans="1:20" x14ac:dyDescent="0.25">
      <c r="A106" s="16"/>
      <c r="B106" s="7"/>
      <c r="C106" s="7"/>
      <c r="D106" s="7"/>
      <c r="E106" s="7"/>
      <c r="F106" s="7"/>
      <c r="G106" s="7"/>
      <c r="H106" s="7"/>
      <c r="I106" s="13"/>
      <c r="J106" s="7"/>
      <c r="K106" s="17"/>
      <c r="L106" s="17"/>
      <c r="M106" s="17"/>
      <c r="N106" s="17"/>
      <c r="O106" s="17"/>
      <c r="P106" s="38"/>
      <c r="Q106" s="38"/>
      <c r="R106" s="38"/>
      <c r="S106" s="38"/>
      <c r="T106" s="38"/>
    </row>
    <row r="107" spans="1:20" ht="14.4" thickBot="1" x14ac:dyDescent="0.3">
      <c r="A107" s="18" t="s">
        <v>82</v>
      </c>
      <c r="B107" s="12"/>
      <c r="C107" s="12"/>
      <c r="D107" s="12"/>
      <c r="E107" s="12"/>
      <c r="F107" s="12"/>
      <c r="G107" s="12"/>
      <c r="H107" s="12"/>
      <c r="I107" s="19"/>
      <c r="J107" s="12"/>
      <c r="K107" s="20"/>
      <c r="L107" s="20"/>
      <c r="M107" s="20"/>
      <c r="N107" s="20"/>
      <c r="O107" s="20"/>
      <c r="P107" s="39"/>
      <c r="Q107" s="39"/>
      <c r="R107" s="39"/>
      <c r="S107" s="39"/>
      <c r="T107" s="39"/>
    </row>
    <row r="108" spans="1:20" x14ac:dyDescent="0.25">
      <c r="A108" s="73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64"/>
      <c r="Q108" s="64"/>
      <c r="R108" s="64"/>
      <c r="S108" s="64"/>
      <c r="T108" s="64"/>
    </row>
    <row r="109" spans="1:20" x14ac:dyDescent="0.25">
      <c r="A109" s="21" t="s">
        <v>83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32">
        <v>2.9812500000000002</v>
      </c>
      <c r="Q109" s="32">
        <v>2.9812500000000002</v>
      </c>
      <c r="R109" s="32">
        <v>2.9812500000000002</v>
      </c>
      <c r="S109" s="32">
        <v>2.9812500000000002</v>
      </c>
      <c r="T109" s="32">
        <v>2.9812500000000002</v>
      </c>
    </row>
    <row r="110" spans="1:20" x14ac:dyDescent="0.25">
      <c r="A110" s="21" t="s">
        <v>84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32"/>
      <c r="Q110" s="32"/>
      <c r="R110" s="32"/>
      <c r="S110" s="32"/>
      <c r="T110" s="32"/>
    </row>
    <row r="111" spans="1:20" x14ac:dyDescent="0.25">
      <c r="A111" s="21" t="s">
        <v>85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32"/>
      <c r="Q111" s="32"/>
      <c r="R111" s="32"/>
      <c r="S111" s="32"/>
      <c r="T111" s="32"/>
    </row>
    <row r="112" spans="1:20" x14ac:dyDescent="0.25">
      <c r="A112" s="21" t="s">
        <v>86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32"/>
      <c r="Q112" s="32"/>
      <c r="R112" s="32"/>
      <c r="S112" s="32"/>
      <c r="T112" s="32"/>
    </row>
    <row r="113" spans="1:20" x14ac:dyDescent="0.25">
      <c r="A113" s="21" t="s">
        <v>87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32">
        <f>9.349306901-2.6933-P114</f>
        <v>6.4926069010000003</v>
      </c>
      <c r="Q113" s="32">
        <f>10.446506189-2.6544-Q114</f>
        <v>7.6287061890000007</v>
      </c>
      <c r="R113" s="32">
        <f>10.6042502-2.6154-R114</f>
        <v>7.8254501999999988</v>
      </c>
      <c r="S113" s="32">
        <f>10.5952499-2.5765-S114</f>
        <v>7.8553499000000011</v>
      </c>
      <c r="T113" s="32">
        <f>9.35239-T114-2.5375</f>
        <v>6.6514900000000008</v>
      </c>
    </row>
    <row r="114" spans="1:20" x14ac:dyDescent="0.25">
      <c r="A114" s="21" t="s">
        <v>88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32">
        <v>0.16339999999999999</v>
      </c>
      <c r="Q114" s="32">
        <v>0.16339999999999999</v>
      </c>
      <c r="R114" s="32">
        <v>0.16339999999999999</v>
      </c>
      <c r="S114" s="32">
        <v>0.16339999999999999</v>
      </c>
      <c r="T114" s="32">
        <v>0.16339999999999999</v>
      </c>
    </row>
    <row r="115" spans="1:20" s="2" customFormat="1" x14ac:dyDescent="0.25">
      <c r="A115" s="21" t="s">
        <v>89</v>
      </c>
      <c r="B115" s="44">
        <f t="shared" ref="B115:S115" si="31">SUM(B109:B114)</f>
        <v>0</v>
      </c>
      <c r="C115" s="44">
        <f t="shared" si="31"/>
        <v>0</v>
      </c>
      <c r="D115" s="44">
        <f t="shared" si="31"/>
        <v>0</v>
      </c>
      <c r="E115" s="44">
        <f t="shared" si="31"/>
        <v>0</v>
      </c>
      <c r="F115" s="44">
        <f t="shared" si="31"/>
        <v>0</v>
      </c>
      <c r="G115" s="44">
        <f t="shared" si="31"/>
        <v>0</v>
      </c>
      <c r="H115" s="44">
        <f t="shared" si="31"/>
        <v>0</v>
      </c>
      <c r="I115" s="44">
        <f t="shared" si="31"/>
        <v>0</v>
      </c>
      <c r="J115" s="44">
        <f t="shared" si="31"/>
        <v>0</v>
      </c>
      <c r="K115" s="44">
        <f t="shared" si="31"/>
        <v>0</v>
      </c>
      <c r="L115" s="44">
        <f t="shared" si="31"/>
        <v>0</v>
      </c>
      <c r="M115" s="44">
        <f t="shared" si="31"/>
        <v>0</v>
      </c>
      <c r="N115" s="44">
        <f t="shared" si="31"/>
        <v>0</v>
      </c>
      <c r="O115" s="44">
        <f>SUM(O109:O114)</f>
        <v>0</v>
      </c>
      <c r="P115" s="55">
        <f t="shared" si="31"/>
        <v>9.6372569010000007</v>
      </c>
      <c r="Q115" s="55">
        <f t="shared" si="31"/>
        <v>10.773356189000001</v>
      </c>
      <c r="R115" s="55">
        <f t="shared" si="31"/>
        <v>10.970100199999997</v>
      </c>
      <c r="S115" s="55">
        <f t="shared" si="31"/>
        <v>10.999999900000001</v>
      </c>
      <c r="T115" s="55">
        <f>SUM(T109:T114)</f>
        <v>9.7961400000000012</v>
      </c>
    </row>
    <row r="116" spans="1:20" s="2" customFormat="1" x14ac:dyDescent="0.25">
      <c r="A116" s="21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55"/>
      <c r="Q116" s="55"/>
      <c r="R116" s="55"/>
      <c r="S116" s="55"/>
      <c r="T116" s="55"/>
    </row>
    <row r="117" spans="1:20" s="2" customFormat="1" x14ac:dyDescent="0.25">
      <c r="A117" s="21" t="s">
        <v>90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2"/>
      <c r="N117" s="42"/>
      <c r="O117" s="42"/>
      <c r="P117" s="32"/>
      <c r="Q117" s="32"/>
      <c r="R117" s="32"/>
      <c r="S117" s="32"/>
      <c r="T117" s="32"/>
    </row>
    <row r="118" spans="1:20" s="2" customFormat="1" x14ac:dyDescent="0.25">
      <c r="A118" s="21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55"/>
      <c r="Q118" s="55"/>
      <c r="R118" s="55"/>
      <c r="S118" s="55"/>
      <c r="T118" s="55"/>
    </row>
    <row r="119" spans="1:20" s="2" customFormat="1" x14ac:dyDescent="0.25">
      <c r="A119" s="21" t="s">
        <v>91</v>
      </c>
      <c r="B119" s="44">
        <f t="shared" ref="B119:S119" si="32">B115+B117</f>
        <v>0</v>
      </c>
      <c r="C119" s="44">
        <f t="shared" si="32"/>
        <v>0</v>
      </c>
      <c r="D119" s="44">
        <f t="shared" si="32"/>
        <v>0</v>
      </c>
      <c r="E119" s="44">
        <f t="shared" si="32"/>
        <v>0</v>
      </c>
      <c r="F119" s="44">
        <f t="shared" si="32"/>
        <v>0</v>
      </c>
      <c r="G119" s="44">
        <f t="shared" si="32"/>
        <v>0</v>
      </c>
      <c r="H119" s="44">
        <f t="shared" si="32"/>
        <v>0</v>
      </c>
      <c r="I119" s="44">
        <f t="shared" si="32"/>
        <v>0</v>
      </c>
      <c r="J119" s="44">
        <f t="shared" si="32"/>
        <v>0</v>
      </c>
      <c r="K119" s="44">
        <f t="shared" si="32"/>
        <v>0</v>
      </c>
      <c r="L119" s="44">
        <f t="shared" si="32"/>
        <v>0</v>
      </c>
      <c r="M119" s="44">
        <f t="shared" si="32"/>
        <v>0</v>
      </c>
      <c r="N119" s="44">
        <f t="shared" si="32"/>
        <v>0</v>
      </c>
      <c r="O119" s="44">
        <f>O115+O117</f>
        <v>0</v>
      </c>
      <c r="P119" s="55">
        <f t="shared" si="32"/>
        <v>9.6372569010000007</v>
      </c>
      <c r="Q119" s="55">
        <f t="shared" si="32"/>
        <v>10.773356189000001</v>
      </c>
      <c r="R119" s="55">
        <f t="shared" si="32"/>
        <v>10.970100199999997</v>
      </c>
      <c r="S119" s="55">
        <f t="shared" si="32"/>
        <v>10.999999900000001</v>
      </c>
      <c r="T119" s="55">
        <f>T115+T117</f>
        <v>9.7961400000000012</v>
      </c>
    </row>
    <row r="120" spans="1:20" s="2" customFormat="1" x14ac:dyDescent="0.25">
      <c r="A120" s="21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55"/>
      <c r="Q120" s="55"/>
      <c r="R120" s="55"/>
      <c r="S120" s="55"/>
      <c r="T120" s="55"/>
    </row>
    <row r="121" spans="1:20" s="2" customFormat="1" x14ac:dyDescent="0.25">
      <c r="A121" s="21" t="s">
        <v>92</v>
      </c>
      <c r="B121" s="42">
        <v>0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65">
        <v>0</v>
      </c>
      <c r="Q121" s="65">
        <v>0</v>
      </c>
      <c r="R121" s="65">
        <v>0</v>
      </c>
      <c r="S121" s="65">
        <v>0</v>
      </c>
      <c r="T121" s="65">
        <v>0</v>
      </c>
    </row>
    <row r="122" spans="1:20" x14ac:dyDescent="0.25">
      <c r="A122" s="21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58"/>
      <c r="Q122" s="58"/>
      <c r="R122" s="58"/>
      <c r="S122" s="58"/>
      <c r="T122" s="58"/>
    </row>
    <row r="123" spans="1:20" x14ac:dyDescent="0.25">
      <c r="A123" s="22" t="s">
        <v>93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32">
        <f>0.24497+0.0754</f>
        <v>0.32036999999999999</v>
      </c>
      <c r="Q123" s="32">
        <f>0.06055+0.219</f>
        <v>0.27955000000000002</v>
      </c>
      <c r="R123" s="32">
        <v>0.18679000000000001</v>
      </c>
      <c r="S123" s="32">
        <v>9.8339999999999997E-2</v>
      </c>
      <c r="T123" s="32">
        <v>0.1051632</v>
      </c>
    </row>
    <row r="124" spans="1:20" x14ac:dyDescent="0.25">
      <c r="A124" s="22" t="s">
        <v>94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32">
        <f>0.753</f>
        <v>0.753</v>
      </c>
      <c r="Q124" s="32">
        <v>1.0109999999999999</v>
      </c>
      <c r="R124" s="32">
        <f>0.9317966-0.18679</f>
        <v>0.74500659999999996</v>
      </c>
      <c r="S124" s="32">
        <f>1.0231961-0.09834</f>
        <v>0.92485610000000007</v>
      </c>
      <c r="T124" s="32">
        <f>1.5254-0.1051632</f>
        <v>1.4202368000000001</v>
      </c>
    </row>
    <row r="125" spans="1:20" x14ac:dyDescent="0.25">
      <c r="A125" s="21" t="s">
        <v>95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32"/>
      <c r="Q125" s="32"/>
      <c r="R125" s="32"/>
      <c r="S125" s="32"/>
      <c r="T125" s="32"/>
    </row>
    <row r="126" spans="1:20" x14ac:dyDescent="0.25">
      <c r="A126" s="21" t="s">
        <v>96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32"/>
      <c r="Q126" s="32"/>
      <c r="R126" s="32"/>
      <c r="S126" s="32"/>
      <c r="T126" s="32"/>
    </row>
    <row r="127" spans="1:20" x14ac:dyDescent="0.25">
      <c r="A127" s="22" t="s">
        <v>97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32"/>
      <c r="Q127" s="32"/>
      <c r="R127" s="32"/>
      <c r="S127" s="32"/>
      <c r="T127" s="32"/>
    </row>
    <row r="128" spans="1:20" x14ac:dyDescent="0.25">
      <c r="A128" s="21" t="s">
        <v>98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32"/>
      <c r="Q128" s="32"/>
      <c r="R128" s="32"/>
      <c r="S128" s="32"/>
      <c r="T128" s="32">
        <v>1.25003</v>
      </c>
    </row>
    <row r="129" spans="1:20" s="2" customFormat="1" x14ac:dyDescent="0.25">
      <c r="A129" s="21" t="s">
        <v>99</v>
      </c>
      <c r="B129" s="44">
        <f t="shared" ref="B129:S129" si="33">SUM(B123:B128)</f>
        <v>0</v>
      </c>
      <c r="C129" s="44">
        <f t="shared" si="33"/>
        <v>0</v>
      </c>
      <c r="D129" s="44">
        <f t="shared" si="33"/>
        <v>0</v>
      </c>
      <c r="E129" s="44">
        <f t="shared" si="33"/>
        <v>0</v>
      </c>
      <c r="F129" s="44">
        <f t="shared" si="33"/>
        <v>0</v>
      </c>
      <c r="G129" s="44">
        <f t="shared" si="33"/>
        <v>0</v>
      </c>
      <c r="H129" s="44">
        <f t="shared" si="33"/>
        <v>0</v>
      </c>
      <c r="I129" s="44">
        <f t="shared" si="33"/>
        <v>0</v>
      </c>
      <c r="J129" s="44">
        <f t="shared" si="33"/>
        <v>0</v>
      </c>
      <c r="K129" s="44">
        <f t="shared" si="33"/>
        <v>0</v>
      </c>
      <c r="L129" s="44">
        <f t="shared" si="33"/>
        <v>0</v>
      </c>
      <c r="M129" s="44">
        <f t="shared" si="33"/>
        <v>0</v>
      </c>
      <c r="N129" s="44">
        <f t="shared" si="33"/>
        <v>0</v>
      </c>
      <c r="O129" s="44">
        <f>SUM(O123:O128)</f>
        <v>0</v>
      </c>
      <c r="P129" s="55">
        <f t="shared" si="33"/>
        <v>1.0733699999999999</v>
      </c>
      <c r="Q129" s="55">
        <f t="shared" si="33"/>
        <v>1.2905499999999999</v>
      </c>
      <c r="R129" s="55">
        <f t="shared" si="33"/>
        <v>0.93179659999999997</v>
      </c>
      <c r="S129" s="55">
        <f t="shared" si="33"/>
        <v>1.0231961000000001</v>
      </c>
      <c r="T129" s="55">
        <f>SUM(T123:T128)</f>
        <v>2.7754300000000001</v>
      </c>
    </row>
    <row r="130" spans="1:20" s="2" customFormat="1" x14ac:dyDescent="0.25">
      <c r="A130" s="21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55"/>
      <c r="Q130" s="55"/>
      <c r="R130" s="55"/>
      <c r="S130" s="55"/>
      <c r="T130" s="55"/>
    </row>
    <row r="131" spans="1:20" x14ac:dyDescent="0.25">
      <c r="A131" s="3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58"/>
      <c r="Q131" s="58"/>
      <c r="R131" s="58"/>
      <c r="S131" s="58"/>
      <c r="T131" s="58"/>
    </row>
    <row r="132" spans="1:20" x14ac:dyDescent="0.25">
      <c r="A132" s="22" t="s">
        <v>100</v>
      </c>
      <c r="B132" s="42"/>
      <c r="C132" s="42"/>
      <c r="D132" s="42"/>
      <c r="E132" s="42"/>
      <c r="F132" s="42"/>
      <c r="G132" s="42"/>
      <c r="H132" s="43"/>
      <c r="I132" s="42"/>
      <c r="J132" s="42"/>
      <c r="K132" s="42"/>
      <c r="L132" s="42"/>
      <c r="M132" s="42"/>
      <c r="N132" s="42"/>
      <c r="O132" s="42"/>
      <c r="P132" s="32">
        <v>3.7400000000000003E-2</v>
      </c>
      <c r="Q132" s="32"/>
      <c r="R132" s="32"/>
      <c r="S132" s="32"/>
      <c r="T132" s="32"/>
    </row>
    <row r="133" spans="1:20" s="2" customFormat="1" x14ac:dyDescent="0.25">
      <c r="A133" s="22" t="s">
        <v>101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32"/>
      <c r="Q133" s="32"/>
      <c r="R133" s="32"/>
      <c r="S133" s="32"/>
      <c r="T133" s="32"/>
    </row>
    <row r="134" spans="1:20" s="2" customFormat="1" x14ac:dyDescent="0.25">
      <c r="A134" s="23" t="s">
        <v>102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32"/>
      <c r="Q134" s="32"/>
      <c r="R134" s="32"/>
      <c r="S134" s="32"/>
      <c r="T134" s="32"/>
    </row>
    <row r="135" spans="1:20" s="2" customFormat="1" x14ac:dyDescent="0.25">
      <c r="A135" s="21" t="s">
        <v>103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32">
        <f>9.102+1.0977</f>
        <v>10.1997</v>
      </c>
      <c r="Q135" s="32">
        <f>6.67+1.21</f>
        <v>7.88</v>
      </c>
      <c r="R135" s="32">
        <v>15.333116499999999</v>
      </c>
      <c r="S135" s="32">
        <v>14.448241599999999</v>
      </c>
      <c r="T135" s="32">
        <v>20.710599200000001</v>
      </c>
    </row>
    <row r="136" spans="1:20" s="27" customFormat="1" x14ac:dyDescent="0.25">
      <c r="A136" s="26" t="s">
        <v>119</v>
      </c>
      <c r="B136" s="42">
        <f>B84</f>
        <v>0</v>
      </c>
      <c r="C136" s="42">
        <f t="shared" ref="C136:S136" si="34">C84</f>
        <v>0</v>
      </c>
      <c r="D136" s="42">
        <f t="shared" si="34"/>
        <v>0</v>
      </c>
      <c r="E136" s="42">
        <f t="shared" si="34"/>
        <v>0</v>
      </c>
      <c r="F136" s="42">
        <f t="shared" si="34"/>
        <v>0</v>
      </c>
      <c r="G136" s="42">
        <f t="shared" si="34"/>
        <v>0</v>
      </c>
      <c r="H136" s="42">
        <f t="shared" si="34"/>
        <v>0</v>
      </c>
      <c r="I136" s="42">
        <f t="shared" si="34"/>
        <v>0</v>
      </c>
      <c r="J136" s="42">
        <f t="shared" si="34"/>
        <v>0</v>
      </c>
      <c r="K136" s="42">
        <f t="shared" si="34"/>
        <v>0</v>
      </c>
      <c r="L136" s="42">
        <f t="shared" si="34"/>
        <v>0</v>
      </c>
      <c r="M136" s="42">
        <f t="shared" si="34"/>
        <v>0</v>
      </c>
      <c r="N136" s="42">
        <f t="shared" si="34"/>
        <v>0</v>
      </c>
      <c r="O136" s="42">
        <f t="shared" si="34"/>
        <v>0</v>
      </c>
      <c r="P136" s="40">
        <f t="shared" si="34"/>
        <v>0</v>
      </c>
      <c r="Q136" s="40">
        <f t="shared" si="34"/>
        <v>0</v>
      </c>
      <c r="R136" s="40">
        <f t="shared" si="34"/>
        <v>0</v>
      </c>
      <c r="S136" s="40">
        <f t="shared" si="34"/>
        <v>0</v>
      </c>
      <c r="T136" s="40">
        <f>T84</f>
        <v>0</v>
      </c>
    </row>
    <row r="137" spans="1:20" s="2" customFormat="1" ht="15.6" x14ac:dyDescent="0.3">
      <c r="A137" s="21" t="s">
        <v>104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52"/>
      <c r="L137" s="42"/>
      <c r="M137" s="42"/>
      <c r="N137" s="42"/>
      <c r="O137" s="42"/>
      <c r="P137" s="32"/>
      <c r="Q137" s="32"/>
      <c r="R137" s="32"/>
      <c r="S137" s="32"/>
      <c r="T137" s="32"/>
    </row>
    <row r="138" spans="1:20" s="2" customFormat="1" x14ac:dyDescent="0.25">
      <c r="A138" s="21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58"/>
      <c r="Q138" s="58"/>
      <c r="R138" s="58"/>
      <c r="S138" s="58"/>
      <c r="T138" s="58"/>
    </row>
    <row r="139" spans="1:20" s="27" customFormat="1" x14ac:dyDescent="0.25">
      <c r="A139" s="28" t="s">
        <v>120</v>
      </c>
      <c r="B139" s="42">
        <f t="shared" ref="B139:S139" si="35">B123+B124+B125+B126+B132+B134</f>
        <v>0</v>
      </c>
      <c r="C139" s="42">
        <f t="shared" si="35"/>
        <v>0</v>
      </c>
      <c r="D139" s="42">
        <f t="shared" si="35"/>
        <v>0</v>
      </c>
      <c r="E139" s="42">
        <f t="shared" si="35"/>
        <v>0</v>
      </c>
      <c r="F139" s="42">
        <f t="shared" si="35"/>
        <v>0</v>
      </c>
      <c r="G139" s="42">
        <f t="shared" si="35"/>
        <v>0</v>
      </c>
      <c r="H139" s="42">
        <f t="shared" si="35"/>
        <v>0</v>
      </c>
      <c r="I139" s="42">
        <f t="shared" si="35"/>
        <v>0</v>
      </c>
      <c r="J139" s="42">
        <f t="shared" si="35"/>
        <v>0</v>
      </c>
      <c r="K139" s="42">
        <f t="shared" si="35"/>
        <v>0</v>
      </c>
      <c r="L139" s="42">
        <f t="shared" si="35"/>
        <v>0</v>
      </c>
      <c r="M139" s="42">
        <f t="shared" si="35"/>
        <v>0</v>
      </c>
      <c r="N139" s="42">
        <f t="shared" si="35"/>
        <v>0</v>
      </c>
      <c r="O139" s="42">
        <f t="shared" si="35"/>
        <v>0</v>
      </c>
      <c r="P139" s="40">
        <f t="shared" si="35"/>
        <v>1.11077</v>
      </c>
      <c r="Q139" s="40">
        <f t="shared" si="35"/>
        <v>1.2905499999999999</v>
      </c>
      <c r="R139" s="40">
        <f t="shared" si="35"/>
        <v>0.93179659999999997</v>
      </c>
      <c r="S139" s="40">
        <f t="shared" si="35"/>
        <v>1.0231961000000001</v>
      </c>
      <c r="T139" s="40">
        <f>T123+T124+T125+T126+T132+T134</f>
        <v>1.5254000000000001</v>
      </c>
    </row>
    <row r="140" spans="1:20" s="27" customFormat="1" x14ac:dyDescent="0.25">
      <c r="A140" s="28" t="s">
        <v>122</v>
      </c>
      <c r="B140" s="42">
        <f t="shared" ref="B140:S140" si="36">B137+B136+B135+B133</f>
        <v>0</v>
      </c>
      <c r="C140" s="42">
        <f t="shared" si="36"/>
        <v>0</v>
      </c>
      <c r="D140" s="42">
        <f t="shared" si="36"/>
        <v>0</v>
      </c>
      <c r="E140" s="42">
        <f t="shared" si="36"/>
        <v>0</v>
      </c>
      <c r="F140" s="42">
        <f t="shared" si="36"/>
        <v>0</v>
      </c>
      <c r="G140" s="42">
        <f t="shared" si="36"/>
        <v>0</v>
      </c>
      <c r="H140" s="42">
        <f t="shared" si="36"/>
        <v>0</v>
      </c>
      <c r="I140" s="42">
        <f t="shared" si="36"/>
        <v>0</v>
      </c>
      <c r="J140" s="42">
        <f t="shared" si="36"/>
        <v>0</v>
      </c>
      <c r="K140" s="42">
        <f t="shared" si="36"/>
        <v>0</v>
      </c>
      <c r="L140" s="42">
        <f t="shared" si="36"/>
        <v>0</v>
      </c>
      <c r="M140" s="42">
        <f t="shared" si="36"/>
        <v>0</v>
      </c>
      <c r="N140" s="42">
        <f t="shared" si="36"/>
        <v>0</v>
      </c>
      <c r="O140" s="42">
        <f t="shared" si="36"/>
        <v>0</v>
      </c>
      <c r="P140" s="40">
        <f t="shared" si="36"/>
        <v>10.1997</v>
      </c>
      <c r="Q140" s="40">
        <f t="shared" si="36"/>
        <v>7.88</v>
      </c>
      <c r="R140" s="40">
        <f t="shared" si="36"/>
        <v>15.333116499999999</v>
      </c>
      <c r="S140" s="40">
        <f t="shared" si="36"/>
        <v>14.448241599999999</v>
      </c>
      <c r="T140" s="40">
        <f>T137+T136+T135+T133</f>
        <v>20.710599200000001</v>
      </c>
    </row>
    <row r="141" spans="1:20" s="27" customFormat="1" x14ac:dyDescent="0.25">
      <c r="A141" s="28" t="s">
        <v>121</v>
      </c>
      <c r="B141" s="42">
        <f t="shared" ref="B141:S141" si="37">B139+B140</f>
        <v>0</v>
      </c>
      <c r="C141" s="42">
        <f t="shared" si="37"/>
        <v>0</v>
      </c>
      <c r="D141" s="42">
        <f t="shared" si="37"/>
        <v>0</v>
      </c>
      <c r="E141" s="42">
        <f t="shared" si="37"/>
        <v>0</v>
      </c>
      <c r="F141" s="42">
        <f t="shared" si="37"/>
        <v>0</v>
      </c>
      <c r="G141" s="42">
        <f t="shared" si="37"/>
        <v>0</v>
      </c>
      <c r="H141" s="42">
        <f t="shared" si="37"/>
        <v>0</v>
      </c>
      <c r="I141" s="42">
        <f t="shared" si="37"/>
        <v>0</v>
      </c>
      <c r="J141" s="42">
        <f t="shared" si="37"/>
        <v>0</v>
      </c>
      <c r="K141" s="42">
        <f t="shared" si="37"/>
        <v>0</v>
      </c>
      <c r="L141" s="42">
        <f t="shared" si="37"/>
        <v>0</v>
      </c>
      <c r="M141" s="42">
        <f t="shared" si="37"/>
        <v>0</v>
      </c>
      <c r="N141" s="42">
        <f t="shared" si="37"/>
        <v>0</v>
      </c>
      <c r="O141" s="42">
        <f t="shared" si="37"/>
        <v>0</v>
      </c>
      <c r="P141" s="40">
        <f t="shared" si="37"/>
        <v>11.31047</v>
      </c>
      <c r="Q141" s="40">
        <f t="shared" si="37"/>
        <v>9.1705500000000004</v>
      </c>
      <c r="R141" s="40">
        <f t="shared" si="37"/>
        <v>16.264913099999998</v>
      </c>
      <c r="S141" s="40">
        <f t="shared" si="37"/>
        <v>15.471437699999999</v>
      </c>
      <c r="T141" s="40">
        <f>T139+T140</f>
        <v>22.235999200000002</v>
      </c>
    </row>
    <row r="142" spans="1:20" s="2" customFormat="1" x14ac:dyDescent="0.25">
      <c r="A142" s="21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58"/>
      <c r="Q142" s="58"/>
      <c r="R142" s="58"/>
      <c r="S142" s="58"/>
      <c r="T142" s="58"/>
    </row>
    <row r="143" spans="1:20" s="2" customFormat="1" x14ac:dyDescent="0.25">
      <c r="A143" s="21" t="s">
        <v>105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32">
        <f>1.736874931+0.000000125</f>
        <v>1.7368750559999999</v>
      </c>
      <c r="Q143" s="32">
        <f>0.4664239+0.000000125</f>
        <v>0.46642402500000002</v>
      </c>
      <c r="R143" s="32">
        <v>1.4907710000000001</v>
      </c>
      <c r="S143" s="32">
        <v>1.8906006</v>
      </c>
      <c r="T143" s="32">
        <v>1.5310926</v>
      </c>
    </row>
    <row r="144" spans="1:20" s="2" customFormat="1" ht="15.6" x14ac:dyDescent="0.3">
      <c r="A144" s="21" t="s">
        <v>106</v>
      </c>
      <c r="B144" s="42"/>
      <c r="C144" s="42"/>
      <c r="D144" s="42"/>
      <c r="E144" s="42"/>
      <c r="F144" s="42"/>
      <c r="G144" s="42"/>
      <c r="H144" s="52"/>
      <c r="I144" s="42"/>
      <c r="J144" s="42"/>
      <c r="K144" s="42"/>
      <c r="L144" s="42"/>
      <c r="M144" s="42"/>
      <c r="N144" s="42"/>
      <c r="O144" s="42"/>
      <c r="P144" s="32">
        <v>0.51504839599999996</v>
      </c>
      <c r="Q144" s="32">
        <f>0.0002212</f>
        <v>2.2120000000000001E-4</v>
      </c>
      <c r="R144" s="32"/>
      <c r="S144" s="32"/>
      <c r="T144" s="32"/>
    </row>
    <row r="145" spans="1:20" s="2" customFormat="1" x14ac:dyDescent="0.25">
      <c r="A145" s="21" t="s">
        <v>107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32"/>
      <c r="Q145" s="32"/>
      <c r="R145" s="32"/>
      <c r="S145" s="32"/>
      <c r="T145" s="32"/>
    </row>
    <row r="146" spans="1:20" s="2" customFormat="1" x14ac:dyDescent="0.25">
      <c r="A146" s="21" t="s">
        <v>108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32"/>
      <c r="Q146" s="32"/>
      <c r="R146" s="32"/>
      <c r="S146" s="32"/>
      <c r="T146" s="32"/>
    </row>
    <row r="147" spans="1:20" s="2" customFormat="1" x14ac:dyDescent="0.25">
      <c r="A147" s="21" t="s">
        <v>109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32"/>
      <c r="Q147" s="32"/>
      <c r="R147" s="32"/>
      <c r="S147" s="32"/>
      <c r="T147" s="32"/>
    </row>
    <row r="148" spans="1:20" s="2" customFormat="1" x14ac:dyDescent="0.25">
      <c r="A148" s="24" t="s">
        <v>110</v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32"/>
      <c r="Q148" s="32"/>
      <c r="R148" s="32"/>
      <c r="S148" s="32"/>
      <c r="T148" s="32"/>
    </row>
    <row r="149" spans="1:20" s="2" customFormat="1" x14ac:dyDescent="0.25">
      <c r="A149" s="21" t="s">
        <v>111</v>
      </c>
      <c r="B149" s="48">
        <f t="shared" ref="B149:S149" si="38">SUM(B146:B148)</f>
        <v>0</v>
      </c>
      <c r="C149" s="48">
        <f t="shared" si="38"/>
        <v>0</v>
      </c>
      <c r="D149" s="48">
        <f t="shared" si="38"/>
        <v>0</v>
      </c>
      <c r="E149" s="48">
        <f t="shared" si="38"/>
        <v>0</v>
      </c>
      <c r="F149" s="48">
        <f t="shared" si="38"/>
        <v>0</v>
      </c>
      <c r="G149" s="48">
        <f t="shared" si="38"/>
        <v>0</v>
      </c>
      <c r="H149" s="48">
        <f t="shared" si="38"/>
        <v>0</v>
      </c>
      <c r="I149" s="48">
        <f t="shared" si="38"/>
        <v>0</v>
      </c>
      <c r="J149" s="48">
        <f t="shared" si="38"/>
        <v>0</v>
      </c>
      <c r="K149" s="48">
        <f t="shared" si="38"/>
        <v>0</v>
      </c>
      <c r="L149" s="48">
        <f t="shared" si="38"/>
        <v>0</v>
      </c>
      <c r="M149" s="48">
        <f t="shared" si="38"/>
        <v>0</v>
      </c>
      <c r="N149" s="48">
        <f t="shared" si="38"/>
        <v>0</v>
      </c>
      <c r="O149" s="48">
        <f>SUM(O146:O148)</f>
        <v>0</v>
      </c>
      <c r="P149" s="36">
        <f t="shared" si="38"/>
        <v>0</v>
      </c>
      <c r="Q149" s="36">
        <f t="shared" si="38"/>
        <v>0</v>
      </c>
      <c r="R149" s="36">
        <f t="shared" si="38"/>
        <v>0</v>
      </c>
      <c r="S149" s="36">
        <f t="shared" si="38"/>
        <v>0</v>
      </c>
      <c r="T149" s="36">
        <f>SUM(T146:T148)</f>
        <v>0</v>
      </c>
    </row>
    <row r="150" spans="1:20" s="2" customFormat="1" x14ac:dyDescent="0.25">
      <c r="A150" s="21" t="s">
        <v>112</v>
      </c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32"/>
      <c r="Q150" s="32"/>
      <c r="R150" s="32"/>
      <c r="S150" s="32"/>
      <c r="T150" s="32"/>
    </row>
    <row r="151" spans="1:20" s="2" customFormat="1" x14ac:dyDescent="0.25">
      <c r="A151" s="23" t="s">
        <v>113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32">
        <f>0.08415718+0.085923546+0.894375+0.115151+0.093592+0.000740755</f>
        <v>1.273939481</v>
      </c>
      <c r="Q151" s="32">
        <f>0.19402373+0.295846438+0.0536+0.008528901</f>
        <v>0.55199906900000006</v>
      </c>
      <c r="R151" s="32">
        <f>0.3028465+0.1076462</f>
        <v>0.41049270000000004</v>
      </c>
      <c r="S151" s="32">
        <f>0.4983786+0.1396225</f>
        <v>0.63800109999999999</v>
      </c>
      <c r="T151" s="32">
        <f>0.6414+0.2042</f>
        <v>0.84559999999999991</v>
      </c>
    </row>
    <row r="152" spans="1:20" s="2" customFormat="1" x14ac:dyDescent="0.25">
      <c r="A152" s="22" t="s">
        <v>114</v>
      </c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32"/>
      <c r="Q152" s="32"/>
      <c r="R152" s="32"/>
      <c r="S152" s="32"/>
      <c r="T152" s="32"/>
    </row>
    <row r="153" spans="1:20" s="2" customFormat="1" x14ac:dyDescent="0.25">
      <c r="A153" s="22" t="s">
        <v>115</v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32"/>
      <c r="Q153" s="32"/>
      <c r="R153" s="32"/>
      <c r="S153" s="32"/>
      <c r="T153" s="32"/>
    </row>
    <row r="154" spans="1:20" s="27" customFormat="1" x14ac:dyDescent="0.25">
      <c r="A154" s="74" t="s">
        <v>116</v>
      </c>
      <c r="B154" s="44">
        <f>SUM(B132:B137)+B143+B144+B145+B149+B150+B151+B153+B152</f>
        <v>0</v>
      </c>
      <c r="C154" s="44">
        <f t="shared" ref="C154:S154" si="39">SUM(C132:C137)+C143+C144+C145+C149+C150+C151+C153+C152</f>
        <v>0</v>
      </c>
      <c r="D154" s="44">
        <f t="shared" si="39"/>
        <v>0</v>
      </c>
      <c r="E154" s="44">
        <f t="shared" si="39"/>
        <v>0</v>
      </c>
      <c r="F154" s="44">
        <f t="shared" si="39"/>
        <v>0</v>
      </c>
      <c r="G154" s="44">
        <f t="shared" si="39"/>
        <v>0</v>
      </c>
      <c r="H154" s="44">
        <f t="shared" si="39"/>
        <v>0</v>
      </c>
      <c r="I154" s="44">
        <f t="shared" si="39"/>
        <v>0</v>
      </c>
      <c r="J154" s="44">
        <f t="shared" si="39"/>
        <v>0</v>
      </c>
      <c r="K154" s="44">
        <f t="shared" si="39"/>
        <v>0</v>
      </c>
      <c r="L154" s="44">
        <f t="shared" si="39"/>
        <v>0</v>
      </c>
      <c r="M154" s="44">
        <f t="shared" si="39"/>
        <v>0</v>
      </c>
      <c r="N154" s="44">
        <f t="shared" si="39"/>
        <v>0</v>
      </c>
      <c r="O154" s="44">
        <f>SUM(O132:O137)+O143+O144+O145+O149+O150+O151+O153+O152</f>
        <v>0</v>
      </c>
      <c r="P154" s="55">
        <f t="shared" si="39"/>
        <v>13.762962932999999</v>
      </c>
      <c r="Q154" s="55">
        <f t="shared" si="39"/>
        <v>8.8986442940000003</v>
      </c>
      <c r="R154" s="55">
        <f t="shared" si="39"/>
        <v>17.234380199999997</v>
      </c>
      <c r="S154" s="55">
        <f t="shared" si="39"/>
        <v>16.976843299999999</v>
      </c>
      <c r="T154" s="55">
        <f>SUM(T132:T137)+T143+T144+T145+T149+T150+T151+T153+T152</f>
        <v>23.087291800000003</v>
      </c>
    </row>
    <row r="155" spans="1:20" s="2" customFormat="1" x14ac:dyDescent="0.25">
      <c r="A155" s="16" t="s">
        <v>117</v>
      </c>
      <c r="B155" s="44">
        <f t="shared" ref="B155:S155" si="40">B129+B154+B121</f>
        <v>0</v>
      </c>
      <c r="C155" s="44">
        <f t="shared" si="40"/>
        <v>0</v>
      </c>
      <c r="D155" s="44">
        <f t="shared" si="40"/>
        <v>0</v>
      </c>
      <c r="E155" s="44">
        <f t="shared" si="40"/>
        <v>0</v>
      </c>
      <c r="F155" s="44">
        <f t="shared" si="40"/>
        <v>0</v>
      </c>
      <c r="G155" s="44">
        <f t="shared" si="40"/>
        <v>0</v>
      </c>
      <c r="H155" s="44">
        <f t="shared" si="40"/>
        <v>0</v>
      </c>
      <c r="I155" s="44">
        <f t="shared" si="40"/>
        <v>0</v>
      </c>
      <c r="J155" s="44">
        <f t="shared" si="40"/>
        <v>0</v>
      </c>
      <c r="K155" s="44">
        <f t="shared" si="40"/>
        <v>0</v>
      </c>
      <c r="L155" s="44">
        <f t="shared" si="40"/>
        <v>0</v>
      </c>
      <c r="M155" s="44">
        <f t="shared" si="40"/>
        <v>0</v>
      </c>
      <c r="N155" s="44">
        <f t="shared" si="40"/>
        <v>0</v>
      </c>
      <c r="O155" s="44">
        <f>O129+O154+O121</f>
        <v>0</v>
      </c>
      <c r="P155" s="55">
        <f t="shared" si="40"/>
        <v>14.836332933</v>
      </c>
      <c r="Q155" s="55">
        <f t="shared" si="40"/>
        <v>10.189194294</v>
      </c>
      <c r="R155" s="55">
        <f t="shared" si="40"/>
        <v>18.166176799999995</v>
      </c>
      <c r="S155" s="55">
        <f t="shared" si="40"/>
        <v>18.000039399999999</v>
      </c>
      <c r="T155" s="55">
        <f>T129+T154+T121</f>
        <v>25.862721800000003</v>
      </c>
    </row>
    <row r="156" spans="1:20" s="2" customFormat="1" ht="14.4" thickBot="1" x14ac:dyDescent="0.3">
      <c r="A156" s="18" t="s">
        <v>118</v>
      </c>
      <c r="B156" s="47">
        <f t="shared" ref="B156:S156" si="41">B155+B119</f>
        <v>0</v>
      </c>
      <c r="C156" s="47">
        <f t="shared" si="41"/>
        <v>0</v>
      </c>
      <c r="D156" s="47">
        <f t="shared" si="41"/>
        <v>0</v>
      </c>
      <c r="E156" s="47">
        <f t="shared" si="41"/>
        <v>0</v>
      </c>
      <c r="F156" s="47">
        <f t="shared" si="41"/>
        <v>0</v>
      </c>
      <c r="G156" s="47">
        <f t="shared" si="41"/>
        <v>0</v>
      </c>
      <c r="H156" s="47">
        <f t="shared" si="41"/>
        <v>0</v>
      </c>
      <c r="I156" s="47">
        <f t="shared" si="41"/>
        <v>0</v>
      </c>
      <c r="J156" s="47">
        <f t="shared" si="41"/>
        <v>0</v>
      </c>
      <c r="K156" s="47">
        <f t="shared" si="41"/>
        <v>0</v>
      </c>
      <c r="L156" s="47">
        <f t="shared" si="41"/>
        <v>0</v>
      </c>
      <c r="M156" s="47">
        <f t="shared" si="41"/>
        <v>0</v>
      </c>
      <c r="N156" s="47">
        <f t="shared" si="41"/>
        <v>0</v>
      </c>
      <c r="O156" s="47">
        <f>O155+O119</f>
        <v>0</v>
      </c>
      <c r="P156" s="60">
        <f t="shared" si="41"/>
        <v>24.473589834000002</v>
      </c>
      <c r="Q156" s="60">
        <f t="shared" si="41"/>
        <v>20.962550483000001</v>
      </c>
      <c r="R156" s="60">
        <f t="shared" si="41"/>
        <v>29.136276999999993</v>
      </c>
      <c r="S156" s="60">
        <f t="shared" si="41"/>
        <v>29.000039299999997</v>
      </c>
      <c r="T156" s="60">
        <f>T155+T119</f>
        <v>35.658861800000004</v>
      </c>
    </row>
    <row r="158" spans="1:20" x14ac:dyDescent="0.25">
      <c r="P158" s="77"/>
      <c r="Q158" s="77"/>
      <c r="R158" s="77"/>
      <c r="S158" s="77"/>
      <c r="T158" s="77"/>
    </row>
    <row r="164" spans="9:11" x14ac:dyDescent="0.25">
      <c r="I164" s="25"/>
      <c r="J164" s="25"/>
      <c r="K164" s="25"/>
    </row>
    <row r="165" spans="9:11" x14ac:dyDescent="0.25">
      <c r="I165" s="25"/>
      <c r="J165" s="25"/>
      <c r="K165" s="25"/>
    </row>
    <row r="166" spans="9:11" x14ac:dyDescent="0.25">
      <c r="I166" s="25"/>
      <c r="J166" s="25"/>
      <c r="K166" s="25"/>
    </row>
    <row r="167" spans="9:11" x14ac:dyDescent="0.25">
      <c r="I167" s="25"/>
      <c r="J167" s="25"/>
      <c r="K167" s="2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7838-BAB1-4F85-8EDB-3B70EE5BCD2A}">
  <dimension ref="A1:T60"/>
  <sheetViews>
    <sheetView topLeftCell="D1" workbookViewId="0">
      <selection sqref="A1:T60"/>
    </sheetView>
  </sheetViews>
  <sheetFormatPr defaultRowHeight="13.2" x14ac:dyDescent="0.25"/>
  <cols>
    <col min="1" max="1" width="40.5546875" customWidth="1"/>
  </cols>
  <sheetData>
    <row r="1" spans="1:20" ht="18" thickBot="1" x14ac:dyDescent="0.35">
      <c r="A1" s="4" t="s">
        <v>0</v>
      </c>
      <c r="B1" s="5"/>
      <c r="C1" s="5"/>
      <c r="D1" s="5"/>
      <c r="E1" s="5"/>
      <c r="F1" s="5"/>
      <c r="G1" s="5"/>
      <c r="H1" s="5"/>
      <c r="I1" s="5"/>
      <c r="J1" s="29" t="e">
        <f>#REF!</f>
        <v>#REF!</v>
      </c>
      <c r="K1" s="29" t="e">
        <f>#REF!</f>
        <v>#REF!</v>
      </c>
      <c r="L1" s="29" t="e">
        <f>#REF!</f>
        <v>#REF!</v>
      </c>
      <c r="M1" s="29" t="e">
        <f>#REF!</f>
        <v>#REF!</v>
      </c>
      <c r="N1" s="29" t="e">
        <f>#REF!</f>
        <v>#REF!</v>
      </c>
      <c r="O1" s="29" t="e">
        <f>#REF!</f>
        <v>#REF!</v>
      </c>
      <c r="P1" s="66">
        <v>42825</v>
      </c>
      <c r="Q1" s="66">
        <v>43190</v>
      </c>
      <c r="R1" s="66">
        <v>43555</v>
      </c>
      <c r="S1" s="66">
        <v>43921</v>
      </c>
      <c r="T1" s="66">
        <v>44286</v>
      </c>
    </row>
    <row r="2" spans="1:20" ht="13.8" x14ac:dyDescent="0.25">
      <c r="A2" s="68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32">
        <v>47.777526356999999</v>
      </c>
      <c r="Q2" s="32">
        <v>30.758356049</v>
      </c>
      <c r="R2" s="32">
        <v>40.738365999999999</v>
      </c>
      <c r="S2" s="32">
        <v>49.391747600000002</v>
      </c>
      <c r="T2" s="32">
        <v>72.0237178</v>
      </c>
    </row>
    <row r="3" spans="1:20" ht="13.8" x14ac:dyDescent="0.25">
      <c r="A3" s="6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32"/>
      <c r="Q3" s="32"/>
      <c r="R3" s="32"/>
      <c r="S3" s="32"/>
      <c r="T3" s="32"/>
    </row>
    <row r="4" spans="1:20" ht="13.8" x14ac:dyDescent="0.25">
      <c r="A4" s="6" t="s">
        <v>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54"/>
      <c r="Q4" s="54"/>
      <c r="R4" s="54"/>
      <c r="S4" s="54"/>
      <c r="T4" s="54"/>
    </row>
    <row r="5" spans="1:20" ht="13.8" x14ac:dyDescent="0.25">
      <c r="A5" s="7" t="s">
        <v>4</v>
      </c>
      <c r="B5" s="44">
        <f t="shared" ref="B5:S5" si="0">B2+B3+B4</f>
        <v>0</v>
      </c>
      <c r="C5" s="44">
        <f t="shared" si="0"/>
        <v>0</v>
      </c>
      <c r="D5" s="44">
        <f t="shared" si="0"/>
        <v>0</v>
      </c>
      <c r="E5" s="44">
        <f t="shared" si="0"/>
        <v>0</v>
      </c>
      <c r="F5" s="44">
        <f t="shared" si="0"/>
        <v>0</v>
      </c>
      <c r="G5" s="44">
        <f t="shared" si="0"/>
        <v>0</v>
      </c>
      <c r="H5" s="44">
        <f t="shared" si="0"/>
        <v>0</v>
      </c>
      <c r="I5" s="44">
        <f>I2+I3+I4</f>
        <v>0</v>
      </c>
      <c r="J5" s="44">
        <f>J2+J3+J4</f>
        <v>0</v>
      </c>
      <c r="K5" s="44">
        <f t="shared" si="0"/>
        <v>0</v>
      </c>
      <c r="L5" s="44">
        <f t="shared" si="0"/>
        <v>0</v>
      </c>
      <c r="M5" s="44">
        <f t="shared" si="0"/>
        <v>0</v>
      </c>
      <c r="N5" s="44">
        <f t="shared" si="0"/>
        <v>0</v>
      </c>
      <c r="O5" s="44">
        <f t="shared" si="0"/>
        <v>0</v>
      </c>
      <c r="P5" s="55">
        <f>P2+P3+P4</f>
        <v>47.777526356999999</v>
      </c>
      <c r="Q5" s="55">
        <f>Q2+Q3+Q4</f>
        <v>30.758356049</v>
      </c>
      <c r="R5" s="55">
        <f t="shared" si="0"/>
        <v>40.738365999999999</v>
      </c>
      <c r="S5" s="55">
        <f t="shared" si="0"/>
        <v>49.391747600000002</v>
      </c>
      <c r="T5" s="55">
        <f>T2+T3+T4</f>
        <v>72.0237178</v>
      </c>
    </row>
    <row r="6" spans="1:20" ht="13.8" x14ac:dyDescent="0.25">
      <c r="A6" s="6" t="s">
        <v>5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32">
        <v>0.22924518699999999</v>
      </c>
      <c r="Q6" s="32">
        <v>9.8981780000000005E-3</v>
      </c>
      <c r="R6" s="32"/>
      <c r="S6" s="32"/>
      <c r="T6" s="32"/>
    </row>
    <row r="7" spans="1:20" ht="13.8" x14ac:dyDescent="0.25">
      <c r="A7" s="69" t="s">
        <v>6</v>
      </c>
      <c r="B7" s="44">
        <f t="shared" ref="B7:S7" si="1">B5+B6</f>
        <v>0</v>
      </c>
      <c r="C7" s="44">
        <f t="shared" si="1"/>
        <v>0</v>
      </c>
      <c r="D7" s="44">
        <f t="shared" si="1"/>
        <v>0</v>
      </c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  <c r="M7" s="44">
        <f t="shared" si="1"/>
        <v>0</v>
      </c>
      <c r="N7" s="44">
        <f t="shared" si="1"/>
        <v>0</v>
      </c>
      <c r="O7" s="44">
        <f t="shared" si="1"/>
        <v>0</v>
      </c>
      <c r="P7" s="56">
        <f t="shared" si="1"/>
        <v>48.006771543999996</v>
      </c>
      <c r="Q7" s="56">
        <f>Q5+Q6</f>
        <v>30.768254227</v>
      </c>
      <c r="R7" s="56">
        <f>R5+R6</f>
        <v>40.738365999999999</v>
      </c>
      <c r="S7" s="56">
        <f t="shared" si="1"/>
        <v>49.391747600000002</v>
      </c>
      <c r="T7" s="56">
        <f>T5+T6</f>
        <v>72.0237178</v>
      </c>
    </row>
    <row r="8" spans="1:20" ht="13.8" x14ac:dyDescent="0.25">
      <c r="A8" s="70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57"/>
      <c r="Q8" s="57"/>
      <c r="R8" s="57"/>
      <c r="S8" s="57"/>
      <c r="T8" s="57"/>
    </row>
    <row r="9" spans="1:20" ht="13.8" x14ac:dyDescent="0.25">
      <c r="A9" s="6" t="s">
        <v>7</v>
      </c>
      <c r="B9" s="42"/>
      <c r="C9" s="42"/>
      <c r="D9" s="42"/>
      <c r="E9" s="42"/>
      <c r="F9" s="42"/>
      <c r="G9" s="42"/>
      <c r="H9" s="43"/>
      <c r="I9" s="43"/>
      <c r="J9" s="43"/>
      <c r="K9" s="43"/>
      <c r="L9" s="43"/>
      <c r="M9" s="43"/>
      <c r="N9" s="43"/>
      <c r="O9" s="43"/>
      <c r="P9" s="32">
        <v>39.329501047000001</v>
      </c>
      <c r="Q9" s="32">
        <v>20.136339062000001</v>
      </c>
      <c r="R9" s="32">
        <v>35.816932600000001</v>
      </c>
      <c r="S9" s="32">
        <v>40.066705499999998</v>
      </c>
      <c r="T9" s="32">
        <v>61.513100000000001</v>
      </c>
    </row>
    <row r="10" spans="1:20" ht="13.8" x14ac:dyDescent="0.25">
      <c r="A10" s="6" t="s">
        <v>8</v>
      </c>
      <c r="B10" s="42"/>
      <c r="C10" s="42"/>
      <c r="D10" s="42"/>
      <c r="E10" s="42"/>
      <c r="F10" s="42"/>
      <c r="G10" s="42"/>
      <c r="H10" s="43"/>
      <c r="I10" s="43"/>
      <c r="J10" s="43"/>
      <c r="K10" s="43"/>
      <c r="L10" s="43"/>
      <c r="M10" s="43"/>
      <c r="N10" s="43"/>
      <c r="O10" s="43"/>
      <c r="P10" s="32"/>
      <c r="Q10" s="32">
        <v>0.96047518099999996</v>
      </c>
      <c r="R10" s="32">
        <v>1.7240953999999999</v>
      </c>
      <c r="S10" s="32"/>
      <c r="T10" s="32"/>
    </row>
    <row r="11" spans="1:20" ht="13.8" x14ac:dyDescent="0.25">
      <c r="A11" s="6" t="s">
        <v>9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54">
        <v>-2.3085669000000002</v>
      </c>
      <c r="Q11" s="54">
        <v>4.456518</v>
      </c>
      <c r="R11" s="54">
        <f>-0.3182349-3.0044295-0.2153048</f>
        <v>-3.5379692</v>
      </c>
      <c r="S11" s="54">
        <f>0.1877943-0.4935907+0.2191152</f>
        <v>-8.6681199999999958E-2</v>
      </c>
      <c r="T11" s="54">
        <v>0.29086499999999998</v>
      </c>
    </row>
    <row r="12" spans="1:20" ht="13.8" x14ac:dyDescent="0.25">
      <c r="A12" s="71" t="s">
        <v>10</v>
      </c>
      <c r="B12" s="42"/>
      <c r="C12" s="42"/>
      <c r="D12" s="42"/>
      <c r="E12" s="42"/>
      <c r="F12" s="42"/>
      <c r="G12" s="42"/>
      <c r="H12" s="43"/>
      <c r="I12" s="43"/>
      <c r="J12" s="43"/>
      <c r="K12" s="43"/>
      <c r="L12" s="43"/>
      <c r="M12" s="43"/>
      <c r="N12" s="43"/>
      <c r="O12" s="43"/>
      <c r="P12" s="32">
        <v>4.0248639000000003E-2</v>
      </c>
      <c r="Q12" s="32">
        <v>2.0955293999999999E-2</v>
      </c>
      <c r="R12" s="32">
        <f>0.0119794</f>
        <v>1.1979399999999999E-2</v>
      </c>
      <c r="S12" s="32">
        <f>0.023471</f>
        <v>2.3470999999999999E-2</v>
      </c>
      <c r="T12" s="32">
        <v>1.04E-2</v>
      </c>
    </row>
    <row r="13" spans="1:20" ht="13.8" x14ac:dyDescent="0.25">
      <c r="A13" s="6" t="s">
        <v>11</v>
      </c>
      <c r="B13" s="42"/>
      <c r="C13" s="42"/>
      <c r="D13" s="42"/>
      <c r="E13" s="42"/>
      <c r="F13" s="42"/>
      <c r="G13" s="42"/>
      <c r="H13" s="43"/>
      <c r="I13" s="43"/>
      <c r="J13" s="43"/>
      <c r="K13" s="43"/>
      <c r="L13" s="43"/>
      <c r="M13" s="43"/>
      <c r="N13" s="43"/>
      <c r="O13" s="43"/>
      <c r="P13" s="32">
        <v>0.58949530000000006</v>
      </c>
      <c r="Q13" s="32">
        <v>0.57796352699999998</v>
      </c>
      <c r="R13" s="32">
        <v>0.9043156</v>
      </c>
      <c r="S13" s="32">
        <v>1.1495668999999999</v>
      </c>
      <c r="T13" s="32">
        <v>1.13828</v>
      </c>
    </row>
    <row r="14" spans="1:20" ht="13.8" x14ac:dyDescent="0.25">
      <c r="A14" s="6" t="s">
        <v>12</v>
      </c>
      <c r="B14" s="42"/>
      <c r="C14" s="42"/>
      <c r="D14" s="42"/>
      <c r="E14" s="42"/>
      <c r="F14" s="42"/>
      <c r="G14" s="42"/>
      <c r="H14" s="43"/>
      <c r="I14" s="43"/>
      <c r="J14" s="43"/>
      <c r="K14" s="43"/>
      <c r="L14" s="43"/>
      <c r="M14" s="43"/>
      <c r="N14" s="43"/>
      <c r="O14" s="43"/>
      <c r="P14" s="32">
        <v>0.26545419999999997</v>
      </c>
      <c r="Q14" s="32">
        <f>0.2838879</f>
        <v>0.28388790000000003</v>
      </c>
      <c r="R14" s="32">
        <v>0.30629729999999999</v>
      </c>
      <c r="S14" s="32">
        <v>0.3259396</v>
      </c>
      <c r="T14" s="32">
        <v>0.35322999999999999</v>
      </c>
    </row>
    <row r="15" spans="1:20" ht="13.8" x14ac:dyDescent="0.25">
      <c r="A15" s="6" t="s">
        <v>13</v>
      </c>
      <c r="B15" s="42"/>
      <c r="C15" s="42"/>
      <c r="D15" s="42"/>
      <c r="E15" s="42"/>
      <c r="F15" s="42"/>
      <c r="G15" s="42"/>
      <c r="H15" s="43"/>
      <c r="I15" s="43"/>
      <c r="J15" s="43"/>
      <c r="K15" s="43"/>
      <c r="L15" s="43"/>
      <c r="M15" s="43"/>
      <c r="N15" s="43"/>
      <c r="O15" s="43"/>
      <c r="P15" s="32">
        <f>1.390913919-P13-P12</f>
        <v>0.76116997999999991</v>
      </c>
      <c r="Q15" s="32">
        <f>1.296590849-Q13-Q12</f>
        <v>0.69767202800000006</v>
      </c>
      <c r="R15" s="32">
        <f>0.3226382+0.1520295+0.4210953+0.0546759</f>
        <v>0.95043890000000009</v>
      </c>
      <c r="S15" s="32">
        <f>0.3683382+0.2649489+0.4660959+0.134632</f>
        <v>1.2340150000000001</v>
      </c>
      <c r="T15" s="32">
        <f>0.3469+0.568+0.4464+0.101203</f>
        <v>1.4625029999999999</v>
      </c>
    </row>
    <row r="16" spans="1:20" ht="13.8" x14ac:dyDescent="0.25">
      <c r="A16" s="7" t="s">
        <v>14</v>
      </c>
      <c r="B16" s="44">
        <f t="shared" ref="B16:S16" si="2">SUM(B9:B15)</f>
        <v>0</v>
      </c>
      <c r="C16" s="44">
        <f t="shared" si="2"/>
        <v>0</v>
      </c>
      <c r="D16" s="44">
        <f t="shared" si="2"/>
        <v>0</v>
      </c>
      <c r="E16" s="44">
        <f t="shared" si="2"/>
        <v>0</v>
      </c>
      <c r="F16" s="44">
        <f t="shared" si="2"/>
        <v>0</v>
      </c>
      <c r="G16" s="44">
        <f t="shared" si="2"/>
        <v>0</v>
      </c>
      <c r="H16" s="44">
        <f t="shared" si="2"/>
        <v>0</v>
      </c>
      <c r="I16" s="44">
        <f t="shared" si="2"/>
        <v>0</v>
      </c>
      <c r="J16" s="44">
        <f t="shared" si="2"/>
        <v>0</v>
      </c>
      <c r="K16" s="44">
        <f t="shared" si="2"/>
        <v>0</v>
      </c>
      <c r="L16" s="44">
        <f t="shared" si="2"/>
        <v>0</v>
      </c>
      <c r="M16" s="44">
        <f t="shared" si="2"/>
        <v>0</v>
      </c>
      <c r="N16" s="44">
        <f t="shared" si="2"/>
        <v>0</v>
      </c>
      <c r="O16" s="44">
        <f t="shared" si="2"/>
        <v>0</v>
      </c>
      <c r="P16" s="55">
        <f t="shared" si="2"/>
        <v>38.677302265999998</v>
      </c>
      <c r="Q16" s="55">
        <f>SUM(Q9:Q15)</f>
        <v>27.133810992000001</v>
      </c>
      <c r="R16" s="55">
        <f>SUM(R9:R15)</f>
        <v>36.176090000000002</v>
      </c>
      <c r="S16" s="55">
        <f t="shared" si="2"/>
        <v>42.713016799999991</v>
      </c>
      <c r="T16" s="55">
        <f>SUM(T9:T15)</f>
        <v>64.768377999999998</v>
      </c>
    </row>
    <row r="17" spans="1:20" ht="13.8" x14ac:dyDescent="0.25">
      <c r="A17" s="7" t="s">
        <v>15</v>
      </c>
      <c r="B17" s="44">
        <f t="shared" ref="B17:S17" si="3">B7-B16</f>
        <v>0</v>
      </c>
      <c r="C17" s="44">
        <f t="shared" si="3"/>
        <v>0</v>
      </c>
      <c r="D17" s="44">
        <f t="shared" si="3"/>
        <v>0</v>
      </c>
      <c r="E17" s="44">
        <f t="shared" si="3"/>
        <v>0</v>
      </c>
      <c r="F17" s="44">
        <f t="shared" si="3"/>
        <v>0</v>
      </c>
      <c r="G17" s="44">
        <f t="shared" si="3"/>
        <v>0</v>
      </c>
      <c r="H17" s="44">
        <f t="shared" si="3"/>
        <v>0</v>
      </c>
      <c r="I17" s="44">
        <f t="shared" si="3"/>
        <v>0</v>
      </c>
      <c r="J17" s="44">
        <f t="shared" si="3"/>
        <v>0</v>
      </c>
      <c r="K17" s="44">
        <f t="shared" si="3"/>
        <v>0</v>
      </c>
      <c r="L17" s="44">
        <f t="shared" si="3"/>
        <v>0</v>
      </c>
      <c r="M17" s="44">
        <f t="shared" si="3"/>
        <v>0</v>
      </c>
      <c r="N17" s="44">
        <f t="shared" si="3"/>
        <v>0</v>
      </c>
      <c r="O17" s="44">
        <f t="shared" si="3"/>
        <v>0</v>
      </c>
      <c r="P17" s="55">
        <f t="shared" si="3"/>
        <v>9.3294692779999977</v>
      </c>
      <c r="Q17" s="55">
        <f>Q7-Q16</f>
        <v>3.6344432349999991</v>
      </c>
      <c r="R17" s="55">
        <f>R7-R16</f>
        <v>4.5622759999999971</v>
      </c>
      <c r="S17" s="55">
        <f t="shared" si="3"/>
        <v>6.678730800000011</v>
      </c>
      <c r="T17" s="55">
        <f>T7-T16</f>
        <v>7.2553398000000016</v>
      </c>
    </row>
    <row r="18" spans="1:20" ht="13.8" x14ac:dyDescent="0.25">
      <c r="A18" s="6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58"/>
      <c r="Q18" s="58"/>
      <c r="R18" s="58"/>
      <c r="S18" s="58"/>
      <c r="T18" s="58"/>
    </row>
    <row r="19" spans="1:20" ht="13.8" x14ac:dyDescent="0.25">
      <c r="A19" s="6" t="s">
        <v>16</v>
      </c>
      <c r="B19" s="42"/>
      <c r="C19" s="42"/>
      <c r="D19" s="42"/>
      <c r="E19" s="42"/>
      <c r="F19" s="42"/>
      <c r="G19" s="42"/>
      <c r="H19" s="43"/>
      <c r="I19" s="43"/>
      <c r="J19" s="43"/>
      <c r="K19" s="43"/>
      <c r="L19" s="43"/>
      <c r="M19" s="43"/>
      <c r="N19" s="43"/>
      <c r="O19" s="43"/>
      <c r="P19" s="32">
        <v>3.2669834830000002</v>
      </c>
      <c r="Q19" s="32">
        <v>2.169516335</v>
      </c>
      <c r="R19" s="32">
        <f>0.017355+0.0105106+0.1290009+0.19611+0.3631982+1.0780571+0.1176066+0.7618485</f>
        <v>2.6736869000000003</v>
      </c>
      <c r="S19" s="32">
        <f>0.0158633+0.0219362+0.1251661+0.31471+0.0446948+1.2324848+0.1207111+1.195757</f>
        <v>3.0713233</v>
      </c>
      <c r="T19" s="32">
        <f>0.01645+0.01939+0.17928+0.05+1.98+1.2328</f>
        <v>3.4779200000000001</v>
      </c>
    </row>
    <row r="20" spans="1:20" ht="13.8" x14ac:dyDescent="0.25">
      <c r="A20" s="6" t="s">
        <v>17</v>
      </c>
      <c r="B20" s="42"/>
      <c r="C20" s="42"/>
      <c r="D20" s="42"/>
      <c r="E20" s="42"/>
      <c r="F20" s="42"/>
      <c r="G20" s="42"/>
      <c r="H20" s="43"/>
      <c r="I20" s="43"/>
      <c r="J20" s="43"/>
      <c r="K20" s="43"/>
      <c r="L20" s="43"/>
      <c r="M20" s="43"/>
      <c r="N20" s="43"/>
      <c r="O20" s="43"/>
      <c r="P20" s="32"/>
      <c r="Q20" s="32"/>
      <c r="R20" s="32"/>
      <c r="S20" s="32"/>
      <c r="T20" s="32"/>
    </row>
    <row r="21" spans="1:20" ht="13.8" x14ac:dyDescent="0.25">
      <c r="A21" s="6" t="s">
        <v>18</v>
      </c>
      <c r="B21" s="42"/>
      <c r="C21" s="42"/>
      <c r="D21" s="42"/>
      <c r="E21" s="42"/>
      <c r="F21" s="42"/>
      <c r="G21" s="42"/>
      <c r="H21" s="43"/>
      <c r="I21" s="43"/>
      <c r="J21" s="43"/>
      <c r="K21" s="43"/>
      <c r="L21" s="43"/>
      <c r="M21" s="43"/>
      <c r="N21" s="43"/>
      <c r="O21" s="43"/>
      <c r="P21" s="32"/>
      <c r="Q21" s="32"/>
      <c r="R21" s="32"/>
      <c r="S21" s="32"/>
      <c r="T21" s="32"/>
    </row>
    <row r="22" spans="1:20" ht="13.8" x14ac:dyDescent="0.25">
      <c r="A22" s="6" t="s">
        <v>19</v>
      </c>
      <c r="B22" s="42"/>
      <c r="C22" s="42"/>
      <c r="D22" s="42"/>
      <c r="E22" s="42"/>
      <c r="F22" s="42"/>
      <c r="G22" s="42"/>
      <c r="H22" s="43"/>
      <c r="I22" s="43"/>
      <c r="J22" s="43"/>
      <c r="K22" s="43"/>
      <c r="L22" s="43"/>
      <c r="M22" s="43"/>
      <c r="N22" s="43"/>
      <c r="O22" s="43"/>
      <c r="P22" s="32">
        <v>0.87253569900000005</v>
      </c>
      <c r="Q22" s="32">
        <v>0.41173438000000001</v>
      </c>
      <c r="R22" s="32">
        <f>0.0036457+0.0322638+0.0226786+0.0086205+0.0112997+0.0181444+0.1210029+0.0020985+0.0697832+0.004811+0.00104+0.0064627+0.0036855+0.003735+0.0106839+0.0004825+0.0177155+0.0020245+0.039375+0.0011825-0.0092007+0.0025+R35</f>
        <v>0.17403469999999993</v>
      </c>
      <c r="S22" s="32">
        <f>0.013932+0.0691146+0.0254059+0.0135892+0.0291328+0.0155019+0.3188306+0.0036384+0.1614347+0.057418+0.00474+0.0431128+0.0080145+0.005481+0.007257+0.0008+0.00218+0.2375927+0.002289-0.0020493+0.003</f>
        <v>1.0204157999999999</v>
      </c>
      <c r="T22" s="32">
        <f>7.5215776-T12-T13-T15-T19</f>
        <v>1.4324745999999999</v>
      </c>
    </row>
    <row r="23" spans="1:20" ht="13.8" x14ac:dyDescent="0.25">
      <c r="A23" s="6" t="s">
        <v>20</v>
      </c>
      <c r="B23" s="46"/>
      <c r="C23" s="46"/>
      <c r="D23" s="46"/>
      <c r="E23" s="46"/>
      <c r="F23" s="46"/>
      <c r="G23" s="46"/>
      <c r="H23" s="43"/>
      <c r="I23" s="43"/>
      <c r="J23" s="43"/>
      <c r="K23" s="43"/>
      <c r="L23" s="43"/>
      <c r="M23" s="43"/>
      <c r="N23" s="43"/>
      <c r="O23" s="43"/>
      <c r="P23" s="59"/>
      <c r="Q23" s="59"/>
      <c r="R23" s="59"/>
      <c r="S23" s="59"/>
      <c r="T23" s="59"/>
    </row>
    <row r="24" spans="1:20" ht="13.8" x14ac:dyDescent="0.25">
      <c r="A24" s="69" t="s">
        <v>21</v>
      </c>
      <c r="B24" s="44">
        <f t="shared" ref="B24:S24" si="4">B16+B19+B20+B21+B22+B23</f>
        <v>0</v>
      </c>
      <c r="C24" s="44">
        <f t="shared" si="4"/>
        <v>0</v>
      </c>
      <c r="D24" s="44">
        <f t="shared" si="4"/>
        <v>0</v>
      </c>
      <c r="E24" s="44">
        <f t="shared" si="4"/>
        <v>0</v>
      </c>
      <c r="F24" s="44">
        <f t="shared" si="4"/>
        <v>0</v>
      </c>
      <c r="G24" s="44">
        <f t="shared" si="4"/>
        <v>0</v>
      </c>
      <c r="H24" s="44">
        <f t="shared" si="4"/>
        <v>0</v>
      </c>
      <c r="I24" s="44">
        <f t="shared" si="4"/>
        <v>0</v>
      </c>
      <c r="J24" s="44">
        <f t="shared" si="4"/>
        <v>0</v>
      </c>
      <c r="K24" s="44">
        <f t="shared" si="4"/>
        <v>0</v>
      </c>
      <c r="L24" s="44">
        <f t="shared" si="4"/>
        <v>0</v>
      </c>
      <c r="M24" s="44">
        <f t="shared" si="4"/>
        <v>0</v>
      </c>
      <c r="N24" s="44">
        <f t="shared" si="4"/>
        <v>0</v>
      </c>
      <c r="O24" s="44">
        <f t="shared" si="4"/>
        <v>0</v>
      </c>
      <c r="P24" s="56">
        <f t="shared" si="4"/>
        <v>42.816821447999992</v>
      </c>
      <c r="Q24" s="56">
        <f>Q16+Q19+Q20+Q21+Q22+Q23</f>
        <v>29.715061707</v>
      </c>
      <c r="R24" s="56">
        <f>R16+R19+R20+R21+R22+R23</f>
        <v>39.023811600000002</v>
      </c>
      <c r="S24" s="56">
        <f t="shared" si="4"/>
        <v>46.804755899999996</v>
      </c>
      <c r="T24" s="56">
        <f>T16+T19+T20+T21+T22+T23</f>
        <v>69.678772600000002</v>
      </c>
    </row>
    <row r="25" spans="1:20" ht="13.8" x14ac:dyDescent="0.25">
      <c r="A25" s="70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57"/>
      <c r="Q25" s="57"/>
      <c r="R25" s="57"/>
      <c r="S25" s="57"/>
      <c r="T25" s="57"/>
    </row>
    <row r="26" spans="1:20" ht="13.8" x14ac:dyDescent="0.25">
      <c r="A26" s="7" t="s">
        <v>22</v>
      </c>
      <c r="B26" s="44">
        <f t="shared" ref="B26:S26" si="5">B7-B24</f>
        <v>0</v>
      </c>
      <c r="C26" s="44">
        <f t="shared" si="5"/>
        <v>0</v>
      </c>
      <c r="D26" s="44">
        <f t="shared" si="5"/>
        <v>0</v>
      </c>
      <c r="E26" s="44">
        <f t="shared" si="5"/>
        <v>0</v>
      </c>
      <c r="F26" s="44">
        <f t="shared" si="5"/>
        <v>0</v>
      </c>
      <c r="G26" s="44">
        <f t="shared" si="5"/>
        <v>0</v>
      </c>
      <c r="H26" s="44">
        <f t="shared" si="5"/>
        <v>0</v>
      </c>
      <c r="I26" s="44">
        <f t="shared" si="5"/>
        <v>0</v>
      </c>
      <c r="J26" s="44">
        <f t="shared" si="5"/>
        <v>0</v>
      </c>
      <c r="K26" s="44">
        <f t="shared" si="5"/>
        <v>0</v>
      </c>
      <c r="L26" s="44">
        <f t="shared" si="5"/>
        <v>0</v>
      </c>
      <c r="M26" s="44">
        <f t="shared" si="5"/>
        <v>0</v>
      </c>
      <c r="N26" s="44">
        <f t="shared" si="5"/>
        <v>0</v>
      </c>
      <c r="O26" s="44">
        <f t="shared" si="5"/>
        <v>0</v>
      </c>
      <c r="P26" s="55">
        <f t="shared" si="5"/>
        <v>5.189950096000004</v>
      </c>
      <c r="Q26" s="55">
        <f>Q7-Q24</f>
        <v>1.0531925199999996</v>
      </c>
      <c r="R26" s="55">
        <f>R7-R24</f>
        <v>1.7145543999999973</v>
      </c>
      <c r="S26" s="55">
        <f t="shared" si="5"/>
        <v>2.5869917000000058</v>
      </c>
      <c r="T26" s="55">
        <f>T7-T24</f>
        <v>2.344945199999998</v>
      </c>
    </row>
    <row r="27" spans="1:20" ht="13.8" x14ac:dyDescent="0.25">
      <c r="A27" s="6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8"/>
      <c r="Q27" s="58"/>
      <c r="R27" s="58"/>
      <c r="S27" s="58"/>
      <c r="T27" s="58"/>
    </row>
    <row r="28" spans="1:20" ht="13.8" x14ac:dyDescent="0.25">
      <c r="A28" s="6" t="s">
        <v>23</v>
      </c>
      <c r="B28" s="42"/>
      <c r="C28" s="42"/>
      <c r="D28" s="42"/>
      <c r="E28" s="42"/>
      <c r="F28" s="42"/>
      <c r="G28" s="42"/>
      <c r="H28" s="43"/>
      <c r="I28" s="43"/>
      <c r="J28" s="43"/>
      <c r="K28" s="43"/>
      <c r="L28" s="43"/>
      <c r="M28" s="43"/>
      <c r="N28" s="42"/>
      <c r="O28" s="42"/>
      <c r="P28" s="32">
        <f>0.2463001-0.0389471</f>
        <v>0.20735300000000001</v>
      </c>
      <c r="Q28" s="32">
        <f>0.2764962-0.0389471</f>
        <v>0.23754910000000001</v>
      </c>
      <c r="R28" s="32">
        <f>0.281638-0.0389471</f>
        <v>0.24269089999999999</v>
      </c>
      <c r="S28" s="32">
        <f>0.2864506-0.0389471</f>
        <v>0.24750349999999999</v>
      </c>
      <c r="T28" s="32">
        <v>0.2807943</v>
      </c>
    </row>
    <row r="29" spans="1:20" ht="13.8" x14ac:dyDescent="0.25">
      <c r="A29" s="6" t="s">
        <v>24</v>
      </c>
      <c r="B29" s="42"/>
      <c r="C29" s="42"/>
      <c r="D29" s="42"/>
      <c r="E29" s="42"/>
      <c r="F29" s="42"/>
      <c r="G29" s="42"/>
      <c r="H29" s="43"/>
      <c r="I29" s="43"/>
      <c r="J29" s="43"/>
      <c r="K29" s="43"/>
      <c r="L29" s="43"/>
      <c r="M29" s="43"/>
      <c r="N29" s="42"/>
      <c r="O29" s="42"/>
      <c r="P29" s="32"/>
      <c r="Q29" s="32"/>
      <c r="R29" s="32"/>
      <c r="S29" s="32"/>
      <c r="T29" s="32"/>
    </row>
    <row r="30" spans="1:20" ht="13.8" x14ac:dyDescent="0.25">
      <c r="A30" s="7" t="s">
        <v>25</v>
      </c>
      <c r="B30" s="44">
        <f t="shared" ref="B30:S30" si="6">B24+B28+B29</f>
        <v>0</v>
      </c>
      <c r="C30" s="44">
        <f t="shared" si="6"/>
        <v>0</v>
      </c>
      <c r="D30" s="44">
        <f t="shared" si="6"/>
        <v>0</v>
      </c>
      <c r="E30" s="44">
        <f t="shared" si="6"/>
        <v>0</v>
      </c>
      <c r="F30" s="44">
        <f t="shared" si="6"/>
        <v>0</v>
      </c>
      <c r="G30" s="44">
        <f t="shared" si="6"/>
        <v>0</v>
      </c>
      <c r="H30" s="44">
        <f t="shared" si="6"/>
        <v>0</v>
      </c>
      <c r="I30" s="44">
        <f t="shared" si="6"/>
        <v>0</v>
      </c>
      <c r="J30" s="44">
        <f t="shared" si="6"/>
        <v>0</v>
      </c>
      <c r="K30" s="44">
        <f t="shared" si="6"/>
        <v>0</v>
      </c>
      <c r="L30" s="44">
        <f t="shared" si="6"/>
        <v>0</v>
      </c>
      <c r="M30" s="44">
        <f t="shared" si="6"/>
        <v>0</v>
      </c>
      <c r="N30" s="44">
        <f t="shared" si="6"/>
        <v>0</v>
      </c>
      <c r="O30" s="44">
        <f t="shared" si="6"/>
        <v>0</v>
      </c>
      <c r="P30" s="55">
        <f t="shared" si="6"/>
        <v>43.024174447999989</v>
      </c>
      <c r="Q30" s="55">
        <f>Q24+Q28+Q29</f>
        <v>29.952610806999999</v>
      </c>
      <c r="R30" s="55">
        <f>R24+R28+R29</f>
        <v>39.266502500000001</v>
      </c>
      <c r="S30" s="55">
        <f t="shared" si="6"/>
        <v>47.052259399999997</v>
      </c>
      <c r="T30" s="55">
        <f>T24+T28+T29</f>
        <v>69.959566899999999</v>
      </c>
    </row>
    <row r="31" spans="1:20" ht="13.8" x14ac:dyDescent="0.25">
      <c r="A31" s="6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58"/>
      <c r="Q31" s="58"/>
      <c r="R31" s="58"/>
      <c r="S31" s="58"/>
      <c r="T31" s="58"/>
    </row>
    <row r="32" spans="1:20" ht="13.8" x14ac:dyDescent="0.25">
      <c r="A32" s="7" t="s">
        <v>26</v>
      </c>
      <c r="B32" s="44">
        <f>B26-B28-B29</f>
        <v>0</v>
      </c>
      <c r="C32" s="44">
        <f t="shared" ref="C32:H32" si="7">C26-C28-C29</f>
        <v>0</v>
      </c>
      <c r="D32" s="44">
        <f t="shared" si="7"/>
        <v>0</v>
      </c>
      <c r="E32" s="44">
        <f t="shared" si="7"/>
        <v>0</v>
      </c>
      <c r="F32" s="44">
        <f t="shared" si="7"/>
        <v>0</v>
      </c>
      <c r="G32" s="44">
        <f t="shared" si="7"/>
        <v>0</v>
      </c>
      <c r="H32" s="44">
        <f t="shared" si="7"/>
        <v>0</v>
      </c>
      <c r="I32" s="44">
        <f t="shared" ref="I32:S32" si="8">I7-I30</f>
        <v>0</v>
      </c>
      <c r="J32" s="44">
        <f t="shared" si="8"/>
        <v>0</v>
      </c>
      <c r="K32" s="44">
        <f t="shared" si="8"/>
        <v>0</v>
      </c>
      <c r="L32" s="44">
        <f t="shared" si="8"/>
        <v>0</v>
      </c>
      <c r="M32" s="44">
        <f t="shared" si="8"/>
        <v>0</v>
      </c>
      <c r="N32" s="44">
        <f t="shared" si="8"/>
        <v>0</v>
      </c>
      <c r="O32" s="44">
        <f t="shared" si="8"/>
        <v>0</v>
      </c>
      <c r="P32" s="55">
        <f t="shared" si="8"/>
        <v>4.9825970960000063</v>
      </c>
      <c r="Q32" s="55">
        <f>Q7-Q30</f>
        <v>0.81564342000000067</v>
      </c>
      <c r="R32" s="55">
        <f>R7-R30</f>
        <v>1.4718634999999978</v>
      </c>
      <c r="S32" s="55">
        <f t="shared" si="8"/>
        <v>2.3394882000000052</v>
      </c>
      <c r="T32" s="55">
        <f>T7-T30</f>
        <v>2.0641509000000013</v>
      </c>
    </row>
    <row r="33" spans="1:20" ht="13.8" x14ac:dyDescent="0.25">
      <c r="A33" s="6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58"/>
      <c r="Q33" s="58"/>
      <c r="R33" s="58"/>
      <c r="S33" s="58"/>
      <c r="T33" s="58"/>
    </row>
    <row r="34" spans="1:20" ht="13.8" x14ac:dyDescent="0.25">
      <c r="A34" s="71" t="s">
        <v>27</v>
      </c>
      <c r="B34" s="42"/>
      <c r="C34" s="42"/>
      <c r="D34" s="42"/>
      <c r="E34" s="42"/>
      <c r="F34" s="42"/>
      <c r="G34" s="42"/>
      <c r="H34" s="43"/>
      <c r="I34" s="43"/>
      <c r="J34" s="43"/>
      <c r="K34" s="43"/>
      <c r="L34" s="43"/>
      <c r="M34" s="43"/>
      <c r="N34" s="43"/>
      <c r="O34" s="43"/>
      <c r="P34" s="32"/>
      <c r="Q34" s="32"/>
      <c r="R34" s="32"/>
      <c r="S34" s="32"/>
      <c r="T34" s="32"/>
    </row>
    <row r="35" spans="1:20" ht="13.8" x14ac:dyDescent="0.25">
      <c r="A35" s="71" t="s">
        <v>28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54"/>
      <c r="Q35" s="54"/>
      <c r="R35" s="54">
        <v>-0.2</v>
      </c>
      <c r="S35" s="54">
        <v>-0.77989430000000004</v>
      </c>
      <c r="T35" s="54"/>
    </row>
    <row r="36" spans="1:20" ht="13.8" x14ac:dyDescent="0.25">
      <c r="A36" s="7" t="s">
        <v>29</v>
      </c>
      <c r="B36" s="44">
        <f t="shared" ref="B36:S36" si="9">B32+B34+B35</f>
        <v>0</v>
      </c>
      <c r="C36" s="44">
        <f t="shared" si="9"/>
        <v>0</v>
      </c>
      <c r="D36" s="44">
        <f t="shared" si="9"/>
        <v>0</v>
      </c>
      <c r="E36" s="44">
        <f t="shared" si="9"/>
        <v>0</v>
      </c>
      <c r="F36" s="44">
        <f t="shared" si="9"/>
        <v>0</v>
      </c>
      <c r="G36" s="44">
        <f t="shared" si="9"/>
        <v>0</v>
      </c>
      <c r="H36" s="44">
        <f t="shared" si="9"/>
        <v>0</v>
      </c>
      <c r="I36" s="44">
        <f t="shared" si="9"/>
        <v>0</v>
      </c>
      <c r="J36" s="44">
        <f t="shared" si="9"/>
        <v>0</v>
      </c>
      <c r="K36" s="44">
        <f t="shared" si="9"/>
        <v>0</v>
      </c>
      <c r="L36" s="44">
        <f t="shared" si="9"/>
        <v>0</v>
      </c>
      <c r="M36" s="44">
        <f t="shared" si="9"/>
        <v>0</v>
      </c>
      <c r="N36" s="44">
        <f t="shared" si="9"/>
        <v>0</v>
      </c>
      <c r="O36" s="44">
        <f t="shared" si="9"/>
        <v>0</v>
      </c>
      <c r="P36" s="55">
        <f t="shared" si="9"/>
        <v>4.9825970960000063</v>
      </c>
      <c r="Q36" s="55">
        <f>Q32+Q34+Q35</f>
        <v>0.81564342000000067</v>
      </c>
      <c r="R36" s="55">
        <f>R32+R34+R35</f>
        <v>1.2718634999999978</v>
      </c>
      <c r="S36" s="55">
        <f t="shared" si="9"/>
        <v>1.5595939000000052</v>
      </c>
      <c r="T36" s="55">
        <f>T32+T34+T35</f>
        <v>2.0641509000000013</v>
      </c>
    </row>
    <row r="37" spans="1:20" ht="13.8" x14ac:dyDescent="0.25">
      <c r="A37" s="6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58"/>
      <c r="Q37" s="58"/>
      <c r="R37" s="58"/>
      <c r="S37" s="58"/>
      <c r="T37" s="58"/>
    </row>
    <row r="38" spans="1:20" ht="13.8" x14ac:dyDescent="0.25">
      <c r="A38" s="6" t="s">
        <v>30</v>
      </c>
      <c r="B38" s="42"/>
      <c r="C38" s="42"/>
      <c r="D38" s="42"/>
      <c r="E38" s="42"/>
      <c r="F38" s="42"/>
      <c r="G38" s="42"/>
      <c r="H38" s="43"/>
      <c r="I38" s="43"/>
      <c r="J38" s="43"/>
      <c r="K38" s="43"/>
      <c r="L38" s="43"/>
      <c r="M38" s="43"/>
      <c r="N38" s="43"/>
      <c r="O38" s="43"/>
      <c r="P38" s="32">
        <v>0.87640473900000004</v>
      </c>
      <c r="Q38" s="32">
        <v>0.64217993200000001</v>
      </c>
      <c r="R38" s="32">
        <v>1.0513994</v>
      </c>
      <c r="S38" s="32">
        <v>1.3122176000000001</v>
      </c>
      <c r="T38" s="32">
        <v>1.7277937000000001</v>
      </c>
    </row>
    <row r="39" spans="1:20" ht="13.8" x14ac:dyDescent="0.25">
      <c r="A39" s="6" t="s">
        <v>31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54"/>
      <c r="Q39" s="54"/>
      <c r="R39" s="54"/>
      <c r="S39" s="54"/>
      <c r="T39" s="54"/>
    </row>
    <row r="40" spans="1:20" ht="13.8" x14ac:dyDescent="0.25">
      <c r="A40" s="7" t="s">
        <v>32</v>
      </c>
      <c r="B40" s="44">
        <f t="shared" ref="B40:S40" si="10">B38+B39</f>
        <v>0</v>
      </c>
      <c r="C40" s="44">
        <f t="shared" si="10"/>
        <v>0</v>
      </c>
      <c r="D40" s="44">
        <f t="shared" si="10"/>
        <v>0</v>
      </c>
      <c r="E40" s="44">
        <f t="shared" si="10"/>
        <v>0</v>
      </c>
      <c r="F40" s="44">
        <f t="shared" si="10"/>
        <v>0</v>
      </c>
      <c r="G40" s="44">
        <f t="shared" si="10"/>
        <v>0</v>
      </c>
      <c r="H40" s="44">
        <f t="shared" si="10"/>
        <v>0</v>
      </c>
      <c r="I40" s="44">
        <f t="shared" si="10"/>
        <v>0</v>
      </c>
      <c r="J40" s="44">
        <f t="shared" si="10"/>
        <v>0</v>
      </c>
      <c r="K40" s="44">
        <f t="shared" si="10"/>
        <v>0</v>
      </c>
      <c r="L40" s="44">
        <f t="shared" si="10"/>
        <v>0</v>
      </c>
      <c r="M40" s="44">
        <f t="shared" si="10"/>
        <v>0</v>
      </c>
      <c r="N40" s="44">
        <f>N38+N39</f>
        <v>0</v>
      </c>
      <c r="O40" s="44">
        <f>O38+O39</f>
        <v>0</v>
      </c>
      <c r="P40" s="55">
        <f>P38+P39</f>
        <v>0.87640473900000004</v>
      </c>
      <c r="Q40" s="55">
        <f>Q38+Q39</f>
        <v>0.64217993200000001</v>
      </c>
      <c r="R40" s="55">
        <f>R38+R39</f>
        <v>1.0513994</v>
      </c>
      <c r="S40" s="55">
        <f t="shared" si="10"/>
        <v>1.3122176000000001</v>
      </c>
      <c r="T40" s="55">
        <f>T38+T39</f>
        <v>1.7277937000000001</v>
      </c>
    </row>
    <row r="41" spans="1:20" ht="13.8" x14ac:dyDescent="0.25">
      <c r="A41" s="7" t="s">
        <v>33</v>
      </c>
      <c r="B41" s="44">
        <f t="shared" ref="B41:S41" si="11">B36-B40</f>
        <v>0</v>
      </c>
      <c r="C41" s="44">
        <f t="shared" si="11"/>
        <v>0</v>
      </c>
      <c r="D41" s="44">
        <f t="shared" si="11"/>
        <v>0</v>
      </c>
      <c r="E41" s="44">
        <f t="shared" si="11"/>
        <v>0</v>
      </c>
      <c r="F41" s="44">
        <f t="shared" si="11"/>
        <v>0</v>
      </c>
      <c r="G41" s="44">
        <f t="shared" si="11"/>
        <v>0</v>
      </c>
      <c r="H41" s="44">
        <f t="shared" si="11"/>
        <v>0</v>
      </c>
      <c r="I41" s="44">
        <f t="shared" si="11"/>
        <v>0</v>
      </c>
      <c r="J41" s="44">
        <f t="shared" si="11"/>
        <v>0</v>
      </c>
      <c r="K41" s="44">
        <f t="shared" si="11"/>
        <v>0</v>
      </c>
      <c r="L41" s="44">
        <f t="shared" si="11"/>
        <v>0</v>
      </c>
      <c r="M41" s="44">
        <f t="shared" si="11"/>
        <v>0</v>
      </c>
      <c r="N41" s="44">
        <f>N36-N40</f>
        <v>0</v>
      </c>
      <c r="O41" s="44">
        <f>O36-O40</f>
        <v>0</v>
      </c>
      <c r="P41" s="55">
        <f>P36-P40</f>
        <v>4.1061923570000065</v>
      </c>
      <c r="Q41" s="55">
        <f>Q36-Q40</f>
        <v>0.17346348800000067</v>
      </c>
      <c r="R41" s="55">
        <f>R36-R40</f>
        <v>0.22046409999999783</v>
      </c>
      <c r="S41" s="55">
        <f t="shared" si="11"/>
        <v>0.2473763000000051</v>
      </c>
      <c r="T41" s="55">
        <f>T36-T40</f>
        <v>0.33635720000000124</v>
      </c>
    </row>
    <row r="42" spans="1:20" ht="13.8" x14ac:dyDescent="0.25">
      <c r="A42" s="6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58"/>
      <c r="Q42" s="58"/>
      <c r="R42" s="58"/>
      <c r="S42" s="58"/>
      <c r="T42" s="58"/>
    </row>
    <row r="43" spans="1:20" ht="13.8" x14ac:dyDescent="0.25">
      <c r="A43" s="6" t="s">
        <v>34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54"/>
      <c r="Q43" s="54"/>
      <c r="R43" s="54">
        <v>2.6799900000000001E-2</v>
      </c>
      <c r="S43" s="54">
        <v>2.2074E-2</v>
      </c>
      <c r="T43" s="32"/>
    </row>
    <row r="44" spans="1:20" ht="13.8" x14ac:dyDescent="0.25">
      <c r="A44" s="3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58"/>
      <c r="Q44" s="58"/>
      <c r="R44" s="58"/>
      <c r="S44" s="58"/>
      <c r="T44" s="58"/>
    </row>
    <row r="45" spans="1:20" ht="13.8" x14ac:dyDescent="0.25">
      <c r="A45" s="7" t="s">
        <v>35</v>
      </c>
      <c r="B45" s="44">
        <f t="shared" ref="B45:S45" si="12">B41+B43</f>
        <v>0</v>
      </c>
      <c r="C45" s="44">
        <f t="shared" si="12"/>
        <v>0</v>
      </c>
      <c r="D45" s="44">
        <f t="shared" si="12"/>
        <v>0</v>
      </c>
      <c r="E45" s="44">
        <f t="shared" si="12"/>
        <v>0</v>
      </c>
      <c r="F45" s="44">
        <f t="shared" si="12"/>
        <v>0</v>
      </c>
      <c r="G45" s="44">
        <f t="shared" si="12"/>
        <v>0</v>
      </c>
      <c r="H45" s="44">
        <f t="shared" si="12"/>
        <v>0</v>
      </c>
      <c r="I45" s="44">
        <f t="shared" si="12"/>
        <v>0</v>
      </c>
      <c r="J45" s="44">
        <f t="shared" si="12"/>
        <v>0</v>
      </c>
      <c r="K45" s="44">
        <f t="shared" si="12"/>
        <v>0</v>
      </c>
      <c r="L45" s="44">
        <f t="shared" si="12"/>
        <v>0</v>
      </c>
      <c r="M45" s="44">
        <f t="shared" si="12"/>
        <v>0</v>
      </c>
      <c r="N45" s="44">
        <f>N41+N43</f>
        <v>0</v>
      </c>
      <c r="O45" s="44">
        <f>O41+O43</f>
        <v>0</v>
      </c>
      <c r="P45" s="55">
        <f>P41+P43</f>
        <v>4.1061923570000065</v>
      </c>
      <c r="Q45" s="55">
        <f>Q41+Q43</f>
        <v>0.17346348800000067</v>
      </c>
      <c r="R45" s="55">
        <f>R41+R43</f>
        <v>0.24726399999999782</v>
      </c>
      <c r="S45" s="55">
        <f t="shared" si="12"/>
        <v>0.26945030000000508</v>
      </c>
      <c r="T45" s="55">
        <f>T41+T43</f>
        <v>0.33635720000000124</v>
      </c>
    </row>
    <row r="46" spans="1:20" ht="13.8" x14ac:dyDescent="0.25">
      <c r="A46" s="6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58"/>
      <c r="Q46" s="58"/>
      <c r="R46" s="58"/>
      <c r="S46" s="58"/>
      <c r="T46" s="58"/>
    </row>
    <row r="47" spans="1:20" ht="13.8" x14ac:dyDescent="0.25">
      <c r="A47" s="6" t="s">
        <v>36</v>
      </c>
      <c r="B47" s="42"/>
      <c r="C47" s="42"/>
      <c r="D47" s="42"/>
      <c r="E47" s="42"/>
      <c r="F47" s="42"/>
      <c r="G47" s="42"/>
      <c r="H47" s="43"/>
      <c r="I47" s="43"/>
      <c r="J47" s="43"/>
      <c r="K47" s="43"/>
      <c r="L47" s="43"/>
      <c r="M47" s="43"/>
      <c r="N47" s="43"/>
      <c r="O47" s="43"/>
      <c r="P47" s="32">
        <f>0.0839+0.009692</f>
        <v>9.3592000000000009E-2</v>
      </c>
      <c r="Q47" s="32">
        <f>0.0536</f>
        <v>5.3600000000000002E-2</v>
      </c>
      <c r="R47" s="32">
        <v>5.0573E-2</v>
      </c>
      <c r="S47" s="32">
        <v>6.7410999999999999E-2</v>
      </c>
      <c r="T47" s="32">
        <v>0.12626000000000001</v>
      </c>
    </row>
    <row r="48" spans="1:20" ht="13.8" x14ac:dyDescent="0.25">
      <c r="A48" s="6" t="s">
        <v>37</v>
      </c>
      <c r="B48" s="42"/>
      <c r="C48" s="42"/>
      <c r="D48" s="42"/>
      <c r="E48" s="42"/>
      <c r="F48" s="42"/>
      <c r="G48" s="42"/>
      <c r="H48" s="43"/>
      <c r="I48" s="43"/>
      <c r="J48" s="43"/>
      <c r="K48" s="43"/>
      <c r="L48" s="43"/>
      <c r="M48" s="43"/>
      <c r="N48" s="43"/>
      <c r="O48" s="43"/>
      <c r="P48" s="32"/>
      <c r="Q48" s="32"/>
      <c r="R48" s="32"/>
      <c r="S48" s="32"/>
      <c r="T48" s="32">
        <f>-0.0223346</f>
        <v>-2.23346E-2</v>
      </c>
    </row>
    <row r="49" spans="1:20" ht="13.8" x14ac:dyDescent="0.25">
      <c r="A49" s="7" t="s">
        <v>38</v>
      </c>
      <c r="B49" s="44">
        <f t="shared" ref="B49:S49" si="13">SUM(B47:B48)</f>
        <v>0</v>
      </c>
      <c r="C49" s="44">
        <f t="shared" si="13"/>
        <v>0</v>
      </c>
      <c r="D49" s="44">
        <f t="shared" si="13"/>
        <v>0</v>
      </c>
      <c r="E49" s="44">
        <f t="shared" si="13"/>
        <v>0</v>
      </c>
      <c r="F49" s="44">
        <f t="shared" si="13"/>
        <v>0</v>
      </c>
      <c r="G49" s="44">
        <f t="shared" si="13"/>
        <v>0</v>
      </c>
      <c r="H49" s="44">
        <f t="shared" si="13"/>
        <v>0</v>
      </c>
      <c r="I49" s="44">
        <f t="shared" si="13"/>
        <v>0</v>
      </c>
      <c r="J49" s="44">
        <f t="shared" si="13"/>
        <v>0</v>
      </c>
      <c r="K49" s="44">
        <f t="shared" si="13"/>
        <v>0</v>
      </c>
      <c r="L49" s="44">
        <f t="shared" si="13"/>
        <v>0</v>
      </c>
      <c r="M49" s="44">
        <f t="shared" si="13"/>
        <v>0</v>
      </c>
      <c r="N49" s="44">
        <f>SUM(N47:N48)</f>
        <v>0</v>
      </c>
      <c r="O49" s="44">
        <f>SUM(O47:O48)</f>
        <v>0</v>
      </c>
      <c r="P49" s="55">
        <f>SUM(P47:P48)</f>
        <v>9.3592000000000009E-2</v>
      </c>
      <c r="Q49" s="55">
        <f>SUM(Q47:Q48)</f>
        <v>5.3600000000000002E-2</v>
      </c>
      <c r="R49" s="55">
        <f>SUM(R47:R48)</f>
        <v>5.0573E-2</v>
      </c>
      <c r="S49" s="55">
        <f t="shared" si="13"/>
        <v>6.7410999999999999E-2</v>
      </c>
      <c r="T49" s="55">
        <f>SUM(T47:T48)</f>
        <v>0.10392540000000001</v>
      </c>
    </row>
    <row r="50" spans="1:20" ht="13.8" x14ac:dyDescent="0.25">
      <c r="A50" s="3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58"/>
      <c r="Q50" s="58"/>
      <c r="R50" s="58"/>
      <c r="S50" s="58"/>
      <c r="T50" s="58"/>
    </row>
    <row r="51" spans="1:20" ht="13.8" x14ac:dyDescent="0.25">
      <c r="A51" s="69" t="s">
        <v>39</v>
      </c>
      <c r="B51" s="44">
        <f t="shared" ref="B51:S51" si="14">B45-B49</f>
        <v>0</v>
      </c>
      <c r="C51" s="44">
        <f t="shared" si="14"/>
        <v>0</v>
      </c>
      <c r="D51" s="44">
        <f t="shared" si="14"/>
        <v>0</v>
      </c>
      <c r="E51" s="44">
        <f t="shared" si="14"/>
        <v>0</v>
      </c>
      <c r="F51" s="44">
        <f t="shared" si="14"/>
        <v>0</v>
      </c>
      <c r="G51" s="44">
        <f t="shared" si="14"/>
        <v>0</v>
      </c>
      <c r="H51" s="44">
        <f t="shared" si="14"/>
        <v>0</v>
      </c>
      <c r="I51" s="44">
        <f t="shared" si="14"/>
        <v>0</v>
      </c>
      <c r="J51" s="44">
        <f t="shared" si="14"/>
        <v>0</v>
      </c>
      <c r="K51" s="44">
        <f t="shared" si="14"/>
        <v>0</v>
      </c>
      <c r="L51" s="44">
        <f t="shared" si="14"/>
        <v>0</v>
      </c>
      <c r="M51" s="44">
        <f t="shared" si="14"/>
        <v>0</v>
      </c>
      <c r="N51" s="44">
        <f>N45-N49</f>
        <v>0</v>
      </c>
      <c r="O51" s="44">
        <f>O45-O49</f>
        <v>0</v>
      </c>
      <c r="P51" s="56">
        <f>P45-P49</f>
        <v>4.0126003570000064</v>
      </c>
      <c r="Q51" s="56">
        <f>Q45-Q49</f>
        <v>0.11986348800000066</v>
      </c>
      <c r="R51" s="56">
        <f>R45-R49</f>
        <v>0.19669099999999781</v>
      </c>
      <c r="S51" s="56">
        <f t="shared" si="14"/>
        <v>0.20203930000000508</v>
      </c>
      <c r="T51" s="56">
        <f>T45-T49</f>
        <v>0.23243180000000124</v>
      </c>
    </row>
    <row r="52" spans="1:20" ht="13.8" x14ac:dyDescent="0.25">
      <c r="A52" s="6" t="s">
        <v>40</v>
      </c>
      <c r="B52" s="42"/>
      <c r="C52" s="42"/>
      <c r="D52" s="42"/>
      <c r="E52" s="42"/>
      <c r="F52" s="42"/>
      <c r="G52" s="42"/>
      <c r="H52" s="43"/>
      <c r="I52" s="43"/>
      <c r="J52" s="43"/>
      <c r="K52" s="43"/>
      <c r="L52" s="43"/>
      <c r="M52" s="43"/>
      <c r="N52" s="42"/>
      <c r="O52" s="42"/>
      <c r="P52" s="32"/>
      <c r="Q52" s="32"/>
      <c r="R52" s="32"/>
      <c r="S52" s="32"/>
      <c r="T52" s="32"/>
    </row>
    <row r="53" spans="1:20" ht="13.8" x14ac:dyDescent="0.25">
      <c r="A53" s="69" t="s">
        <v>41</v>
      </c>
      <c r="B53" s="44">
        <f t="shared" ref="B53:S53" si="15">B51-B52</f>
        <v>0</v>
      </c>
      <c r="C53" s="44">
        <f t="shared" si="15"/>
        <v>0</v>
      </c>
      <c r="D53" s="44">
        <f t="shared" si="15"/>
        <v>0</v>
      </c>
      <c r="E53" s="44">
        <f t="shared" si="15"/>
        <v>0</v>
      </c>
      <c r="F53" s="44">
        <f t="shared" si="15"/>
        <v>0</v>
      </c>
      <c r="G53" s="44">
        <f t="shared" si="15"/>
        <v>0</v>
      </c>
      <c r="H53" s="44">
        <f t="shared" si="15"/>
        <v>0</v>
      </c>
      <c r="I53" s="44">
        <f t="shared" si="15"/>
        <v>0</v>
      </c>
      <c r="J53" s="44">
        <f t="shared" si="15"/>
        <v>0</v>
      </c>
      <c r="K53" s="44">
        <f t="shared" si="15"/>
        <v>0</v>
      </c>
      <c r="L53" s="44">
        <f t="shared" si="15"/>
        <v>0</v>
      </c>
      <c r="M53" s="44">
        <f t="shared" si="15"/>
        <v>0</v>
      </c>
      <c r="N53" s="44">
        <f t="shared" si="15"/>
        <v>0</v>
      </c>
      <c r="O53" s="44">
        <f t="shared" si="15"/>
        <v>0</v>
      </c>
      <c r="P53" s="56">
        <f t="shared" si="15"/>
        <v>4.0126003570000064</v>
      </c>
      <c r="Q53" s="56">
        <f>Q51-Q52</f>
        <v>0.11986348800000066</v>
      </c>
      <c r="R53" s="56">
        <f>R51-R52</f>
        <v>0.19669099999999781</v>
      </c>
      <c r="S53" s="56">
        <f t="shared" si="15"/>
        <v>0.20203930000000508</v>
      </c>
      <c r="T53" s="56">
        <f>T51-T52</f>
        <v>0.23243180000000124</v>
      </c>
    </row>
    <row r="54" spans="1:20" ht="13.8" x14ac:dyDescent="0.25">
      <c r="A54" s="6" t="s">
        <v>42</v>
      </c>
      <c r="B54" s="42"/>
      <c r="C54" s="42"/>
      <c r="D54" s="42"/>
      <c r="E54" s="42"/>
      <c r="F54" s="42"/>
      <c r="G54" s="42"/>
      <c r="H54" s="43"/>
      <c r="I54" s="43"/>
      <c r="J54" s="43"/>
      <c r="K54" s="43"/>
      <c r="L54" s="43"/>
      <c r="M54" s="43"/>
      <c r="N54" s="42"/>
      <c r="O54" s="42"/>
      <c r="P54" s="32">
        <f>0.894375+0.115151</f>
        <v>1.0095260000000001</v>
      </c>
      <c r="Q54" s="32"/>
      <c r="R54" s="32"/>
      <c r="S54" s="32">
        <f>(0.1490625+0.0230302)</f>
        <v>0.17209269999999999</v>
      </c>
      <c r="T54" s="32">
        <f>(0.1490625+0.0241854)</f>
        <v>0.17324789999999998</v>
      </c>
    </row>
    <row r="55" spans="1:20" ht="13.8" x14ac:dyDescent="0.25">
      <c r="A55" s="71" t="s">
        <v>43</v>
      </c>
      <c r="B55" s="42"/>
      <c r="C55" s="42"/>
      <c r="D55" s="42"/>
      <c r="E55" s="42"/>
      <c r="F55" s="42"/>
      <c r="G55" s="42"/>
      <c r="H55" s="43"/>
      <c r="I55" s="43"/>
      <c r="J55" s="43"/>
      <c r="K55" s="43"/>
      <c r="L55" s="43"/>
      <c r="M55" s="43"/>
      <c r="N55" s="42"/>
      <c r="O55" s="42"/>
      <c r="P55" s="32"/>
      <c r="Q55" s="32"/>
      <c r="R55" s="32"/>
      <c r="S55" s="32"/>
      <c r="T55" s="32"/>
    </row>
    <row r="56" spans="1:20" ht="13.8" x14ac:dyDescent="0.25">
      <c r="A56" s="71" t="s">
        <v>44</v>
      </c>
      <c r="B56" s="42"/>
      <c r="C56" s="42"/>
      <c r="D56" s="42"/>
      <c r="E56" s="42"/>
      <c r="F56" s="42"/>
      <c r="G56" s="42"/>
      <c r="H56" s="43"/>
      <c r="I56" s="43"/>
      <c r="J56" s="43"/>
      <c r="K56" s="43"/>
      <c r="L56" s="43"/>
      <c r="M56" s="43"/>
      <c r="N56" s="42"/>
      <c r="O56" s="42"/>
      <c r="P56" s="32">
        <f>-0.0316145</f>
        <v>-3.1614499999999997E-2</v>
      </c>
      <c r="Q56" s="32">
        <f>1.0228725-0.0065896</f>
        <v>1.0162829</v>
      </c>
      <c r="R56" s="32"/>
      <c r="S56" s="32"/>
      <c r="T56" s="32">
        <v>9.2884000000000005E-3</v>
      </c>
    </row>
    <row r="57" spans="1:20" ht="13.8" x14ac:dyDescent="0.25">
      <c r="A57" s="67" t="s">
        <v>45</v>
      </c>
      <c r="B57" s="42"/>
      <c r="C57" s="42"/>
      <c r="D57" s="42"/>
      <c r="E57" s="42"/>
      <c r="F57" s="42"/>
      <c r="G57" s="42"/>
      <c r="H57" s="43"/>
      <c r="I57" s="43"/>
      <c r="J57" s="43"/>
      <c r="K57" s="43"/>
      <c r="L57" s="43"/>
      <c r="M57" s="43"/>
      <c r="N57" s="42"/>
      <c r="O57" s="42"/>
      <c r="P57" s="32"/>
      <c r="Q57" s="32"/>
      <c r="R57" s="32"/>
      <c r="S57" s="32"/>
      <c r="T57" s="32"/>
    </row>
    <row r="58" spans="1:20" ht="13.8" x14ac:dyDescent="0.25">
      <c r="A58" s="6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58"/>
      <c r="Q58" s="58"/>
      <c r="R58" s="58"/>
      <c r="S58" s="58"/>
      <c r="T58" s="58"/>
    </row>
    <row r="59" spans="1:20" ht="13.8" x14ac:dyDescent="0.25">
      <c r="A59" s="6" t="s">
        <v>46</v>
      </c>
      <c r="B59" s="44">
        <f>B53-B54-B55+B56+B57</f>
        <v>0</v>
      </c>
      <c r="C59" s="44">
        <f t="shared" ref="C59:H59" si="16">C53-C54-C55+C56+C57</f>
        <v>0</v>
      </c>
      <c r="D59" s="44">
        <f t="shared" si="16"/>
        <v>0</v>
      </c>
      <c r="E59" s="44">
        <f t="shared" si="16"/>
        <v>0</v>
      </c>
      <c r="F59" s="44">
        <f t="shared" si="16"/>
        <v>0</v>
      </c>
      <c r="G59" s="44">
        <f t="shared" si="16"/>
        <v>0</v>
      </c>
      <c r="H59" s="44">
        <f t="shared" si="16"/>
        <v>0</v>
      </c>
      <c r="I59" s="44">
        <f t="shared" ref="I59:S59" si="17">I51-I52-I54-I55+I56+I57</f>
        <v>0</v>
      </c>
      <c r="J59" s="44">
        <f t="shared" si="17"/>
        <v>0</v>
      </c>
      <c r="K59" s="44">
        <f t="shared" si="17"/>
        <v>0</v>
      </c>
      <c r="L59" s="44">
        <f t="shared" si="17"/>
        <v>0</v>
      </c>
      <c r="M59" s="44">
        <f t="shared" si="17"/>
        <v>0</v>
      </c>
      <c r="N59" s="44">
        <f t="shared" si="17"/>
        <v>0</v>
      </c>
      <c r="O59" s="44">
        <f t="shared" si="17"/>
        <v>0</v>
      </c>
      <c r="P59" s="55">
        <f t="shared" si="17"/>
        <v>2.9714598570000064</v>
      </c>
      <c r="Q59" s="55">
        <f>Q51-Q52-Q54-Q55+Q56+Q57</f>
        <v>1.1361463880000007</v>
      </c>
      <c r="R59" s="55">
        <f t="shared" si="17"/>
        <v>0.19669099999999781</v>
      </c>
      <c r="S59" s="55">
        <f t="shared" si="17"/>
        <v>2.9946600000005097E-2</v>
      </c>
      <c r="T59" s="55">
        <f>T51-T52-T54-T55+T56+T57</f>
        <v>6.8472300000001263E-2</v>
      </c>
    </row>
    <row r="60" spans="1:20" ht="14.4" thickBot="1" x14ac:dyDescent="0.3">
      <c r="A60" s="8" t="s">
        <v>47</v>
      </c>
      <c r="B60" s="47">
        <f t="shared" ref="B60:S60" si="18">B51+B28+B29-B54-B55</f>
        <v>0</v>
      </c>
      <c r="C60" s="47">
        <f t="shared" si="18"/>
        <v>0</v>
      </c>
      <c r="D60" s="47">
        <f t="shared" si="18"/>
        <v>0</v>
      </c>
      <c r="E60" s="47">
        <f t="shared" si="18"/>
        <v>0</v>
      </c>
      <c r="F60" s="47">
        <f t="shared" si="18"/>
        <v>0</v>
      </c>
      <c r="G60" s="47">
        <f t="shared" si="18"/>
        <v>0</v>
      </c>
      <c r="H60" s="47">
        <f t="shared" si="18"/>
        <v>0</v>
      </c>
      <c r="I60" s="47">
        <f t="shared" si="18"/>
        <v>0</v>
      </c>
      <c r="J60" s="47">
        <f t="shared" si="18"/>
        <v>0</v>
      </c>
      <c r="K60" s="47">
        <f t="shared" si="18"/>
        <v>0</v>
      </c>
      <c r="L60" s="47">
        <f t="shared" si="18"/>
        <v>0</v>
      </c>
      <c r="M60" s="47">
        <f t="shared" si="18"/>
        <v>0</v>
      </c>
      <c r="N60" s="47">
        <f t="shared" si="18"/>
        <v>0</v>
      </c>
      <c r="O60" s="47">
        <f t="shared" si="18"/>
        <v>0</v>
      </c>
      <c r="P60" s="60">
        <f t="shared" si="18"/>
        <v>3.2104273570000066</v>
      </c>
      <c r="Q60" s="60">
        <f>Q51+Q28+Q29-Q54-Q55</f>
        <v>0.35741258800000064</v>
      </c>
      <c r="R60" s="60">
        <f t="shared" si="18"/>
        <v>0.43938189999999777</v>
      </c>
      <c r="S60" s="60">
        <f t="shared" si="18"/>
        <v>0.27745010000000508</v>
      </c>
      <c r="T60" s="60">
        <f>T51+T28+T29-T54-T55</f>
        <v>0.33997820000000123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E6F8-3025-4E51-81AB-4A62930E4E1E}">
  <dimension ref="A1:G11"/>
  <sheetViews>
    <sheetView tabSelected="1" topLeftCell="A3" workbookViewId="0">
      <selection activeCell="J8" sqref="J8"/>
    </sheetView>
  </sheetViews>
  <sheetFormatPr defaultRowHeight="13.2" x14ac:dyDescent="0.25"/>
  <cols>
    <col min="1" max="1" width="24.77734375" customWidth="1"/>
    <col min="7" max="7" width="17.6640625" customWidth="1"/>
  </cols>
  <sheetData>
    <row r="1" spans="1:7" ht="26.4" x14ac:dyDescent="0.25">
      <c r="A1" s="92" t="s">
        <v>160</v>
      </c>
      <c r="B1" s="92" t="s">
        <v>143</v>
      </c>
      <c r="C1" s="92" t="s">
        <v>144</v>
      </c>
      <c r="D1" s="92" t="s">
        <v>145</v>
      </c>
      <c r="E1" s="92" t="s">
        <v>161</v>
      </c>
      <c r="F1" s="92" t="s">
        <v>162</v>
      </c>
      <c r="G1" s="92" t="s">
        <v>173</v>
      </c>
    </row>
    <row r="2" spans="1:7" ht="39.6" x14ac:dyDescent="0.25">
      <c r="A2" s="94" t="s">
        <v>163</v>
      </c>
      <c r="B2" s="96">
        <v>0.1081</v>
      </c>
      <c r="C2" s="96">
        <v>3.4200000000000001E-2</v>
      </c>
      <c r="D2" s="96">
        <v>4.2099999999999999E-2</v>
      </c>
      <c r="E2" s="96">
        <v>5.2400000000000002E-2</v>
      </c>
      <c r="F2" s="96">
        <v>3.2599999999999997E-2</v>
      </c>
      <c r="G2" s="95">
        <f>SUM(B2:F2)</f>
        <v>0.26940000000000003</v>
      </c>
    </row>
    <row r="3" spans="1:7" ht="39.6" x14ac:dyDescent="0.25">
      <c r="A3" s="94" t="s">
        <v>164</v>
      </c>
      <c r="B3" s="96">
        <v>8.3599999999999994E-2</v>
      </c>
      <c r="C3" s="96">
        <v>3.8999999999999998E-3</v>
      </c>
      <c r="D3" s="96">
        <v>4.7999999999999996E-3</v>
      </c>
      <c r="E3" s="96">
        <v>4.1000000000000003E-3</v>
      </c>
      <c r="F3" s="96">
        <v>3.2000000000000002E-3</v>
      </c>
      <c r="G3" s="95">
        <f t="shared" ref="G3:G4" si="0">SUM(B3:F3)</f>
        <v>9.9599999999999994E-2</v>
      </c>
    </row>
    <row r="4" spans="1:7" ht="79.2" x14ac:dyDescent="0.25">
      <c r="A4" s="94" t="s">
        <v>165</v>
      </c>
      <c r="B4" s="96">
        <v>0.46710000000000002</v>
      </c>
      <c r="C4" s="96">
        <v>6.7599999999999993E-2</v>
      </c>
      <c r="D4" s="96">
        <v>0.1239</v>
      </c>
      <c r="E4" s="96">
        <v>0.1946</v>
      </c>
      <c r="F4" s="96">
        <v>0.16420000000000001</v>
      </c>
      <c r="G4" s="95">
        <f t="shared" si="0"/>
        <v>1.0173999999999999</v>
      </c>
    </row>
    <row r="5" spans="1:7" ht="39.6" x14ac:dyDescent="0.25">
      <c r="A5" s="94" t="s">
        <v>166</v>
      </c>
      <c r="B5" s="93">
        <v>1.17</v>
      </c>
      <c r="C5" s="93">
        <v>0.85</v>
      </c>
      <c r="D5" s="93">
        <v>1.48</v>
      </c>
      <c r="E5" s="93">
        <v>1.41</v>
      </c>
      <c r="F5" s="93">
        <v>2.27</v>
      </c>
      <c r="G5">
        <f>SUM(B5:F5)</f>
        <v>7.18</v>
      </c>
    </row>
    <row r="6" spans="1:7" ht="39.6" x14ac:dyDescent="0.25">
      <c r="A6" s="94" t="s">
        <v>167</v>
      </c>
      <c r="B6" s="93">
        <v>5.92</v>
      </c>
      <c r="C6" s="93">
        <v>1.64</v>
      </c>
      <c r="D6" s="93">
        <v>1.63</v>
      </c>
      <c r="E6" s="93">
        <v>1.97</v>
      </c>
      <c r="F6" s="93">
        <v>1.36</v>
      </c>
      <c r="G6">
        <f t="shared" ref="G6:G11" si="1">SUM(B6:F6)</f>
        <v>12.52</v>
      </c>
    </row>
    <row r="7" spans="1:7" ht="39.6" x14ac:dyDescent="0.25">
      <c r="A7" s="94" t="s">
        <v>168</v>
      </c>
      <c r="B7" s="93">
        <v>2.1800000000000002</v>
      </c>
      <c r="C7" s="93">
        <v>8.7100000000000009</v>
      </c>
      <c r="D7" s="93">
        <v>9.49</v>
      </c>
      <c r="E7" s="93">
        <v>5.98</v>
      </c>
      <c r="F7" s="93">
        <v>9.48</v>
      </c>
      <c r="G7">
        <f t="shared" si="1"/>
        <v>35.840000000000003</v>
      </c>
    </row>
    <row r="8" spans="1:7" ht="52.8" x14ac:dyDescent="0.25">
      <c r="A8" s="94" t="s">
        <v>169</v>
      </c>
      <c r="B8" s="93">
        <v>0.35</v>
      </c>
      <c r="C8" s="93">
        <v>0.53</v>
      </c>
      <c r="D8" s="93">
        <v>0.56999999999999995</v>
      </c>
      <c r="E8" s="93">
        <v>0.45</v>
      </c>
      <c r="F8" s="93">
        <v>0.41</v>
      </c>
      <c r="G8">
        <f t="shared" si="1"/>
        <v>2.31</v>
      </c>
    </row>
    <row r="9" spans="1:7" ht="26.4" x14ac:dyDescent="0.25">
      <c r="A9" s="94" t="s">
        <v>170</v>
      </c>
      <c r="B9" s="93">
        <v>45.02</v>
      </c>
      <c r="C9" s="93">
        <v>49.21</v>
      </c>
      <c r="D9" s="93">
        <v>41.49</v>
      </c>
      <c r="E9" s="93">
        <v>50.17</v>
      </c>
      <c r="F9" s="93">
        <v>48.62</v>
      </c>
      <c r="G9">
        <f t="shared" si="1"/>
        <v>234.51</v>
      </c>
    </row>
    <row r="10" spans="1:7" ht="26.4" x14ac:dyDescent="0.25">
      <c r="A10" s="94" t="s">
        <v>171</v>
      </c>
      <c r="B10" s="93">
        <v>89.73</v>
      </c>
      <c r="C10" s="93">
        <v>86.88</v>
      </c>
      <c r="D10" s="93">
        <v>96.39</v>
      </c>
      <c r="E10" s="93">
        <v>75.180000000000007</v>
      </c>
      <c r="F10" s="93">
        <v>77.45</v>
      </c>
      <c r="G10">
        <f t="shared" si="1"/>
        <v>425.63</v>
      </c>
    </row>
    <row r="11" spans="1:7" ht="26.4" x14ac:dyDescent="0.25">
      <c r="A11" s="94" t="s">
        <v>172</v>
      </c>
      <c r="B11" s="93">
        <v>15.48</v>
      </c>
      <c r="C11" s="93">
        <v>7.5</v>
      </c>
      <c r="D11" s="93">
        <v>13.7</v>
      </c>
      <c r="E11" s="93">
        <v>16.13</v>
      </c>
      <c r="F11" s="93">
        <v>8.67</v>
      </c>
      <c r="G11">
        <f t="shared" si="1"/>
        <v>61.480000000000004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A7" sqref="A7"/>
    </sheetView>
  </sheetViews>
  <sheetFormatPr defaultRowHeight="13.2" x14ac:dyDescent="0.25"/>
  <cols>
    <col min="1" max="1" width="13.21875" customWidth="1"/>
  </cols>
  <sheetData>
    <row r="1" spans="1:6" ht="13.8" x14ac:dyDescent="0.25">
      <c r="A1" s="78" t="s">
        <v>149</v>
      </c>
      <c r="B1" s="79" t="s">
        <v>143</v>
      </c>
      <c r="C1" s="79" t="s">
        <v>144</v>
      </c>
      <c r="D1" s="79" t="s">
        <v>145</v>
      </c>
      <c r="E1" s="79" t="s">
        <v>146</v>
      </c>
      <c r="F1" s="79" t="s">
        <v>147</v>
      </c>
    </row>
    <row r="2" spans="1:6" ht="13.8" x14ac:dyDescent="0.25">
      <c r="A2" s="80" t="s">
        <v>123</v>
      </c>
      <c r="B2" s="81">
        <v>26.277639496350002</v>
      </c>
      <c r="C2" s="81">
        <v>15.3791780245</v>
      </c>
      <c r="D2" s="81">
        <v>24.4430196</v>
      </c>
      <c r="E2" s="81">
        <v>22.226286420000001</v>
      </c>
      <c r="F2" s="81">
        <v>50.41660246</v>
      </c>
    </row>
    <row r="3" spans="1:6" ht="13.8" x14ac:dyDescent="0.25">
      <c r="A3" s="80" t="s">
        <v>156</v>
      </c>
      <c r="B3" s="81">
        <v>8.1221794806900007</v>
      </c>
      <c r="C3" s="81">
        <v>6.7668383307799997</v>
      </c>
      <c r="D3" s="81">
        <v>5.7033712400000001</v>
      </c>
      <c r="E3" s="81">
        <v>10.866184472</v>
      </c>
      <c r="F3" s="81">
        <v>7.9226089579999996</v>
      </c>
    </row>
    <row r="4" spans="1:6" ht="13.8" x14ac:dyDescent="0.25">
      <c r="A4" s="80" t="s">
        <v>157</v>
      </c>
      <c r="B4" s="81">
        <v>6.2110784264100003</v>
      </c>
      <c r="C4" s="81">
        <v>4.9213369678400003</v>
      </c>
      <c r="D4" s="81">
        <v>4.4812202599999997</v>
      </c>
      <c r="E4" s="81">
        <v>7.9026796160000004</v>
      </c>
      <c r="F4" s="81">
        <v>5.0416602460000002</v>
      </c>
    </row>
    <row r="5" spans="1:6" ht="13.8" x14ac:dyDescent="0.25">
      <c r="A5" s="80" t="s">
        <v>158</v>
      </c>
      <c r="B5" s="81">
        <v>3.82220210856</v>
      </c>
      <c r="C5" s="81">
        <v>2.1530849234300002</v>
      </c>
      <c r="D5" s="81">
        <v>4.4812202599999997</v>
      </c>
      <c r="E5" s="81">
        <v>4.9391747600000002</v>
      </c>
      <c r="F5" s="81">
        <v>5.7618974239999998</v>
      </c>
    </row>
    <row r="6" spans="1:6" ht="13.8" x14ac:dyDescent="0.25">
      <c r="A6" s="80" t="s">
        <v>124</v>
      </c>
      <c r="B6" s="81">
        <v>3.3444268449900001</v>
      </c>
      <c r="C6" s="81">
        <v>1.53791780245</v>
      </c>
      <c r="D6" s="81">
        <v>1.6295346399999999</v>
      </c>
      <c r="E6" s="81">
        <v>3.4574223320000006</v>
      </c>
      <c r="F6" s="81">
        <v>2.8809487119999999</v>
      </c>
    </row>
    <row r="7" spans="1:6" ht="13.8" x14ac:dyDescent="0.25">
      <c r="A7" s="79" t="s">
        <v>1</v>
      </c>
      <c r="B7" s="91">
        <v>47.777526356999999</v>
      </c>
      <c r="C7" s="91">
        <v>30.758356049000003</v>
      </c>
      <c r="D7" s="91">
        <v>40.738365999999999</v>
      </c>
      <c r="E7" s="91">
        <v>49.391747600000002</v>
      </c>
      <c r="F7" s="91">
        <v>72.0237178</v>
      </c>
    </row>
    <row r="8" spans="1:6" ht="13.8" x14ac:dyDescent="0.25">
      <c r="A8" s="8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C13" sqref="C13"/>
    </sheetView>
  </sheetViews>
  <sheetFormatPr defaultRowHeight="13.2" x14ac:dyDescent="0.25"/>
  <cols>
    <col min="1" max="1" width="9.77734375" bestFit="1" customWidth="1"/>
    <col min="2" max="2" width="23.88671875" bestFit="1" customWidth="1"/>
    <col min="3" max="3" width="14.5546875" customWidth="1"/>
  </cols>
  <sheetData>
    <row r="1" spans="1:8" ht="13.8" x14ac:dyDescent="0.25">
      <c r="A1" s="84" t="s">
        <v>148</v>
      </c>
      <c r="B1" s="78" t="s">
        <v>129</v>
      </c>
      <c r="C1" s="78" t="s">
        <v>149</v>
      </c>
      <c r="D1" s="79" t="s">
        <v>143</v>
      </c>
      <c r="E1" s="79" t="s">
        <v>144</v>
      </c>
      <c r="F1" s="79" t="s">
        <v>145</v>
      </c>
      <c r="G1" s="79" t="s">
        <v>146</v>
      </c>
      <c r="H1" s="79" t="s">
        <v>147</v>
      </c>
    </row>
    <row r="2" spans="1:8" ht="13.8" x14ac:dyDescent="0.25">
      <c r="A2" s="85">
        <v>1</v>
      </c>
      <c r="B2" s="80" t="s">
        <v>159</v>
      </c>
      <c r="C2" s="80" t="s">
        <v>123</v>
      </c>
      <c r="D2" s="86">
        <v>1.3368748769577588</v>
      </c>
      <c r="E2" s="86">
        <v>1.5784519797027023</v>
      </c>
      <c r="F2" s="86">
        <v>1.7084360756341921</v>
      </c>
      <c r="G2" s="86">
        <v>3.9979845290518101</v>
      </c>
      <c r="H2" s="86">
        <v>4.8944282176702529</v>
      </c>
    </row>
    <row r="3" spans="1:8" ht="13.8" x14ac:dyDescent="0.25">
      <c r="A3" s="85">
        <f>+A2+1</f>
        <v>2</v>
      </c>
      <c r="B3" s="80" t="s">
        <v>125</v>
      </c>
      <c r="C3" s="80" t="s">
        <v>156</v>
      </c>
      <c r="D3" s="86">
        <v>4.5907270814898578</v>
      </c>
      <c r="E3" s="86">
        <v>1.1944721600734367</v>
      </c>
      <c r="F3" s="86">
        <v>2.959035991955564</v>
      </c>
      <c r="G3" s="86">
        <v>3.4663144931869949</v>
      </c>
      <c r="H3" s="86">
        <v>5.6389932441360671</v>
      </c>
    </row>
    <row r="4" spans="1:8" ht="13.8" x14ac:dyDescent="0.25">
      <c r="A4" s="85">
        <f>+A3+1</f>
        <v>3</v>
      </c>
      <c r="B4" s="80" t="s">
        <v>128</v>
      </c>
      <c r="C4" s="80" t="s">
        <v>157</v>
      </c>
      <c r="D4" s="86">
        <v>3.3365310340356569</v>
      </c>
      <c r="E4" s="86">
        <v>2.393378924112362</v>
      </c>
      <c r="F4" s="86">
        <v>1.8221995511063862</v>
      </c>
      <c r="G4" s="86">
        <v>3.4793606329926514</v>
      </c>
      <c r="H4" s="86">
        <v>5.6831576946982763</v>
      </c>
    </row>
    <row r="5" spans="1:8" ht="13.8" x14ac:dyDescent="0.25">
      <c r="A5" s="85">
        <f>+A4+1</f>
        <v>4</v>
      </c>
      <c r="B5" s="80" t="s">
        <v>126</v>
      </c>
      <c r="C5" s="80" t="s">
        <v>123</v>
      </c>
      <c r="D5" s="86">
        <v>1.4601608853048722</v>
      </c>
      <c r="E5" s="86">
        <v>1.0730892974785147</v>
      </c>
      <c r="F5" s="86">
        <v>3.8967735886349706</v>
      </c>
      <c r="G5" s="86">
        <v>2.9441734370981076</v>
      </c>
      <c r="H5" s="86">
        <v>3.8709005862316102</v>
      </c>
    </row>
    <row r="6" spans="1:8" ht="13.8" x14ac:dyDescent="0.25">
      <c r="A6" s="85">
        <f>+A5+1</f>
        <v>5</v>
      </c>
      <c r="B6" s="80" t="s">
        <v>127</v>
      </c>
      <c r="C6" s="80" t="s">
        <v>158</v>
      </c>
      <c r="D6" s="86">
        <v>1.653239112168901</v>
      </c>
      <c r="E6" s="86">
        <v>1.727655682308149</v>
      </c>
      <c r="F6" s="86">
        <v>2.7394863194870651</v>
      </c>
      <c r="G6" s="86">
        <v>1.2109485598301664</v>
      </c>
      <c r="H6" s="86">
        <v>5.516908619792142</v>
      </c>
    </row>
    <row r="7" spans="1:8" ht="13.8" x14ac:dyDescent="0.25">
      <c r="A7" s="85">
        <f t="shared" ref="A7:A17" si="0">+A6+1</f>
        <v>6</v>
      </c>
      <c r="B7" s="80" t="s">
        <v>130</v>
      </c>
      <c r="C7" s="80" t="s">
        <v>158</v>
      </c>
      <c r="D7" s="86">
        <v>5.8237141989385304</v>
      </c>
      <c r="E7" s="86">
        <v>2.5309437165988502</v>
      </c>
      <c r="F7" s="86">
        <v>3.747319304466</v>
      </c>
      <c r="G7" s="86">
        <v>1.797122450382014</v>
      </c>
      <c r="H7" s="86">
        <v>4.9730073247023387</v>
      </c>
    </row>
    <row r="8" spans="1:8" ht="13.8" x14ac:dyDescent="0.25">
      <c r="A8" s="85">
        <f t="shared" si="0"/>
        <v>7</v>
      </c>
      <c r="B8" s="80" t="s">
        <v>131</v>
      </c>
      <c r="C8" s="80" t="s">
        <v>124</v>
      </c>
      <c r="D8" s="86">
        <v>5.6714384809122826</v>
      </c>
      <c r="E8" s="86">
        <v>2.3623767966682498</v>
      </c>
      <c r="F8" s="86">
        <v>1.645771751853458</v>
      </c>
      <c r="G8" s="86">
        <v>2.2915441867334612</v>
      </c>
      <c r="H8" s="86">
        <v>2.1858284223576385</v>
      </c>
    </row>
    <row r="9" spans="1:8" ht="13.8" x14ac:dyDescent="0.25">
      <c r="A9" s="85">
        <f t="shared" si="0"/>
        <v>8</v>
      </c>
      <c r="B9" s="80" t="s">
        <v>132</v>
      </c>
      <c r="C9" s="80" t="s">
        <v>123</v>
      </c>
      <c r="D9" s="86">
        <v>5.6137606992352067</v>
      </c>
      <c r="E9" s="86">
        <v>1.7890362847659653</v>
      </c>
      <c r="F9" s="86">
        <v>3.6320260382321665</v>
      </c>
      <c r="G9" s="86">
        <v>2.5318099442233226</v>
      </c>
      <c r="H9" s="86">
        <v>2.1629802513146488</v>
      </c>
    </row>
    <row r="10" spans="1:8" ht="13.8" x14ac:dyDescent="0.25">
      <c r="A10" s="85">
        <f t="shared" si="0"/>
        <v>9</v>
      </c>
      <c r="B10" s="80" t="s">
        <v>133</v>
      </c>
      <c r="C10" s="80" t="s">
        <v>157</v>
      </c>
      <c r="D10" s="86">
        <v>2.7036001520667243</v>
      </c>
      <c r="E10" s="86">
        <v>1.69143060587163</v>
      </c>
      <c r="F10" s="86">
        <v>2.2632243185779042</v>
      </c>
      <c r="G10" s="86">
        <v>3.9901753194949778</v>
      </c>
      <c r="H10" s="86">
        <v>7.4543307224445154</v>
      </c>
    </row>
    <row r="11" spans="1:8" ht="13.8" x14ac:dyDescent="0.25">
      <c r="A11" s="85">
        <f t="shared" si="0"/>
        <v>10</v>
      </c>
      <c r="B11" s="80" t="s">
        <v>134</v>
      </c>
      <c r="C11" s="80" t="s">
        <v>157</v>
      </c>
      <c r="D11" s="86">
        <v>1.6727172287839756</v>
      </c>
      <c r="E11" s="86">
        <v>2.7439289256154504</v>
      </c>
      <c r="F11" s="86">
        <v>1.9564494590427832</v>
      </c>
      <c r="G11" s="86">
        <v>3.6941138354386638</v>
      </c>
      <c r="H11" s="86">
        <v>1.4908466670260458</v>
      </c>
    </row>
    <row r="12" spans="1:8" ht="13.8" x14ac:dyDescent="0.25">
      <c r="A12" s="85">
        <f t="shared" si="0"/>
        <v>11</v>
      </c>
      <c r="B12" s="80" t="s">
        <v>135</v>
      </c>
      <c r="C12" s="80" t="s">
        <v>124</v>
      </c>
      <c r="D12" s="86">
        <v>2.5788148313742636</v>
      </c>
      <c r="E12" s="86">
        <v>2.6300116031996787</v>
      </c>
      <c r="F12" s="86">
        <v>1.8049711299841542</v>
      </c>
      <c r="G12" s="86">
        <v>3.8561573300138678</v>
      </c>
      <c r="H12" s="86">
        <v>1.77584465760857</v>
      </c>
    </row>
    <row r="13" spans="1:8" ht="13.8" x14ac:dyDescent="0.25">
      <c r="A13" s="85">
        <f t="shared" si="0"/>
        <v>12</v>
      </c>
      <c r="B13" s="80" t="s">
        <v>136</v>
      </c>
      <c r="C13" s="80" t="s">
        <v>123</v>
      </c>
      <c r="D13" s="86">
        <v>1.4647042171021485</v>
      </c>
      <c r="E13" s="86">
        <v>1.9612941578832199</v>
      </c>
      <c r="F13" s="86">
        <v>3.0225138936203351</v>
      </c>
      <c r="G13" s="86">
        <v>3.3509722210530302</v>
      </c>
      <c r="H13" s="86">
        <v>7.7439668504452284</v>
      </c>
    </row>
    <row r="14" spans="1:8" ht="13.8" x14ac:dyDescent="0.25">
      <c r="A14" s="85">
        <f t="shared" si="0"/>
        <v>13</v>
      </c>
      <c r="B14" s="85" t="s">
        <v>137</v>
      </c>
      <c r="C14" s="85" t="s">
        <v>123</v>
      </c>
      <c r="D14" s="86">
        <v>3.1315535871297202</v>
      </c>
      <c r="E14" s="86">
        <v>1.6689408845663625</v>
      </c>
      <c r="F14" s="86">
        <v>3.320367749594082</v>
      </c>
      <c r="G14" s="86">
        <v>3.374488171077382</v>
      </c>
      <c r="H14" s="86">
        <v>5.9671683554805863</v>
      </c>
    </row>
    <row r="15" spans="1:8" ht="13.8" x14ac:dyDescent="0.25">
      <c r="A15" s="85">
        <f t="shared" si="0"/>
        <v>14</v>
      </c>
      <c r="B15" s="85" t="s">
        <v>138</v>
      </c>
      <c r="C15" s="85" t="s">
        <v>156</v>
      </c>
      <c r="D15" s="86">
        <v>1.4755096769615372</v>
      </c>
      <c r="E15" s="86">
        <v>1.8503193319534861</v>
      </c>
      <c r="F15" s="86">
        <v>3.5199969867239278</v>
      </c>
      <c r="G15" s="86">
        <v>1.9260508190409567</v>
      </c>
      <c r="H15" s="86">
        <v>2.8303768772387756</v>
      </c>
    </row>
    <row r="16" spans="1:8" ht="13.8" x14ac:dyDescent="0.25">
      <c r="A16" s="85">
        <f t="shared" si="0"/>
        <v>15</v>
      </c>
      <c r="B16" s="85" t="s">
        <v>139</v>
      </c>
      <c r="C16" s="85" t="s">
        <v>123</v>
      </c>
      <c r="D16" s="86">
        <v>1.1153525786456235</v>
      </c>
      <c r="E16" s="86">
        <v>1.0029750724251292</v>
      </c>
      <c r="F16" s="86">
        <v>3.6344672421863882</v>
      </c>
      <c r="G16" s="86">
        <v>3.5485224510563107</v>
      </c>
      <c r="H16" s="86">
        <v>1.3924065691986101</v>
      </c>
    </row>
    <row r="17" spans="1:8" ht="13.8" x14ac:dyDescent="0.25">
      <c r="A17" s="85">
        <f t="shared" si="0"/>
        <v>16</v>
      </c>
      <c r="B17" s="85" t="s">
        <v>140</v>
      </c>
      <c r="C17" s="85" t="s">
        <v>124</v>
      </c>
      <c r="D17" s="86">
        <v>4.148827715892935</v>
      </c>
      <c r="E17" s="86">
        <v>2.5600506257768099</v>
      </c>
      <c r="F17" s="86">
        <v>3.7241534067612578</v>
      </c>
      <c r="G17" s="86">
        <v>3.9320092193262894</v>
      </c>
      <c r="H17" s="86">
        <v>8.4425727396546808</v>
      </c>
    </row>
    <row r="18" spans="1:8" ht="13.8" x14ac:dyDescent="0.25">
      <c r="A18" s="79" t="s">
        <v>1</v>
      </c>
      <c r="B18" s="88"/>
      <c r="C18" s="88"/>
      <c r="D18" s="89">
        <f>SUM(D2:D17)</f>
        <v>47.777526356999999</v>
      </c>
      <c r="E18" s="89">
        <f>SUM(E2:E17)</f>
        <v>30.758356049</v>
      </c>
      <c r="F18" s="89">
        <v>40.738365999999999</v>
      </c>
      <c r="G18" s="89">
        <f>SUM(G2:G17)</f>
        <v>49.391747600000002</v>
      </c>
      <c r="H18" s="89">
        <f>SUM(H2:H17)</f>
        <v>72.0237178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A4" sqref="A4"/>
    </sheetView>
  </sheetViews>
  <sheetFormatPr defaultRowHeight="13.2" x14ac:dyDescent="0.25"/>
  <cols>
    <col min="2" max="2" width="41.6640625" customWidth="1"/>
  </cols>
  <sheetData>
    <row r="1" spans="1:7" ht="13.8" x14ac:dyDescent="0.25">
      <c r="A1" s="84" t="s">
        <v>148</v>
      </c>
      <c r="B1" s="78" t="s">
        <v>152</v>
      </c>
      <c r="C1" s="79" t="s">
        <v>143</v>
      </c>
      <c r="D1" s="79" t="s">
        <v>144</v>
      </c>
      <c r="E1" s="79" t="s">
        <v>145</v>
      </c>
      <c r="F1" s="79" t="s">
        <v>146</v>
      </c>
      <c r="G1" s="79" t="s">
        <v>147</v>
      </c>
    </row>
    <row r="2" spans="1:7" ht="13.8" x14ac:dyDescent="0.25">
      <c r="A2" s="85">
        <v>1</v>
      </c>
      <c r="B2" s="80" t="s">
        <v>153</v>
      </c>
      <c r="C2" s="86">
        <v>31.055392132049999</v>
      </c>
      <c r="D2" s="86">
        <v>21.223265673809998</v>
      </c>
      <c r="E2" s="86">
        <v>24.4430196</v>
      </c>
      <c r="F2" s="86">
        <v>35.562058272000002</v>
      </c>
      <c r="G2" s="86">
        <v>45.374942214000001</v>
      </c>
    </row>
    <row r="3" spans="1:7" ht="13.8" x14ac:dyDescent="0.25">
      <c r="A3" s="85">
        <f>+A2+1</f>
        <v>2</v>
      </c>
      <c r="B3" s="80" t="s">
        <v>154</v>
      </c>
      <c r="C3" s="86">
        <v>16.72213422495</v>
      </c>
      <c r="D3" s="86">
        <v>9.535090375190002</v>
      </c>
      <c r="E3" s="86">
        <v>16.2953464</v>
      </c>
      <c r="F3" s="86">
        <v>13.829689328000001</v>
      </c>
      <c r="G3" s="86">
        <v>26.648775585999999</v>
      </c>
    </row>
    <row r="4" spans="1:7" ht="13.8" x14ac:dyDescent="0.25">
      <c r="A4" s="79" t="s">
        <v>1</v>
      </c>
      <c r="B4" s="82"/>
      <c r="C4" s="89">
        <f>SUM(C2:C3)</f>
        <v>47.777526356999999</v>
      </c>
      <c r="D4" s="89">
        <f>SUM(D2:D3)</f>
        <v>30.758356049</v>
      </c>
      <c r="E4" s="89">
        <f>SUM(E2:E3)</f>
        <v>40.738365999999999</v>
      </c>
      <c r="F4" s="89">
        <f>SUM(F2:F3)</f>
        <v>49.391747600000002</v>
      </c>
      <c r="G4" s="89">
        <f>SUM(G2:G3)</f>
        <v>72.0237178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B11" sqref="B11"/>
    </sheetView>
  </sheetViews>
  <sheetFormatPr defaultRowHeight="13.2" x14ac:dyDescent="0.25"/>
  <cols>
    <col min="1" max="1" width="25.6640625" customWidth="1"/>
    <col min="2" max="2" width="23.44140625" bestFit="1" customWidth="1"/>
    <col min="3" max="3" width="11.5546875" customWidth="1"/>
  </cols>
  <sheetData>
    <row r="1" spans="1:8" ht="13.8" x14ac:dyDescent="0.25">
      <c r="A1" s="88" t="s">
        <v>141</v>
      </c>
      <c r="B1" s="88" t="s">
        <v>142</v>
      </c>
      <c r="C1" s="79" t="s">
        <v>143</v>
      </c>
      <c r="D1" s="79" t="s">
        <v>144</v>
      </c>
      <c r="E1" s="79" t="s">
        <v>145</v>
      </c>
      <c r="F1" s="79" t="s">
        <v>146</v>
      </c>
      <c r="G1" s="79" t="s">
        <v>147</v>
      </c>
    </row>
    <row r="2" spans="1:8" x14ac:dyDescent="0.25">
      <c r="A2" s="90" t="s">
        <v>150</v>
      </c>
      <c r="B2" s="90" t="s">
        <v>155</v>
      </c>
      <c r="C2" s="88">
        <v>5500</v>
      </c>
      <c r="D2" s="88">
        <v>5500</v>
      </c>
      <c r="E2" s="88">
        <v>5500</v>
      </c>
      <c r="F2" s="88">
        <v>5500</v>
      </c>
      <c r="G2" s="88">
        <v>5500</v>
      </c>
    </row>
    <row r="3" spans="1:8" x14ac:dyDescent="0.25">
      <c r="A3" s="90" t="s">
        <v>151</v>
      </c>
      <c r="B3" s="90" t="s">
        <v>155</v>
      </c>
      <c r="C3" s="87">
        <v>4565</v>
      </c>
      <c r="D3" s="87">
        <v>5005</v>
      </c>
      <c r="E3" s="87">
        <v>3245</v>
      </c>
      <c r="F3" s="87">
        <v>4565</v>
      </c>
      <c r="G3" s="87">
        <v>5170</v>
      </c>
    </row>
    <row r="6" spans="1:8" x14ac:dyDescent="0.25">
      <c r="B6" s="75"/>
      <c r="C6" s="75"/>
      <c r="D6" s="76"/>
      <c r="E6" s="76"/>
      <c r="F6" s="76"/>
      <c r="G6" s="76"/>
      <c r="H6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Financials</vt:lpstr>
      <vt:lpstr>P&amp;L ACCOUNT</vt:lpstr>
      <vt:lpstr>Deliverable Ratios</vt:lpstr>
      <vt:lpstr>Country-wise Sales</vt:lpstr>
      <vt:lpstr>Customer-wise Sales</vt:lpstr>
      <vt:lpstr>Product-wise Sales</vt:lpstr>
      <vt:lpstr>Capacity Utilisation</vt:lpstr>
    </vt:vector>
  </TitlesOfParts>
  <Company>icra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</dc:creator>
  <cp:lastModifiedBy>Raj Awasthi</cp:lastModifiedBy>
  <cp:lastPrinted>2013-01-28T10:53:20Z</cp:lastPrinted>
  <dcterms:created xsi:type="dcterms:W3CDTF">2006-04-18T07:00:03Z</dcterms:created>
  <dcterms:modified xsi:type="dcterms:W3CDTF">2025-07-23T19:23:31Z</dcterms:modified>
</cp:coreProperties>
</file>